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worksheets/sheet58.xml" ContentType="application/vnd.openxmlformats-officedocument.spreadsheetml.worksheet+xml"/>
  <Override PartName="/xl/worksheets/sheet57.xml" ContentType="application/vnd.openxmlformats-officedocument.spreadsheetml.worksheet+xml"/>
  <Override PartName="/xl/worksheets/sheet56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5.xml" ContentType="application/vnd.openxmlformats-officedocument.spreadsheetml.worksheet+xml"/>
  <Override PartName="/xl/worksheets/sheet2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新豐\排程\人時生產日報\"/>
    </mc:Choice>
  </mc:AlternateContent>
  <bookViews>
    <workbookView xWindow="0" yWindow="0" windowWidth="20490" windowHeight="7260"/>
  </bookViews>
  <sheets>
    <sheet name="0831" sheetId="85" r:id="rId1"/>
    <sheet name="0831 4度C" sheetId="86" r:id="rId2"/>
    <sheet name="0830" sheetId="83" r:id="rId3"/>
    <sheet name="0830 4度C" sheetId="84" r:id="rId4"/>
    <sheet name="0829" sheetId="81" r:id="rId5"/>
    <sheet name="0829 4度C" sheetId="82" r:id="rId6"/>
    <sheet name="0828" sheetId="79" r:id="rId7"/>
    <sheet name="0828 4度C" sheetId="80" r:id="rId8"/>
    <sheet name="0827" sheetId="77" r:id="rId9"/>
    <sheet name="0827 4度C" sheetId="78" r:id="rId10"/>
    <sheet name="0826" sheetId="75" r:id="rId11"/>
    <sheet name="0826 4度C" sheetId="76" r:id="rId12"/>
    <sheet name="0825" sheetId="73" r:id="rId13"/>
    <sheet name="0825 4度C" sheetId="74" r:id="rId14"/>
    <sheet name="0824" sheetId="71" r:id="rId15"/>
    <sheet name="0824 4度C" sheetId="72" r:id="rId16"/>
    <sheet name="0823" sheetId="69" r:id="rId17"/>
    <sheet name="0823 4度C" sheetId="70" r:id="rId18"/>
    <sheet name="0822" sheetId="67" r:id="rId19"/>
    <sheet name="0822 4度C" sheetId="68" r:id="rId20"/>
    <sheet name="0821" sheetId="65" r:id="rId21"/>
    <sheet name="0821 4度C" sheetId="66" r:id="rId22"/>
    <sheet name="0820" sheetId="59" r:id="rId23"/>
    <sheet name="0820 4度C" sheetId="60" r:id="rId24"/>
    <sheet name="0819" sheetId="55" r:id="rId25"/>
    <sheet name="0819 4度C" sheetId="56" r:id="rId26"/>
    <sheet name="0818" sheetId="53" r:id="rId27"/>
    <sheet name="0818 4度C" sheetId="54" r:id="rId28"/>
    <sheet name="0817" sheetId="51" r:id="rId29"/>
    <sheet name="0817 4度C" sheetId="52" r:id="rId30"/>
    <sheet name="0816" sheetId="49" r:id="rId31"/>
    <sheet name="0816 4度C" sheetId="50" r:id="rId32"/>
    <sheet name="0815" sheetId="47" r:id="rId33"/>
    <sheet name="0815 4度C" sheetId="48" r:id="rId34"/>
    <sheet name="0814" sheetId="43" r:id="rId35"/>
    <sheet name="0814 4度C" sheetId="44" r:id="rId36"/>
    <sheet name="0813" sheetId="41" r:id="rId37"/>
    <sheet name="0813 4度C" sheetId="42" r:id="rId38"/>
    <sheet name="0812" sheetId="39" r:id="rId39"/>
    <sheet name="0812 4度C" sheetId="40" r:id="rId40"/>
    <sheet name="0811" sheetId="37" r:id="rId41"/>
    <sheet name="0811 4度C" sheetId="38" r:id="rId42"/>
    <sheet name="0810" sheetId="35" r:id="rId43"/>
    <sheet name="0810 4度C" sheetId="36" r:id="rId44"/>
    <sheet name="0809" sheetId="31" r:id="rId45"/>
    <sheet name="0809 4度C" sheetId="32" r:id="rId46"/>
    <sheet name="0808" sheetId="29" r:id="rId47"/>
    <sheet name="0808 4度C" sheetId="30" r:id="rId48"/>
    <sheet name="0807" sheetId="19" r:id="rId49"/>
    <sheet name="0807 4度C" sheetId="20" r:id="rId50"/>
    <sheet name="0806" sheetId="17" r:id="rId51"/>
    <sheet name="0806 4度C" sheetId="18" r:id="rId52"/>
    <sheet name="0805" sheetId="11" r:id="rId53"/>
    <sheet name="0805 4度C" sheetId="12" r:id="rId54"/>
    <sheet name="0804" sheetId="9" r:id="rId55"/>
    <sheet name="0804 4度C" sheetId="10" r:id="rId56"/>
    <sheet name="0803" sheetId="5" r:id="rId57"/>
    <sheet name="0803 4度C" sheetId="6" r:id="rId58"/>
    <sheet name="0802" sheetId="3" r:id="rId59"/>
    <sheet name="0802 4度C" sheetId="4" r:id="rId60"/>
    <sheet name="0801" sheetId="2" r:id="rId61"/>
    <sheet name="0801 4度C" sheetId="1" r:id="rId62"/>
  </sheets>
  <definedNames>
    <definedName name="_xlnm._FilterDatabase" localSheetId="61" hidden="1">'0801 4度C'!$A$4:$AI$4</definedName>
    <definedName name="_xlnm._FilterDatabase" localSheetId="59" hidden="1">'0802 4度C'!$A$4:$AI$4</definedName>
    <definedName name="_xlnm._FilterDatabase" localSheetId="57" hidden="1">'0803 4度C'!$A$4:$AI$4</definedName>
    <definedName name="_xlnm._FilterDatabase" localSheetId="55" hidden="1">'0804 4度C'!$A$4:$AI$4</definedName>
    <definedName name="_xlnm._FilterDatabase" localSheetId="53" hidden="1">'0805 4度C'!$A$4:$AI$4</definedName>
    <definedName name="_xlnm._FilterDatabase" localSheetId="51" hidden="1">'0806 4度C'!$A$4:$AI$4</definedName>
    <definedName name="_xlnm._FilterDatabase" localSheetId="49" hidden="1">'0807 4度C'!$A$4:$AI$4</definedName>
    <definedName name="_xlnm._FilterDatabase" localSheetId="47" hidden="1">'0808 4度C'!$A$4:$AI$4</definedName>
    <definedName name="_xlnm._FilterDatabase" localSheetId="45" hidden="1">'0809 4度C'!$A$4:$AI$4</definedName>
    <definedName name="_xlnm._FilterDatabase" localSheetId="43" hidden="1">'0810 4度C'!$A$4:$AI$4</definedName>
    <definedName name="_xlnm._FilterDatabase" localSheetId="41" hidden="1">'0811 4度C'!$A$4:$AI$4</definedName>
    <definedName name="_xlnm._FilterDatabase" localSheetId="39" hidden="1">'0812 4度C'!$A$4:$AI$4</definedName>
    <definedName name="_xlnm._FilterDatabase" localSheetId="37" hidden="1">'0813 4度C'!$A$4:$AI$4</definedName>
    <definedName name="_xlnm._FilterDatabase" localSheetId="35" hidden="1">'0814 4度C'!$A$4:$AI$4</definedName>
    <definedName name="_xlnm._FilterDatabase" localSheetId="33" hidden="1">'0815 4度C'!$A$4:$AI$4</definedName>
    <definedName name="_xlnm._FilterDatabase" localSheetId="31" hidden="1">'0816 4度C'!$A$4:$AI$4</definedName>
    <definedName name="_xlnm._FilterDatabase" localSheetId="29" hidden="1">'0817 4度C'!$A$4:$AI$4</definedName>
    <definedName name="_xlnm._FilterDatabase" localSheetId="27" hidden="1">'0818 4度C'!$A$4:$AI$4</definedName>
    <definedName name="_xlnm._FilterDatabase" localSheetId="25" hidden="1">'0819 4度C'!$A$4:$AI$4</definedName>
    <definedName name="_xlnm._FilterDatabase" localSheetId="23" hidden="1">'0820 4度C'!$A$4:$AI$4</definedName>
    <definedName name="_xlnm._FilterDatabase" localSheetId="21" hidden="1">'0821 4度C'!$A$4:$AI$4</definedName>
    <definedName name="_xlnm._FilterDatabase" localSheetId="19" hidden="1">'0822 4度C'!$A$4:$AI$4</definedName>
    <definedName name="_xlnm._FilterDatabase" localSheetId="17" hidden="1">'0823 4度C'!$A$4:$AI$4</definedName>
    <definedName name="_xlnm._FilterDatabase" localSheetId="15" hidden="1">'0824 4度C'!$A$4:$AI$4</definedName>
    <definedName name="_xlnm._FilterDatabase" localSheetId="13" hidden="1">'0825 4度C'!$A$4:$AI$4</definedName>
    <definedName name="_xlnm._FilterDatabase" localSheetId="11" hidden="1">'0826 4度C'!$A$4:$AI$4</definedName>
    <definedName name="_xlnm._FilterDatabase" localSheetId="9" hidden="1">'0827 4度C'!$A$4:$AI$4</definedName>
    <definedName name="_xlnm._FilterDatabase" localSheetId="7" hidden="1">'0828 4度C'!$A$4:$AI$4</definedName>
    <definedName name="_xlnm._FilterDatabase" localSheetId="5" hidden="1">'0829 4度C'!$A$4:$AI$4</definedName>
    <definedName name="_xlnm._FilterDatabase" localSheetId="3" hidden="1">'0830 4度C'!$A$4:$AI$4</definedName>
    <definedName name="_xlnm._FilterDatabase" localSheetId="1" hidden="1">'0831 4度C'!$A$4:$AI$4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75" i="86" l="1"/>
  <c r="Z75" i="86"/>
  <c r="Y75" i="86"/>
  <c r="O75" i="86"/>
  <c r="K75" i="86"/>
  <c r="V74" i="86"/>
  <c r="U74" i="86"/>
  <c r="O74" i="86"/>
  <c r="M74" i="86"/>
  <c r="N74" i="86" s="1"/>
  <c r="K74" i="86"/>
  <c r="G74" i="86"/>
  <c r="X73" i="86"/>
  <c r="W73" i="86"/>
  <c r="V73" i="86"/>
  <c r="U73" i="86"/>
  <c r="P73" i="86"/>
  <c r="O73" i="86"/>
  <c r="N73" i="86"/>
  <c r="Q73" i="86" s="1"/>
  <c r="M73" i="86"/>
  <c r="K73" i="86"/>
  <c r="G73" i="86"/>
  <c r="AF72" i="86"/>
  <c r="AE72" i="86"/>
  <c r="V72" i="86"/>
  <c r="M72" i="86" s="1"/>
  <c r="N72" i="86" s="1"/>
  <c r="P72" i="86" s="1"/>
  <c r="U72" i="86"/>
  <c r="Q72" i="86"/>
  <c r="O72" i="86"/>
  <c r="K72" i="86"/>
  <c r="G72" i="86"/>
  <c r="V71" i="86"/>
  <c r="U71" i="86"/>
  <c r="O71" i="86"/>
  <c r="M71" i="86"/>
  <c r="N71" i="86" s="1"/>
  <c r="K71" i="86"/>
  <c r="G71" i="86"/>
  <c r="AF70" i="86"/>
  <c r="AE70" i="86"/>
  <c r="V70" i="86"/>
  <c r="M70" i="86" s="1"/>
  <c r="N70" i="86" s="1"/>
  <c r="U70" i="86"/>
  <c r="O70" i="86"/>
  <c r="K70" i="86"/>
  <c r="G70" i="86"/>
  <c r="AF69" i="86"/>
  <c r="AE69" i="86"/>
  <c r="X69" i="86"/>
  <c r="W69" i="86"/>
  <c r="V69" i="86"/>
  <c r="O69" i="86"/>
  <c r="N69" i="86"/>
  <c r="Q69" i="86" s="1"/>
  <c r="M69" i="86"/>
  <c r="K69" i="86"/>
  <c r="G69" i="86"/>
  <c r="AD68" i="86"/>
  <c r="Z68" i="86"/>
  <c r="Y68" i="86"/>
  <c r="O68" i="86"/>
  <c r="M68" i="86"/>
  <c r="N68" i="86" s="1"/>
  <c r="K68" i="86"/>
  <c r="AF67" i="86"/>
  <c r="AE67" i="86"/>
  <c r="V67" i="86"/>
  <c r="M67" i="86" s="1"/>
  <c r="N67" i="86" s="1"/>
  <c r="U67" i="86"/>
  <c r="Q67" i="86"/>
  <c r="P67" i="86"/>
  <c r="O67" i="86"/>
  <c r="K67" i="86"/>
  <c r="G67" i="86"/>
  <c r="V66" i="86"/>
  <c r="U66" i="86"/>
  <c r="O66" i="86"/>
  <c r="N66" i="86"/>
  <c r="Q66" i="86" s="1"/>
  <c r="M66" i="86"/>
  <c r="K66" i="86"/>
  <c r="G66" i="86"/>
  <c r="AF65" i="86"/>
  <c r="AE65" i="86"/>
  <c r="V65" i="86"/>
  <c r="M65" i="86" s="1"/>
  <c r="N65" i="86" s="1"/>
  <c r="P65" i="86" s="1"/>
  <c r="U65" i="86"/>
  <c r="Q65" i="86"/>
  <c r="O65" i="86"/>
  <c r="K65" i="86"/>
  <c r="G65" i="86"/>
  <c r="V64" i="86"/>
  <c r="U64" i="86"/>
  <c r="O64" i="86"/>
  <c r="N64" i="86"/>
  <c r="Q64" i="86" s="1"/>
  <c r="M64" i="86"/>
  <c r="K64" i="86"/>
  <c r="G64" i="86"/>
  <c r="AF63" i="86"/>
  <c r="AE63" i="86"/>
  <c r="V63" i="86"/>
  <c r="O63" i="86"/>
  <c r="M63" i="86"/>
  <c r="N63" i="86" s="1"/>
  <c r="K63" i="86"/>
  <c r="G63" i="86"/>
  <c r="AF62" i="86"/>
  <c r="AG53" i="86" s="1"/>
  <c r="AE62" i="86"/>
  <c r="AD62" i="86"/>
  <c r="Z62" i="86"/>
  <c r="Y62" i="86"/>
  <c r="O62" i="86"/>
  <c r="M62" i="86"/>
  <c r="N62" i="86" s="1"/>
  <c r="K62" i="86"/>
  <c r="V61" i="86"/>
  <c r="U61" i="86"/>
  <c r="O61" i="86"/>
  <c r="M61" i="86"/>
  <c r="K61" i="86"/>
  <c r="G61" i="86"/>
  <c r="AF60" i="86"/>
  <c r="AE60" i="86"/>
  <c r="X60" i="86"/>
  <c r="W60" i="86"/>
  <c r="V60" i="86"/>
  <c r="M60" i="86" s="1"/>
  <c r="N60" i="86" s="1"/>
  <c r="U60" i="86"/>
  <c r="Q60" i="86"/>
  <c r="P60" i="86"/>
  <c r="O60" i="86"/>
  <c r="K60" i="86"/>
  <c r="G60" i="86"/>
  <c r="V59" i="86"/>
  <c r="U59" i="86"/>
  <c r="O59" i="86"/>
  <c r="N59" i="86"/>
  <c r="P59" i="86" s="1"/>
  <c r="M59" i="86"/>
  <c r="K59" i="86"/>
  <c r="G59" i="86"/>
  <c r="AF58" i="86"/>
  <c r="AE58" i="86"/>
  <c r="V58" i="86"/>
  <c r="M58" i="86" s="1"/>
  <c r="N58" i="86" s="1"/>
  <c r="P58" i="86" s="1"/>
  <c r="U58" i="86"/>
  <c r="Q58" i="86"/>
  <c r="O58" i="86"/>
  <c r="K58" i="86"/>
  <c r="G58" i="86"/>
  <c r="V57" i="86"/>
  <c r="U57" i="86"/>
  <c r="O57" i="86"/>
  <c r="N57" i="86"/>
  <c r="Q57" i="86" s="1"/>
  <c r="M57" i="86"/>
  <c r="K57" i="86"/>
  <c r="G57" i="86"/>
  <c r="AF56" i="86"/>
  <c r="AE56" i="86"/>
  <c r="V56" i="86"/>
  <c r="M56" i="86" s="1"/>
  <c r="N56" i="86" s="1"/>
  <c r="U56" i="86"/>
  <c r="O56" i="86"/>
  <c r="K56" i="86"/>
  <c r="G56" i="86"/>
  <c r="AF55" i="86"/>
  <c r="AE55" i="86"/>
  <c r="V55" i="86"/>
  <c r="U55" i="86"/>
  <c r="O55" i="86"/>
  <c r="N55" i="86"/>
  <c r="Q55" i="86" s="1"/>
  <c r="M55" i="86"/>
  <c r="K55" i="86"/>
  <c r="G55" i="86"/>
  <c r="AF54" i="86"/>
  <c r="V54" i="86"/>
  <c r="U54" i="86"/>
  <c r="O54" i="86"/>
  <c r="M54" i="86"/>
  <c r="AE54" i="86" s="1"/>
  <c r="K54" i="86"/>
  <c r="G54" i="86"/>
  <c r="AF53" i="86"/>
  <c r="AE53" i="86"/>
  <c r="V53" i="86"/>
  <c r="P53" i="86"/>
  <c r="O53" i="86"/>
  <c r="N53" i="86"/>
  <c r="Q53" i="86" s="1"/>
  <c r="M53" i="86"/>
  <c r="K53" i="86"/>
  <c r="G53" i="86"/>
  <c r="AD52" i="86"/>
  <c r="Z52" i="86"/>
  <c r="Y52" i="86"/>
  <c r="O52" i="86"/>
  <c r="M52" i="86"/>
  <c r="N52" i="86" s="1"/>
  <c r="K52" i="86"/>
  <c r="AF51" i="86"/>
  <c r="AE51" i="86"/>
  <c r="V51" i="86"/>
  <c r="M51" i="86" s="1"/>
  <c r="N51" i="86" s="1"/>
  <c r="U51" i="86"/>
  <c r="Q51" i="86"/>
  <c r="P51" i="86"/>
  <c r="O51" i="86"/>
  <c r="K51" i="86"/>
  <c r="G51" i="86"/>
  <c r="V50" i="86"/>
  <c r="U50" i="86"/>
  <c r="O50" i="86"/>
  <c r="N50" i="86"/>
  <c r="P50" i="86" s="1"/>
  <c r="M50" i="86"/>
  <c r="K50" i="86"/>
  <c r="G50" i="86"/>
  <c r="AF49" i="86"/>
  <c r="AE49" i="86"/>
  <c r="V49" i="86"/>
  <c r="M49" i="86" s="1"/>
  <c r="N49" i="86" s="1"/>
  <c r="O49" i="86"/>
  <c r="K49" i="86"/>
  <c r="G49" i="86"/>
  <c r="AD48" i="86"/>
  <c r="Z48" i="86"/>
  <c r="Y48" i="86"/>
  <c r="L18" i="85" s="1"/>
  <c r="O48" i="86"/>
  <c r="K48" i="86"/>
  <c r="AF47" i="86"/>
  <c r="AE47" i="86"/>
  <c r="V47" i="86"/>
  <c r="U47" i="86"/>
  <c r="O47" i="86"/>
  <c r="M47" i="86"/>
  <c r="N47" i="86" s="1"/>
  <c r="K47" i="86"/>
  <c r="G47" i="86"/>
  <c r="AF46" i="86"/>
  <c r="AE46" i="86"/>
  <c r="V46" i="86"/>
  <c r="U46" i="86"/>
  <c r="O46" i="86"/>
  <c r="N46" i="86"/>
  <c r="Q46" i="86" s="1"/>
  <c r="M46" i="86"/>
  <c r="K46" i="86"/>
  <c r="G46" i="86"/>
  <c r="X45" i="86"/>
  <c r="W45" i="86"/>
  <c r="V45" i="86"/>
  <c r="U45" i="86"/>
  <c r="O45" i="86"/>
  <c r="N45" i="86"/>
  <c r="M45" i="86"/>
  <c r="K45" i="86"/>
  <c r="G45" i="86"/>
  <c r="AF44" i="86"/>
  <c r="AE44" i="86"/>
  <c r="V44" i="86"/>
  <c r="M44" i="86" s="1"/>
  <c r="N44" i="86" s="1"/>
  <c r="U44" i="86"/>
  <c r="Q44" i="86"/>
  <c r="P44" i="86"/>
  <c r="O44" i="86"/>
  <c r="K44" i="86"/>
  <c r="G44" i="86"/>
  <c r="V43" i="86"/>
  <c r="U43" i="86"/>
  <c r="O43" i="86"/>
  <c r="N43" i="86"/>
  <c r="P43" i="86" s="1"/>
  <c r="M43" i="86"/>
  <c r="K43" i="86"/>
  <c r="G43" i="86"/>
  <c r="AF42" i="86"/>
  <c r="AE42" i="86"/>
  <c r="V42" i="86"/>
  <c r="M42" i="86" s="1"/>
  <c r="N42" i="86" s="1"/>
  <c r="P42" i="86" s="1"/>
  <c r="U42" i="86"/>
  <c r="Q42" i="86"/>
  <c r="O42" i="86"/>
  <c r="K42" i="86"/>
  <c r="G42" i="86"/>
  <c r="V41" i="86"/>
  <c r="U41" i="86"/>
  <c r="O41" i="86"/>
  <c r="M41" i="86"/>
  <c r="N41" i="86" s="1"/>
  <c r="K41" i="86"/>
  <c r="G41" i="86"/>
  <c r="AF40" i="86"/>
  <c r="AE40" i="86"/>
  <c r="X40" i="86"/>
  <c r="W40" i="86"/>
  <c r="V40" i="86"/>
  <c r="O40" i="86"/>
  <c r="M40" i="86"/>
  <c r="N40" i="86" s="1"/>
  <c r="K40" i="86"/>
  <c r="G40" i="86"/>
  <c r="AD39" i="86"/>
  <c r="Z39" i="86"/>
  <c r="Y39" i="86"/>
  <c r="K18" i="85" s="1"/>
  <c r="O39" i="86"/>
  <c r="K39" i="86"/>
  <c r="V38" i="86"/>
  <c r="U38" i="86"/>
  <c r="O38" i="86"/>
  <c r="N38" i="86"/>
  <c r="M38" i="86"/>
  <c r="K38" i="86"/>
  <c r="G38" i="86"/>
  <c r="AF37" i="86"/>
  <c r="AE37" i="86"/>
  <c r="V37" i="86"/>
  <c r="M37" i="86" s="1"/>
  <c r="N37" i="86" s="1"/>
  <c r="U37" i="86"/>
  <c r="Q37" i="86"/>
  <c r="P37" i="86"/>
  <c r="O37" i="86"/>
  <c r="K37" i="86"/>
  <c r="G37" i="86"/>
  <c r="X36" i="86"/>
  <c r="W36" i="86"/>
  <c r="V36" i="86"/>
  <c r="U36" i="86"/>
  <c r="O36" i="86"/>
  <c r="N36" i="86"/>
  <c r="P36" i="86" s="1"/>
  <c r="M36" i="86"/>
  <c r="K36" i="86"/>
  <c r="G36" i="86"/>
  <c r="AF35" i="86"/>
  <c r="AE35" i="86"/>
  <c r="V35" i="86"/>
  <c r="M35" i="86" s="1"/>
  <c r="N35" i="86" s="1"/>
  <c r="U35" i="86"/>
  <c r="O35" i="86"/>
  <c r="K35" i="86"/>
  <c r="G35" i="86"/>
  <c r="V34" i="86"/>
  <c r="U34" i="86"/>
  <c r="O34" i="86"/>
  <c r="N34" i="86"/>
  <c r="Q34" i="86" s="1"/>
  <c r="M34" i="86"/>
  <c r="AF34" i="86" s="1"/>
  <c r="K34" i="86"/>
  <c r="G34" i="86"/>
  <c r="X33" i="86"/>
  <c r="W33" i="86"/>
  <c r="V33" i="86"/>
  <c r="P33" i="86"/>
  <c r="O33" i="86"/>
  <c r="N33" i="86"/>
  <c r="Q33" i="86" s="1"/>
  <c r="M33" i="86"/>
  <c r="K33" i="86"/>
  <c r="G33" i="86"/>
  <c r="AD32" i="86"/>
  <c r="G21" i="85" s="1"/>
  <c r="Z32" i="86"/>
  <c r="G19" i="85" s="1"/>
  <c r="Y32" i="86"/>
  <c r="O32" i="86"/>
  <c r="K32" i="86"/>
  <c r="V31" i="86"/>
  <c r="U31" i="86"/>
  <c r="P31" i="86"/>
  <c r="O31" i="86"/>
  <c r="N31" i="86"/>
  <c r="Q31" i="86" s="1"/>
  <c r="M31" i="86"/>
  <c r="K31" i="86"/>
  <c r="G31" i="86"/>
  <c r="AF30" i="86"/>
  <c r="AE30" i="86"/>
  <c r="X30" i="86"/>
  <c r="W30" i="86"/>
  <c r="V30" i="86"/>
  <c r="M30" i="86" s="1"/>
  <c r="N30" i="86" s="1"/>
  <c r="U30" i="86"/>
  <c r="O30" i="86"/>
  <c r="K30" i="86"/>
  <c r="G30" i="86"/>
  <c r="AF29" i="86"/>
  <c r="AE29" i="86"/>
  <c r="V29" i="86"/>
  <c r="U29" i="86"/>
  <c r="P29" i="86"/>
  <c r="O29" i="86"/>
  <c r="N29" i="86"/>
  <c r="Q29" i="86" s="1"/>
  <c r="M29" i="86"/>
  <c r="K29" i="86"/>
  <c r="G29" i="86"/>
  <c r="AF28" i="86"/>
  <c r="V28" i="86"/>
  <c r="U28" i="86"/>
  <c r="O28" i="86"/>
  <c r="M28" i="86"/>
  <c r="K28" i="86"/>
  <c r="G28" i="86"/>
  <c r="AF27" i="86"/>
  <c r="AE27" i="86"/>
  <c r="V27" i="86"/>
  <c r="U27" i="86"/>
  <c r="O27" i="86"/>
  <c r="N27" i="86"/>
  <c r="Q27" i="86" s="1"/>
  <c r="M27" i="86"/>
  <c r="K27" i="86"/>
  <c r="G27" i="86"/>
  <c r="V26" i="86"/>
  <c r="U26" i="86"/>
  <c r="O26" i="86"/>
  <c r="N26" i="86"/>
  <c r="M26" i="86"/>
  <c r="K26" i="86"/>
  <c r="G26" i="86"/>
  <c r="AF25" i="86"/>
  <c r="AE25" i="86"/>
  <c r="V25" i="86"/>
  <c r="M25" i="86" s="1"/>
  <c r="U25" i="86"/>
  <c r="Q25" i="86"/>
  <c r="P25" i="86"/>
  <c r="O25" i="86"/>
  <c r="N25" i="86"/>
  <c r="K25" i="86"/>
  <c r="G25" i="86"/>
  <c r="V24" i="86"/>
  <c r="O24" i="86"/>
  <c r="N24" i="86"/>
  <c r="P24" i="86" s="1"/>
  <c r="M24" i="86"/>
  <c r="K24" i="86"/>
  <c r="G24" i="86"/>
  <c r="AD23" i="86"/>
  <c r="F21" i="85" s="1"/>
  <c r="Z23" i="86"/>
  <c r="F19" i="85" s="1"/>
  <c r="Y23" i="86"/>
  <c r="O23" i="86"/>
  <c r="K23" i="86"/>
  <c r="AE22" i="86"/>
  <c r="V22" i="86"/>
  <c r="U22" i="86"/>
  <c r="O22" i="86"/>
  <c r="N22" i="86"/>
  <c r="Q22" i="86" s="1"/>
  <c r="M22" i="86"/>
  <c r="AF22" i="86" s="1"/>
  <c r="K22" i="86"/>
  <c r="G22" i="86"/>
  <c r="AF21" i="86"/>
  <c r="AE21" i="86"/>
  <c r="X21" i="86"/>
  <c r="W21" i="86"/>
  <c r="V21" i="86"/>
  <c r="U21" i="86"/>
  <c r="O21" i="86"/>
  <c r="M21" i="86"/>
  <c r="N21" i="86" s="1"/>
  <c r="K21" i="86"/>
  <c r="G21" i="86"/>
  <c r="AF20" i="86"/>
  <c r="AE20" i="86"/>
  <c r="V20" i="86"/>
  <c r="U20" i="86"/>
  <c r="Q20" i="86"/>
  <c r="P20" i="86"/>
  <c r="O20" i="86"/>
  <c r="N20" i="86"/>
  <c r="M20" i="86"/>
  <c r="K20" i="86"/>
  <c r="G20" i="86"/>
  <c r="V19" i="86"/>
  <c r="U19" i="86"/>
  <c r="O19" i="86"/>
  <c r="N19" i="86"/>
  <c r="M19" i="86"/>
  <c r="K19" i="86"/>
  <c r="G19" i="86"/>
  <c r="AF18" i="86"/>
  <c r="AE18" i="86"/>
  <c r="V18" i="86"/>
  <c r="M18" i="86" s="1"/>
  <c r="U18" i="86"/>
  <c r="Q18" i="86"/>
  <c r="P18" i="86"/>
  <c r="O18" i="86"/>
  <c r="N18" i="86"/>
  <c r="K18" i="86"/>
  <c r="G18" i="86"/>
  <c r="V17" i="86"/>
  <c r="U17" i="86"/>
  <c r="Q17" i="86"/>
  <c r="P17" i="86"/>
  <c r="O17" i="86"/>
  <c r="N17" i="86"/>
  <c r="M17" i="86"/>
  <c r="K17" i="86"/>
  <c r="G17" i="86"/>
  <c r="AF16" i="86"/>
  <c r="AE16" i="86"/>
  <c r="V16" i="86"/>
  <c r="M16" i="86" s="1"/>
  <c r="N16" i="86" s="1"/>
  <c r="U16" i="86"/>
  <c r="Q16" i="86"/>
  <c r="P16" i="86"/>
  <c r="O16" i="86"/>
  <c r="K16" i="86"/>
  <c r="G16" i="86"/>
  <c r="V15" i="86"/>
  <c r="O15" i="86"/>
  <c r="M15" i="86"/>
  <c r="N15" i="86" s="1"/>
  <c r="K15" i="86"/>
  <c r="G15" i="86"/>
  <c r="AD14" i="86"/>
  <c r="E21" i="85" s="1"/>
  <c r="Z14" i="86"/>
  <c r="E19" i="85" s="1"/>
  <c r="Y14" i="86"/>
  <c r="O14" i="86"/>
  <c r="K14" i="86"/>
  <c r="V13" i="86"/>
  <c r="U13" i="86"/>
  <c r="O13" i="86"/>
  <c r="M13" i="86"/>
  <c r="AF13" i="86" s="1"/>
  <c r="K13" i="86"/>
  <c r="G13" i="86"/>
  <c r="AF12" i="86"/>
  <c r="X12" i="86"/>
  <c r="W12" i="86"/>
  <c r="V12" i="86"/>
  <c r="U12" i="86"/>
  <c r="O12" i="86"/>
  <c r="N12" i="86"/>
  <c r="M12" i="86"/>
  <c r="AE12" i="86" s="1"/>
  <c r="K12" i="86"/>
  <c r="G12" i="86"/>
  <c r="AF11" i="86"/>
  <c r="AE11" i="86"/>
  <c r="V11" i="86"/>
  <c r="M11" i="86" s="1"/>
  <c r="U11" i="86"/>
  <c r="O11" i="86"/>
  <c r="N11" i="86"/>
  <c r="P11" i="86" s="1"/>
  <c r="K11" i="86"/>
  <c r="G11" i="86"/>
  <c r="X10" i="86"/>
  <c r="W10" i="86"/>
  <c r="V10" i="86"/>
  <c r="O10" i="86"/>
  <c r="M10" i="86"/>
  <c r="N10" i="86" s="1"/>
  <c r="K10" i="86"/>
  <c r="G10" i="86"/>
  <c r="AD9" i="86"/>
  <c r="D21" i="85" s="1"/>
  <c r="Z9" i="86"/>
  <c r="D19" i="85" s="1"/>
  <c r="Y9" i="86"/>
  <c r="O9" i="86"/>
  <c r="K9" i="86"/>
  <c r="AF8" i="86"/>
  <c r="AE8" i="86"/>
  <c r="V8" i="86"/>
  <c r="U8" i="86"/>
  <c r="O8" i="86"/>
  <c r="N8" i="86"/>
  <c r="P8" i="86" s="1"/>
  <c r="M8" i="86"/>
  <c r="K8" i="86"/>
  <c r="G8" i="86"/>
  <c r="AF7" i="86"/>
  <c r="X7" i="86"/>
  <c r="W7" i="86"/>
  <c r="V7" i="86"/>
  <c r="U7" i="86"/>
  <c r="O7" i="86"/>
  <c r="N7" i="86"/>
  <c r="M7" i="86"/>
  <c r="AE7" i="86" s="1"/>
  <c r="K7" i="86"/>
  <c r="G7" i="86"/>
  <c r="AF6" i="86"/>
  <c r="AE6" i="86"/>
  <c r="V6" i="86"/>
  <c r="M6" i="86" s="1"/>
  <c r="U6" i="86"/>
  <c r="Q6" i="86"/>
  <c r="P6" i="86"/>
  <c r="O6" i="86"/>
  <c r="N6" i="86"/>
  <c r="K6" i="86"/>
  <c r="G6" i="86"/>
  <c r="V5" i="86"/>
  <c r="O5" i="86"/>
  <c r="N5" i="86"/>
  <c r="Q5" i="86" s="1"/>
  <c r="M5" i="86"/>
  <c r="K5" i="86"/>
  <c r="G5" i="86"/>
  <c r="F1" i="86" s="1"/>
  <c r="AD2" i="86"/>
  <c r="N6" i="85" s="1"/>
  <c r="Z2" i="86"/>
  <c r="Y2" i="86"/>
  <c r="H2" i="86"/>
  <c r="F2" i="86"/>
  <c r="H1" i="86"/>
  <c r="D1" i="86"/>
  <c r="M22" i="85"/>
  <c r="L22" i="85"/>
  <c r="K22" i="85"/>
  <c r="J22" i="85"/>
  <c r="I22" i="85"/>
  <c r="H22" i="85"/>
  <c r="G22" i="85"/>
  <c r="F22" i="85"/>
  <c r="E22" i="85"/>
  <c r="D22" i="85"/>
  <c r="M21" i="85"/>
  <c r="L21" i="85"/>
  <c r="K21" i="85"/>
  <c r="J21" i="85"/>
  <c r="I21" i="85"/>
  <c r="H21" i="85"/>
  <c r="M20" i="85"/>
  <c r="L20" i="85"/>
  <c r="K20" i="85"/>
  <c r="J20" i="85"/>
  <c r="I20" i="85"/>
  <c r="H20" i="85"/>
  <c r="G20" i="85"/>
  <c r="F20" i="85"/>
  <c r="E20" i="85"/>
  <c r="D20" i="85"/>
  <c r="M19" i="85"/>
  <c r="L19" i="85"/>
  <c r="K19" i="85"/>
  <c r="J19" i="85"/>
  <c r="I19" i="85"/>
  <c r="H19" i="85"/>
  <c r="M18" i="85"/>
  <c r="J18" i="85"/>
  <c r="I18" i="85"/>
  <c r="H18" i="85"/>
  <c r="G18" i="85"/>
  <c r="F18" i="85"/>
  <c r="E18" i="85"/>
  <c r="D18" i="85"/>
  <c r="M17" i="85"/>
  <c r="L17" i="85"/>
  <c r="K17" i="85"/>
  <c r="J17" i="85"/>
  <c r="I17" i="85"/>
  <c r="H17" i="85"/>
  <c r="G17" i="85"/>
  <c r="F17" i="85"/>
  <c r="E17" i="85"/>
  <c r="D17" i="85"/>
  <c r="M16" i="85"/>
  <c r="L16" i="85"/>
  <c r="K16" i="85"/>
  <c r="J16" i="85"/>
  <c r="I16" i="85"/>
  <c r="H16" i="85"/>
  <c r="G16" i="85"/>
  <c r="F16" i="85"/>
  <c r="E16" i="85"/>
  <c r="D16" i="85"/>
  <c r="M13" i="85"/>
  <c r="I6" i="85" s="1"/>
  <c r="L13" i="85"/>
  <c r="K13" i="85"/>
  <c r="J13" i="85"/>
  <c r="I13" i="85"/>
  <c r="H13" i="85"/>
  <c r="G13" i="85"/>
  <c r="F13" i="85"/>
  <c r="E13" i="85"/>
  <c r="D13" i="85"/>
  <c r="M6" i="85"/>
  <c r="L6" i="85"/>
  <c r="K6" i="85"/>
  <c r="G6" i="85"/>
  <c r="F6" i="85"/>
  <c r="I3" i="85"/>
  <c r="F3" i="85"/>
  <c r="C3" i="85"/>
  <c r="Q62" i="86" l="1"/>
  <c r="R53" i="86" s="1"/>
  <c r="I14" i="85"/>
  <c r="I15" i="85" s="1"/>
  <c r="P62" i="86"/>
  <c r="Q52" i="86"/>
  <c r="R49" i="86" s="1"/>
  <c r="H14" i="85"/>
  <c r="H15" i="85" s="1"/>
  <c r="P52" i="86"/>
  <c r="P71" i="86"/>
  <c r="Q71" i="86"/>
  <c r="P74" i="86"/>
  <c r="Q74" i="86"/>
  <c r="Q68" i="86"/>
  <c r="R63" i="86" s="1"/>
  <c r="J14" i="85"/>
  <c r="J15" i="85" s="1"/>
  <c r="P68" i="86"/>
  <c r="Q15" i="86"/>
  <c r="P15" i="86"/>
  <c r="P10" i="86"/>
  <c r="Q10" i="86"/>
  <c r="Q41" i="86"/>
  <c r="P41" i="86"/>
  <c r="E6" i="85"/>
  <c r="Q8" i="86"/>
  <c r="Q36" i="86"/>
  <c r="Q43" i="86"/>
  <c r="AE34" i="86"/>
  <c r="M48" i="86"/>
  <c r="Q11" i="86"/>
  <c r="Q50" i="86"/>
  <c r="Q59" i="86"/>
  <c r="P66" i="86"/>
  <c r="P5" i="86"/>
  <c r="AE15" i="86"/>
  <c r="Q24" i="86"/>
  <c r="P46" i="86"/>
  <c r="P57" i="86"/>
  <c r="M75" i="86"/>
  <c r="N75" i="86" s="1"/>
  <c r="AE13" i="86"/>
  <c r="P22" i="86"/>
  <c r="P55" i="86"/>
  <c r="P64" i="86"/>
  <c r="P34" i="86"/>
  <c r="N13" i="86"/>
  <c r="AE74" i="86"/>
  <c r="AF74" i="86"/>
  <c r="P27" i="86"/>
  <c r="P69" i="86"/>
  <c r="AF5" i="86"/>
  <c r="AE5" i="86"/>
  <c r="M9" i="86"/>
  <c r="Q7" i="86"/>
  <c r="P7" i="86"/>
  <c r="AF10" i="86"/>
  <c r="AE10" i="86"/>
  <c r="M14" i="86"/>
  <c r="Q12" i="86"/>
  <c r="P12" i="86"/>
  <c r="M23" i="86"/>
  <c r="AF15" i="86"/>
  <c r="AF17" i="86"/>
  <c r="AE17" i="86"/>
  <c r="AF19" i="86"/>
  <c r="AE19" i="86"/>
  <c r="Q19" i="86"/>
  <c r="P19" i="86"/>
  <c r="Q21" i="86"/>
  <c r="P21" i="86"/>
  <c r="M32" i="86"/>
  <c r="AF24" i="86"/>
  <c r="AE24" i="86"/>
  <c r="AF26" i="86"/>
  <c r="AE26" i="86"/>
  <c r="Q26" i="86"/>
  <c r="P26" i="86"/>
  <c r="AE28" i="86"/>
  <c r="N28" i="86"/>
  <c r="Q30" i="86"/>
  <c r="P30" i="86"/>
  <c r="AF31" i="86"/>
  <c r="AE31" i="86"/>
  <c r="M39" i="86"/>
  <c r="AF33" i="86"/>
  <c r="AE33" i="86"/>
  <c r="Q35" i="86"/>
  <c r="P35" i="86"/>
  <c r="AF36" i="86"/>
  <c r="AE36" i="86"/>
  <c r="AF38" i="86"/>
  <c r="AE38" i="86"/>
  <c r="Q38" i="86"/>
  <c r="P38" i="86"/>
  <c r="Q40" i="86"/>
  <c r="P40" i="86"/>
  <c r="AF41" i="86"/>
  <c r="AE41" i="86"/>
  <c r="AF43" i="86"/>
  <c r="AE43" i="86"/>
  <c r="AF45" i="86"/>
  <c r="AE45" i="86"/>
  <c r="Q45" i="86"/>
  <c r="P45" i="86"/>
  <c r="Q47" i="86"/>
  <c r="P47" i="86"/>
  <c r="Q49" i="86"/>
  <c r="P49" i="86"/>
  <c r="AF50" i="86"/>
  <c r="AE50" i="86"/>
  <c r="AF52" i="86"/>
  <c r="AG49" i="86" s="1"/>
  <c r="AE52" i="86"/>
  <c r="Q56" i="86"/>
  <c r="P56" i="86"/>
  <c r="AF57" i="86"/>
  <c r="AE57" i="86"/>
  <c r="AF59" i="86"/>
  <c r="AE59" i="86"/>
  <c r="AF61" i="86"/>
  <c r="AE61" i="86"/>
  <c r="N61" i="86"/>
  <c r="Q63" i="86"/>
  <c r="P63" i="86"/>
  <c r="AF64" i="86"/>
  <c r="AE64" i="86"/>
  <c r="AF66" i="86"/>
  <c r="AE66" i="86"/>
  <c r="AF68" i="86"/>
  <c r="AG63" i="86" s="1"/>
  <c r="AE68" i="86"/>
  <c r="Q70" i="86"/>
  <c r="P70" i="86"/>
  <c r="AF71" i="86"/>
  <c r="AE71" i="86"/>
  <c r="AF73" i="86"/>
  <c r="AE73" i="86"/>
  <c r="M14" i="85"/>
  <c r="M15" i="85" s="1"/>
  <c r="Q75" i="86"/>
  <c r="R69" i="86" s="1"/>
  <c r="P75" i="86"/>
  <c r="N54" i="86"/>
  <c r="AD75" i="84"/>
  <c r="Z75" i="84"/>
  <c r="Y75" i="84"/>
  <c r="O75" i="84"/>
  <c r="K75" i="84"/>
  <c r="V74" i="84"/>
  <c r="U74" i="84"/>
  <c r="O74" i="84"/>
  <c r="M74" i="84"/>
  <c r="K74" i="84"/>
  <c r="G74" i="84"/>
  <c r="V73" i="84"/>
  <c r="U73" i="84"/>
  <c r="O73" i="84"/>
  <c r="M73" i="84"/>
  <c r="AF73" i="84" s="1"/>
  <c r="K73" i="84"/>
  <c r="G73" i="84"/>
  <c r="V72" i="84"/>
  <c r="M72" i="84" s="1"/>
  <c r="U72" i="84"/>
  <c r="O72" i="84"/>
  <c r="K72" i="84"/>
  <c r="G72" i="84"/>
  <c r="X71" i="84"/>
  <c r="W71" i="84"/>
  <c r="V71" i="84"/>
  <c r="U71" i="84"/>
  <c r="O71" i="84"/>
  <c r="M71" i="84"/>
  <c r="N71" i="84" s="1"/>
  <c r="K71" i="84"/>
  <c r="G71" i="84"/>
  <c r="V70" i="84"/>
  <c r="M70" i="84" s="1"/>
  <c r="AE70" i="84" s="1"/>
  <c r="U70" i="84"/>
  <c r="O70" i="84"/>
  <c r="K70" i="84"/>
  <c r="G70" i="84"/>
  <c r="V69" i="84"/>
  <c r="U69" i="84"/>
  <c r="O69" i="84"/>
  <c r="M69" i="84"/>
  <c r="AE69" i="84" s="1"/>
  <c r="K69" i="84"/>
  <c r="G69" i="84"/>
  <c r="AF68" i="84"/>
  <c r="AE68" i="84"/>
  <c r="V68" i="84"/>
  <c r="U68" i="84"/>
  <c r="O68" i="84"/>
  <c r="N68" i="84"/>
  <c r="Q68" i="84" s="1"/>
  <c r="M68" i="84"/>
  <c r="K68" i="84"/>
  <c r="G68" i="84"/>
  <c r="X67" i="84"/>
  <c r="W67" i="84"/>
  <c r="V67" i="84"/>
  <c r="M67" i="84" s="1"/>
  <c r="O67" i="84"/>
  <c r="K67" i="84"/>
  <c r="G67" i="84"/>
  <c r="AD66" i="84"/>
  <c r="Z66" i="84"/>
  <c r="Y66" i="84"/>
  <c r="O66" i="84"/>
  <c r="K66" i="84"/>
  <c r="V65" i="84"/>
  <c r="M65" i="84" s="1"/>
  <c r="U65" i="84"/>
  <c r="O65" i="84"/>
  <c r="K65" i="84"/>
  <c r="G65" i="84"/>
  <c r="V64" i="84"/>
  <c r="U64" i="84"/>
  <c r="O64" i="84"/>
  <c r="M64" i="84"/>
  <c r="AF64" i="84" s="1"/>
  <c r="K64" i="84"/>
  <c r="G64" i="84"/>
  <c r="V63" i="84"/>
  <c r="M63" i="84" s="1"/>
  <c r="U63" i="84"/>
  <c r="O63" i="84"/>
  <c r="K63" i="84"/>
  <c r="G63" i="84"/>
  <c r="V62" i="84"/>
  <c r="U62" i="84"/>
  <c r="O62" i="84"/>
  <c r="M62" i="84"/>
  <c r="K62" i="84"/>
  <c r="G62" i="84"/>
  <c r="AF61" i="84"/>
  <c r="AE61" i="84"/>
  <c r="V61" i="84"/>
  <c r="O61" i="84"/>
  <c r="N61" i="84"/>
  <c r="Q61" i="84" s="1"/>
  <c r="M61" i="84"/>
  <c r="K61" i="84"/>
  <c r="G61" i="84"/>
  <c r="AD60" i="84"/>
  <c r="Z60" i="84"/>
  <c r="Y60" i="84"/>
  <c r="I18" i="83" s="1"/>
  <c r="O60" i="84"/>
  <c r="K60" i="84"/>
  <c r="V59" i="84"/>
  <c r="U59" i="84"/>
  <c r="O59" i="84"/>
  <c r="M59" i="84"/>
  <c r="AF59" i="84" s="1"/>
  <c r="K59" i="84"/>
  <c r="G59" i="84"/>
  <c r="X58" i="84"/>
  <c r="W58" i="84"/>
  <c r="V58" i="84"/>
  <c r="M58" i="84" s="1"/>
  <c r="U58" i="84"/>
  <c r="O58" i="84"/>
  <c r="K58" i="84"/>
  <c r="G58" i="84"/>
  <c r="V57" i="84"/>
  <c r="U57" i="84"/>
  <c r="O57" i="84"/>
  <c r="M57" i="84"/>
  <c r="AF57" i="84" s="1"/>
  <c r="K57" i="84"/>
  <c r="G57" i="84"/>
  <c r="V56" i="84"/>
  <c r="M56" i="84" s="1"/>
  <c r="U56" i="84"/>
  <c r="O56" i="84"/>
  <c r="K56" i="84"/>
  <c r="G56" i="84"/>
  <c r="V55" i="84"/>
  <c r="U55" i="84"/>
  <c r="O55" i="84"/>
  <c r="M55" i="84"/>
  <c r="AE55" i="84" s="1"/>
  <c r="K55" i="84"/>
  <c r="G55" i="84"/>
  <c r="AF54" i="84"/>
  <c r="AE54" i="84"/>
  <c r="V54" i="84"/>
  <c r="U54" i="84"/>
  <c r="O54" i="84"/>
  <c r="N54" i="84"/>
  <c r="Q54" i="84" s="1"/>
  <c r="M54" i="84"/>
  <c r="K54" i="84"/>
  <c r="G54" i="84"/>
  <c r="V53" i="84"/>
  <c r="U53" i="84"/>
  <c r="O53" i="84"/>
  <c r="M53" i="84"/>
  <c r="K53" i="84"/>
  <c r="G53" i="84"/>
  <c r="AF52" i="84"/>
  <c r="AE52" i="84"/>
  <c r="V52" i="84"/>
  <c r="U52" i="84"/>
  <c r="O52" i="84"/>
  <c r="N52" i="84"/>
  <c r="P52" i="84" s="1"/>
  <c r="M52" i="84"/>
  <c r="K52" i="84"/>
  <c r="G52" i="84"/>
  <c r="V51" i="84"/>
  <c r="M51" i="84" s="1"/>
  <c r="O51" i="84"/>
  <c r="K51" i="84"/>
  <c r="G51" i="84"/>
  <c r="AD50" i="84"/>
  <c r="Z50" i="84"/>
  <c r="Y50" i="84"/>
  <c r="O50" i="84"/>
  <c r="K50" i="84"/>
  <c r="V49" i="84"/>
  <c r="M49" i="84" s="1"/>
  <c r="U49" i="84"/>
  <c r="O49" i="84"/>
  <c r="K49" i="84"/>
  <c r="G49" i="84"/>
  <c r="V48" i="84"/>
  <c r="U48" i="84"/>
  <c r="O48" i="84"/>
  <c r="M48" i="84"/>
  <c r="AF48" i="84" s="1"/>
  <c r="K48" i="84"/>
  <c r="G48" i="84"/>
  <c r="AF47" i="84"/>
  <c r="AE47" i="84"/>
  <c r="V47" i="84"/>
  <c r="O47" i="84"/>
  <c r="N47" i="84"/>
  <c r="Q47" i="84" s="1"/>
  <c r="M47" i="84"/>
  <c r="K47" i="84"/>
  <c r="G47" i="84"/>
  <c r="AD46" i="84"/>
  <c r="Z46" i="84"/>
  <c r="L19" i="83" s="1"/>
  <c r="Y46" i="84"/>
  <c r="L18" i="83" s="1"/>
  <c r="O46" i="84"/>
  <c r="K46" i="84"/>
  <c r="L13" i="83" s="1"/>
  <c r="AF45" i="84"/>
  <c r="AE45" i="84"/>
  <c r="V45" i="84"/>
  <c r="U45" i="84"/>
  <c r="O45" i="84"/>
  <c r="N45" i="84"/>
  <c r="Q45" i="84" s="1"/>
  <c r="M45" i="84"/>
  <c r="K45" i="84"/>
  <c r="G45" i="84"/>
  <c r="V44" i="84"/>
  <c r="U44" i="84"/>
  <c r="O44" i="84"/>
  <c r="M44" i="84"/>
  <c r="K44" i="84"/>
  <c r="G44" i="84"/>
  <c r="X43" i="84"/>
  <c r="W43" i="84"/>
  <c r="V43" i="84"/>
  <c r="U43" i="84"/>
  <c r="O43" i="84"/>
  <c r="M43" i="84"/>
  <c r="AF43" i="84" s="1"/>
  <c r="K43" i="84"/>
  <c r="G43" i="84"/>
  <c r="V42" i="84"/>
  <c r="M42" i="84" s="1"/>
  <c r="U42" i="84"/>
  <c r="O42" i="84"/>
  <c r="K42" i="84"/>
  <c r="G42" i="84"/>
  <c r="V41" i="84"/>
  <c r="U41" i="84"/>
  <c r="O41" i="84"/>
  <c r="M41" i="84"/>
  <c r="N41" i="84" s="1"/>
  <c r="K41" i="84"/>
  <c r="G41" i="84"/>
  <c r="V40" i="84"/>
  <c r="M40" i="84" s="1"/>
  <c r="U40" i="84"/>
  <c r="O40" i="84"/>
  <c r="K40" i="84"/>
  <c r="G40" i="84"/>
  <c r="V39" i="84"/>
  <c r="U39" i="84"/>
  <c r="O39" i="84"/>
  <c r="M39" i="84"/>
  <c r="K39" i="84"/>
  <c r="G39" i="84"/>
  <c r="X38" i="84"/>
  <c r="W38" i="84"/>
  <c r="V38" i="84"/>
  <c r="O38" i="84"/>
  <c r="M38" i="84"/>
  <c r="AF38" i="84" s="1"/>
  <c r="K38" i="84"/>
  <c r="G38" i="84"/>
  <c r="AD37" i="84"/>
  <c r="K21" i="83" s="1"/>
  <c r="Z37" i="84"/>
  <c r="K19" i="83" s="1"/>
  <c r="Y37" i="84"/>
  <c r="K18" i="83" s="1"/>
  <c r="O37" i="84"/>
  <c r="K37" i="84"/>
  <c r="V36" i="84"/>
  <c r="U36" i="84"/>
  <c r="O36" i="84"/>
  <c r="M36" i="84"/>
  <c r="N36" i="84" s="1"/>
  <c r="K36" i="84"/>
  <c r="G36" i="84"/>
  <c r="V35" i="84"/>
  <c r="M35" i="84" s="1"/>
  <c r="U35" i="84"/>
  <c r="O35" i="84"/>
  <c r="K35" i="84"/>
  <c r="G35" i="84"/>
  <c r="V34" i="84"/>
  <c r="U34" i="84"/>
  <c r="O34" i="84"/>
  <c r="M34" i="84"/>
  <c r="AF34" i="84" s="1"/>
  <c r="K34" i="84"/>
  <c r="G34" i="84"/>
  <c r="AF33" i="84"/>
  <c r="AE33" i="84"/>
  <c r="X33" i="84"/>
  <c r="W33" i="84"/>
  <c r="V33" i="84"/>
  <c r="U33" i="84"/>
  <c r="O33" i="84"/>
  <c r="N33" i="84"/>
  <c r="Q33" i="84" s="1"/>
  <c r="M33" i="84"/>
  <c r="K33" i="84"/>
  <c r="G33" i="84"/>
  <c r="V32" i="84"/>
  <c r="U32" i="84"/>
  <c r="O32" i="84"/>
  <c r="M32" i="84"/>
  <c r="K32" i="84"/>
  <c r="G32" i="84"/>
  <c r="AF31" i="84"/>
  <c r="AE31" i="84"/>
  <c r="V31" i="84"/>
  <c r="U31" i="84"/>
  <c r="O31" i="84"/>
  <c r="N31" i="84"/>
  <c r="P31" i="84" s="1"/>
  <c r="M31" i="84"/>
  <c r="K31" i="84"/>
  <c r="G31" i="84"/>
  <c r="X30" i="84"/>
  <c r="W30" i="84"/>
  <c r="V30" i="84"/>
  <c r="M30" i="84" s="1"/>
  <c r="O30" i="84"/>
  <c r="K30" i="84"/>
  <c r="G30" i="84"/>
  <c r="AD29" i="84"/>
  <c r="Z29" i="84"/>
  <c r="Y29" i="84"/>
  <c r="G18" i="83" s="1"/>
  <c r="O29" i="84"/>
  <c r="K29" i="84"/>
  <c r="G13" i="83" s="1"/>
  <c r="AE28" i="84"/>
  <c r="V28" i="84"/>
  <c r="M28" i="84" s="1"/>
  <c r="U28" i="84"/>
  <c r="O28" i="84"/>
  <c r="K28" i="84"/>
  <c r="G28" i="84"/>
  <c r="V27" i="84"/>
  <c r="U27" i="84"/>
  <c r="O27" i="84"/>
  <c r="M27" i="84"/>
  <c r="K27" i="84"/>
  <c r="G27" i="84"/>
  <c r="AF26" i="84"/>
  <c r="AE26" i="84"/>
  <c r="V26" i="84"/>
  <c r="U26" i="84"/>
  <c r="O26" i="84"/>
  <c r="N26" i="84"/>
  <c r="Q26" i="84" s="1"/>
  <c r="M26" i="84"/>
  <c r="K26" i="84"/>
  <c r="G26" i="84"/>
  <c r="V25" i="84"/>
  <c r="U25" i="84"/>
  <c r="O25" i="84"/>
  <c r="M25" i="84"/>
  <c r="K25" i="84"/>
  <c r="G25" i="84"/>
  <c r="AF24" i="84"/>
  <c r="AE24" i="84"/>
  <c r="V24" i="84"/>
  <c r="U24" i="84"/>
  <c r="O24" i="84"/>
  <c r="N24" i="84"/>
  <c r="P24" i="84" s="1"/>
  <c r="M24" i="84"/>
  <c r="K24" i="84"/>
  <c r="G24" i="84"/>
  <c r="V23" i="84"/>
  <c r="M23" i="84" s="1"/>
  <c r="O23" i="84"/>
  <c r="K23" i="84"/>
  <c r="G23" i="84"/>
  <c r="AD22" i="84"/>
  <c r="Z22" i="84"/>
  <c r="Y22" i="84"/>
  <c r="O22" i="84"/>
  <c r="K22" i="84"/>
  <c r="V21" i="84"/>
  <c r="M21" i="84" s="1"/>
  <c r="U21" i="84"/>
  <c r="O21" i="84"/>
  <c r="K21" i="84"/>
  <c r="G21" i="84"/>
  <c r="V20" i="84"/>
  <c r="U20" i="84"/>
  <c r="O20" i="84"/>
  <c r="M20" i="84"/>
  <c r="AF20" i="84" s="1"/>
  <c r="K20" i="84"/>
  <c r="G20" i="84"/>
  <c r="AE19" i="84"/>
  <c r="V19" i="84"/>
  <c r="M19" i="84" s="1"/>
  <c r="U19" i="84"/>
  <c r="O19" i="84"/>
  <c r="K19" i="84"/>
  <c r="G19" i="84"/>
  <c r="V18" i="84"/>
  <c r="U18" i="84"/>
  <c r="O18" i="84"/>
  <c r="M18" i="84"/>
  <c r="K18" i="84"/>
  <c r="G18" i="84"/>
  <c r="AF17" i="84"/>
  <c r="AE17" i="84"/>
  <c r="V17" i="84"/>
  <c r="U17" i="84"/>
  <c r="O17" i="84"/>
  <c r="N17" i="84"/>
  <c r="Q17" i="84" s="1"/>
  <c r="M17" i="84"/>
  <c r="K17" i="84"/>
  <c r="G17" i="84"/>
  <c r="V16" i="84"/>
  <c r="U16" i="84"/>
  <c r="O16" i="84"/>
  <c r="M16" i="84"/>
  <c r="K16" i="84"/>
  <c r="G16" i="84"/>
  <c r="V15" i="84"/>
  <c r="O15" i="84"/>
  <c r="M15" i="84"/>
  <c r="AF15" i="84" s="1"/>
  <c r="K15" i="84"/>
  <c r="G15" i="84"/>
  <c r="AD14" i="84"/>
  <c r="Z14" i="84"/>
  <c r="Y14" i="84"/>
  <c r="E18" i="83" s="1"/>
  <c r="O14" i="84"/>
  <c r="K14" i="84"/>
  <c r="V13" i="84"/>
  <c r="U13" i="84"/>
  <c r="O13" i="84"/>
  <c r="M13" i="84"/>
  <c r="N13" i="84" s="1"/>
  <c r="K13" i="84"/>
  <c r="G13" i="84"/>
  <c r="AE12" i="84"/>
  <c r="X12" i="84"/>
  <c r="W12" i="84"/>
  <c r="V12" i="84"/>
  <c r="M12" i="84" s="1"/>
  <c r="U12" i="84"/>
  <c r="O12" i="84"/>
  <c r="K12" i="84"/>
  <c r="G12" i="84"/>
  <c r="V11" i="84"/>
  <c r="U11" i="84"/>
  <c r="O11" i="84"/>
  <c r="M11" i="84"/>
  <c r="K11" i="84"/>
  <c r="G11" i="84"/>
  <c r="X10" i="84"/>
  <c r="W10" i="84"/>
  <c r="V10" i="84"/>
  <c r="O10" i="84"/>
  <c r="M10" i="84"/>
  <c r="AF10" i="84" s="1"/>
  <c r="K10" i="84"/>
  <c r="G10" i="84"/>
  <c r="AD9" i="84"/>
  <c r="AD2" i="84" s="1"/>
  <c r="N6" i="83" s="1"/>
  <c r="Z9" i="84"/>
  <c r="Y9" i="84"/>
  <c r="D18" i="83" s="1"/>
  <c r="O9" i="84"/>
  <c r="K9" i="84"/>
  <c r="V8" i="84"/>
  <c r="U8" i="84"/>
  <c r="O8" i="84"/>
  <c r="M8" i="84"/>
  <c r="N8" i="84" s="1"/>
  <c r="K8" i="84"/>
  <c r="G8" i="84"/>
  <c r="AE7" i="84"/>
  <c r="X7" i="84"/>
  <c r="W7" i="84"/>
  <c r="V7" i="84"/>
  <c r="M7" i="84" s="1"/>
  <c r="U7" i="84"/>
  <c r="O7" i="84"/>
  <c r="K7" i="84"/>
  <c r="G7" i="84"/>
  <c r="V6" i="84"/>
  <c r="U6" i="84"/>
  <c r="O6" i="84"/>
  <c r="M6" i="84"/>
  <c r="K6" i="84"/>
  <c r="G6" i="84"/>
  <c r="F1" i="84" s="1"/>
  <c r="AF5" i="84"/>
  <c r="AE5" i="84"/>
  <c r="V5" i="84"/>
  <c r="O5" i="84"/>
  <c r="N5" i="84"/>
  <c r="Q5" i="84" s="1"/>
  <c r="M5" i="84"/>
  <c r="K5" i="84"/>
  <c r="G5" i="84"/>
  <c r="H2" i="84"/>
  <c r="H1" i="84"/>
  <c r="D1" i="84"/>
  <c r="M22" i="83"/>
  <c r="L22" i="83"/>
  <c r="K22" i="83"/>
  <c r="J22" i="83"/>
  <c r="I22" i="83"/>
  <c r="H22" i="83"/>
  <c r="G22" i="83"/>
  <c r="F22" i="83"/>
  <c r="E22" i="83"/>
  <c r="D22" i="83"/>
  <c r="M21" i="83"/>
  <c r="L21" i="83"/>
  <c r="J21" i="83"/>
  <c r="I21" i="83"/>
  <c r="H21" i="83"/>
  <c r="G21" i="83"/>
  <c r="F21" i="83"/>
  <c r="E21" i="83"/>
  <c r="D21" i="83"/>
  <c r="M20" i="83"/>
  <c r="L20" i="83"/>
  <c r="K20" i="83"/>
  <c r="J20" i="83"/>
  <c r="I20" i="83"/>
  <c r="H20" i="83"/>
  <c r="G20" i="83"/>
  <c r="F20" i="83"/>
  <c r="E20" i="83"/>
  <c r="D20" i="83"/>
  <c r="M19" i="83"/>
  <c r="J19" i="83"/>
  <c r="I19" i="83"/>
  <c r="H19" i="83"/>
  <c r="G19" i="83"/>
  <c r="F19" i="83"/>
  <c r="E19" i="83"/>
  <c r="D19" i="83"/>
  <c r="M18" i="83"/>
  <c r="J18" i="83"/>
  <c r="H18" i="83"/>
  <c r="F18" i="83"/>
  <c r="M17" i="83"/>
  <c r="L17" i="83"/>
  <c r="K17" i="83"/>
  <c r="J17" i="83"/>
  <c r="I17" i="83"/>
  <c r="H17" i="83"/>
  <c r="G17" i="83"/>
  <c r="F17" i="83"/>
  <c r="E17" i="83"/>
  <c r="D17" i="83"/>
  <c r="M16" i="83"/>
  <c r="L16" i="83"/>
  <c r="K16" i="83"/>
  <c r="J16" i="83"/>
  <c r="I16" i="83"/>
  <c r="H16" i="83"/>
  <c r="G16" i="83"/>
  <c r="F16" i="83"/>
  <c r="E16" i="83"/>
  <c r="D16" i="83"/>
  <c r="M13" i="83"/>
  <c r="K13" i="83"/>
  <c r="J13" i="83"/>
  <c r="I13" i="83"/>
  <c r="H13" i="83"/>
  <c r="F13" i="83"/>
  <c r="E13" i="83"/>
  <c r="D13" i="83"/>
  <c r="M6" i="83"/>
  <c r="F3" i="83"/>
  <c r="C3" i="83"/>
  <c r="N14" i="86" l="1"/>
  <c r="E14" i="85" s="1"/>
  <c r="E15" i="85" s="1"/>
  <c r="AF14" i="86"/>
  <c r="AG10" i="86" s="1"/>
  <c r="AE14" i="86"/>
  <c r="AF75" i="86"/>
  <c r="AG69" i="86" s="1"/>
  <c r="N9" i="86"/>
  <c r="D14" i="85" s="1"/>
  <c r="AE9" i="86"/>
  <c r="AF9" i="86"/>
  <c r="AG5" i="86" s="1"/>
  <c r="AF48" i="86"/>
  <c r="AG40" i="86" s="1"/>
  <c r="AE48" i="86"/>
  <c r="N48" i="86"/>
  <c r="N23" i="86"/>
  <c r="F14" i="85" s="1"/>
  <c r="F15" i="85" s="1"/>
  <c r="AE23" i="86"/>
  <c r="AF23" i="86"/>
  <c r="AG15" i="86" s="1"/>
  <c r="AE75" i="86"/>
  <c r="N32" i="86"/>
  <c r="D2" i="86" s="1"/>
  <c r="AF32" i="86"/>
  <c r="AG24" i="86" s="1"/>
  <c r="AE32" i="86"/>
  <c r="N39" i="86"/>
  <c r="AF39" i="86"/>
  <c r="AG33" i="86" s="1"/>
  <c r="AE39" i="86"/>
  <c r="P13" i="86"/>
  <c r="Q13" i="86"/>
  <c r="Q54" i="86"/>
  <c r="P54" i="86"/>
  <c r="Q61" i="86"/>
  <c r="P61" i="86"/>
  <c r="Q28" i="86"/>
  <c r="P28" i="86"/>
  <c r="Q14" i="86"/>
  <c r="R10" i="86" s="1"/>
  <c r="P14" i="86"/>
  <c r="Q9" i="86"/>
  <c r="R5" i="86" s="1"/>
  <c r="P9" i="86"/>
  <c r="F2" i="84"/>
  <c r="I3" i="83"/>
  <c r="N11" i="84"/>
  <c r="AF11" i="84"/>
  <c r="AE11" i="84"/>
  <c r="N23" i="84"/>
  <c r="AE23" i="84"/>
  <c r="AF23" i="84"/>
  <c r="M29" i="84"/>
  <c r="N40" i="84"/>
  <c r="AF40" i="84"/>
  <c r="AE32" i="84"/>
  <c r="AF32" i="84"/>
  <c r="N32" i="84"/>
  <c r="AE40" i="84"/>
  <c r="M46" i="84"/>
  <c r="N67" i="84"/>
  <c r="AE67" i="84"/>
  <c r="M75" i="84"/>
  <c r="AF67" i="84"/>
  <c r="AE58" i="84"/>
  <c r="AF58" i="84"/>
  <c r="N58" i="84"/>
  <c r="M9" i="84"/>
  <c r="AE6" i="84"/>
  <c r="N6" i="84"/>
  <c r="AF6" i="84"/>
  <c r="AF44" i="84"/>
  <c r="AE44" i="84"/>
  <c r="N49" i="84"/>
  <c r="AF49" i="84"/>
  <c r="N44" i="84"/>
  <c r="AE49" i="84"/>
  <c r="N18" i="84"/>
  <c r="AF18" i="84"/>
  <c r="AE18" i="84"/>
  <c r="AE27" i="84"/>
  <c r="N27" i="84"/>
  <c r="AF27" i="84"/>
  <c r="AE30" i="84"/>
  <c r="AF30" i="84"/>
  <c r="M37" i="84"/>
  <c r="N30" i="84"/>
  <c r="N35" i="84"/>
  <c r="AF35" i="84"/>
  <c r="P71" i="84"/>
  <c r="Q71" i="84"/>
  <c r="AE74" i="84"/>
  <c r="AF74" i="84"/>
  <c r="Z2" i="84"/>
  <c r="L6" i="83" s="1"/>
  <c r="N12" i="84"/>
  <c r="AF12" i="84"/>
  <c r="N21" i="84"/>
  <c r="AF21" i="84"/>
  <c r="AE35" i="84"/>
  <c r="AF53" i="84"/>
  <c r="AE53" i="84"/>
  <c r="N53" i="84"/>
  <c r="N74" i="84"/>
  <c r="AE21" i="84"/>
  <c r="N70" i="84"/>
  <c r="AF70" i="84"/>
  <c r="Q41" i="84"/>
  <c r="P41" i="84"/>
  <c r="M66" i="84"/>
  <c r="P36" i="84"/>
  <c r="Q36" i="84"/>
  <c r="N56" i="84"/>
  <c r="AF56" i="84"/>
  <c r="N65" i="84"/>
  <c r="AF65" i="84"/>
  <c r="AE65" i="84"/>
  <c r="N63" i="84"/>
  <c r="AF63" i="84"/>
  <c r="N72" i="84"/>
  <c r="AE72" i="84"/>
  <c r="AF72" i="84"/>
  <c r="Q8" i="84"/>
  <c r="P8" i="84"/>
  <c r="AE16" i="84"/>
  <c r="M22" i="84"/>
  <c r="AF16" i="84"/>
  <c r="N16" i="84"/>
  <c r="AF25" i="84"/>
  <c r="AE25" i="84"/>
  <c r="N25" i="84"/>
  <c r="AE39" i="84"/>
  <c r="N39" i="84"/>
  <c r="AF39" i="84"/>
  <c r="AE56" i="84"/>
  <c r="N42" i="84"/>
  <c r="AF42" i="84"/>
  <c r="P13" i="84"/>
  <c r="Q13" i="84"/>
  <c r="AE42" i="84"/>
  <c r="AE63" i="84"/>
  <c r="I6" i="83"/>
  <c r="N7" i="84"/>
  <c r="AF7" i="84"/>
  <c r="G6" i="83"/>
  <c r="F6" i="83"/>
  <c r="E6" i="83"/>
  <c r="N19" i="84"/>
  <c r="AF19" i="84"/>
  <c r="N28" i="84"/>
  <c r="AF28" i="84"/>
  <c r="M60" i="84"/>
  <c r="N51" i="84"/>
  <c r="AE51" i="84"/>
  <c r="AF51" i="84"/>
  <c r="N43" i="84"/>
  <c r="AF55" i="84"/>
  <c r="AF62" i="84"/>
  <c r="AF69" i="84"/>
  <c r="AE20" i="84"/>
  <c r="AE34" i="84"/>
  <c r="AE41" i="84"/>
  <c r="AE48" i="84"/>
  <c r="AE57" i="84"/>
  <c r="AE64" i="84"/>
  <c r="N55" i="84"/>
  <c r="N62" i="84"/>
  <c r="N69" i="84"/>
  <c r="Y2" i="84"/>
  <c r="K6" i="83" s="1"/>
  <c r="N10" i="84"/>
  <c r="N15" i="84"/>
  <c r="P5" i="84"/>
  <c r="AE8" i="84"/>
  <c r="AE13" i="84"/>
  <c r="Q24" i="84"/>
  <c r="Q31" i="84"/>
  <c r="AE36" i="84"/>
  <c r="P45" i="84"/>
  <c r="Q52" i="84"/>
  <c r="P61" i="84"/>
  <c r="AE71" i="84"/>
  <c r="AF41" i="84"/>
  <c r="AF8" i="84"/>
  <c r="AF13" i="84"/>
  <c r="P17" i="84"/>
  <c r="P26" i="84"/>
  <c r="P33" i="84"/>
  <c r="AF36" i="84"/>
  <c r="P54" i="84"/>
  <c r="P68" i="84"/>
  <c r="AF71" i="84"/>
  <c r="AE15" i="84"/>
  <c r="AE43" i="84"/>
  <c r="P47" i="84"/>
  <c r="AE59" i="84"/>
  <c r="AE73" i="84"/>
  <c r="N34" i="84"/>
  <c r="N38" i="84"/>
  <c r="N59" i="84"/>
  <c r="AE62" i="84"/>
  <c r="N73" i="84"/>
  <c r="M14" i="84"/>
  <c r="N48" i="84"/>
  <c r="M50" i="84"/>
  <c r="N57" i="84"/>
  <c r="N64" i="84"/>
  <c r="AE10" i="84"/>
  <c r="AE38" i="84"/>
  <c r="N20" i="84"/>
  <c r="AD66" i="82"/>
  <c r="Z66" i="82"/>
  <c r="Y66" i="82"/>
  <c r="O66" i="82"/>
  <c r="K66" i="82"/>
  <c r="V65" i="82"/>
  <c r="U65" i="82"/>
  <c r="O65" i="82"/>
  <c r="M65" i="82"/>
  <c r="AF65" i="82" s="1"/>
  <c r="K65" i="82"/>
  <c r="G65" i="82"/>
  <c r="AF64" i="82"/>
  <c r="AE64" i="82"/>
  <c r="V64" i="82"/>
  <c r="U64" i="82"/>
  <c r="O64" i="82"/>
  <c r="N64" i="82"/>
  <c r="P64" i="82" s="1"/>
  <c r="M64" i="82"/>
  <c r="K64" i="82"/>
  <c r="G64" i="82"/>
  <c r="AF63" i="82"/>
  <c r="AE63" i="82"/>
  <c r="V63" i="82"/>
  <c r="U63" i="82"/>
  <c r="O63" i="82"/>
  <c r="M63" i="82"/>
  <c r="N63" i="82" s="1"/>
  <c r="K63" i="82"/>
  <c r="G63" i="82"/>
  <c r="V62" i="82"/>
  <c r="U62" i="82"/>
  <c r="O62" i="82"/>
  <c r="M62" i="82"/>
  <c r="N62" i="82" s="1"/>
  <c r="K62" i="82"/>
  <c r="G62" i="82"/>
  <c r="AF61" i="82"/>
  <c r="AE61" i="82"/>
  <c r="X61" i="82"/>
  <c r="W61" i="82"/>
  <c r="V61" i="82"/>
  <c r="O61" i="82"/>
  <c r="N61" i="82"/>
  <c r="Q61" i="82" s="1"/>
  <c r="M61" i="82"/>
  <c r="K61" i="82"/>
  <c r="G61" i="82"/>
  <c r="AD60" i="82"/>
  <c r="Z60" i="82"/>
  <c r="J19" i="81" s="1"/>
  <c r="Y60" i="82"/>
  <c r="O60" i="82"/>
  <c r="K60" i="82"/>
  <c r="AF59" i="82"/>
  <c r="AE59" i="82"/>
  <c r="V59" i="82"/>
  <c r="U59" i="82"/>
  <c r="O59" i="82"/>
  <c r="N59" i="82"/>
  <c r="P59" i="82" s="1"/>
  <c r="M59" i="82"/>
  <c r="K59" i="82"/>
  <c r="G59" i="82"/>
  <c r="V58" i="82"/>
  <c r="U58" i="82"/>
  <c r="O58" i="82"/>
  <c r="M58" i="82"/>
  <c r="AE58" i="82" s="1"/>
  <c r="K58" i="82"/>
  <c r="G58" i="82"/>
  <c r="AF57" i="82"/>
  <c r="AE57" i="82"/>
  <c r="V57" i="82"/>
  <c r="U57" i="82"/>
  <c r="O57" i="82"/>
  <c r="N57" i="82"/>
  <c r="Q57" i="82" s="1"/>
  <c r="M57" i="82"/>
  <c r="K57" i="82"/>
  <c r="G57" i="82"/>
  <c r="AF56" i="82"/>
  <c r="AE56" i="82"/>
  <c r="V56" i="82"/>
  <c r="U56" i="82"/>
  <c r="O56" i="82"/>
  <c r="M56" i="82"/>
  <c r="N56" i="82" s="1"/>
  <c r="K56" i="82"/>
  <c r="G56" i="82"/>
  <c r="AF55" i="82"/>
  <c r="AE55" i="82"/>
  <c r="V55" i="82"/>
  <c r="O55" i="82"/>
  <c r="N55" i="82"/>
  <c r="Q55" i="82" s="1"/>
  <c r="M55" i="82"/>
  <c r="K55" i="82"/>
  <c r="G55" i="82"/>
  <c r="AD54" i="82"/>
  <c r="Z54" i="82"/>
  <c r="Y54" i="82"/>
  <c r="O54" i="82"/>
  <c r="K54" i="82"/>
  <c r="V53" i="82"/>
  <c r="U53" i="82"/>
  <c r="O53" i="82"/>
  <c r="M53" i="82"/>
  <c r="AE53" i="82" s="1"/>
  <c r="K53" i="82"/>
  <c r="G53" i="82"/>
  <c r="AF52" i="82"/>
  <c r="AE52" i="82"/>
  <c r="V52" i="82"/>
  <c r="U52" i="82"/>
  <c r="O52" i="82"/>
  <c r="N52" i="82"/>
  <c r="Q52" i="82" s="1"/>
  <c r="M52" i="82"/>
  <c r="K52" i="82"/>
  <c r="G52" i="82"/>
  <c r="V51" i="82"/>
  <c r="U51" i="82"/>
  <c r="O51" i="82"/>
  <c r="N51" i="82"/>
  <c r="Q51" i="82" s="1"/>
  <c r="M51" i="82"/>
  <c r="AF51" i="82" s="1"/>
  <c r="K51" i="82"/>
  <c r="G51" i="82"/>
  <c r="AF50" i="82"/>
  <c r="AE50" i="82"/>
  <c r="V50" i="82"/>
  <c r="U50" i="82"/>
  <c r="O50" i="82"/>
  <c r="N50" i="82"/>
  <c r="P50" i="82" s="1"/>
  <c r="M50" i="82"/>
  <c r="K50" i="82"/>
  <c r="G50" i="82"/>
  <c r="V49" i="82"/>
  <c r="U49" i="82"/>
  <c r="O49" i="82"/>
  <c r="M49" i="82"/>
  <c r="M54" i="82" s="1"/>
  <c r="K49" i="82"/>
  <c r="G49" i="82"/>
  <c r="AF48" i="82"/>
  <c r="AE48" i="82"/>
  <c r="V48" i="82"/>
  <c r="U48" i="82"/>
  <c r="O48" i="82"/>
  <c r="N48" i="82"/>
  <c r="Q48" i="82" s="1"/>
  <c r="M48" i="82"/>
  <c r="K48" i="82"/>
  <c r="G48" i="82"/>
  <c r="AF47" i="82"/>
  <c r="AE47" i="82"/>
  <c r="V47" i="82"/>
  <c r="U47" i="82"/>
  <c r="O47" i="82"/>
  <c r="M47" i="82"/>
  <c r="N47" i="82" s="1"/>
  <c r="K47" i="82"/>
  <c r="G47" i="82"/>
  <c r="AF46" i="82"/>
  <c r="AE46" i="82"/>
  <c r="V46" i="82"/>
  <c r="O46" i="82"/>
  <c r="N46" i="82"/>
  <c r="Q46" i="82" s="1"/>
  <c r="M46" i="82"/>
  <c r="K46" i="82"/>
  <c r="G46" i="82"/>
  <c r="AD45" i="82"/>
  <c r="Z45" i="82"/>
  <c r="Y45" i="82"/>
  <c r="O45" i="82"/>
  <c r="K45" i="82"/>
  <c r="V44" i="82"/>
  <c r="U44" i="82"/>
  <c r="O44" i="82"/>
  <c r="M44" i="82"/>
  <c r="AF44" i="82" s="1"/>
  <c r="K44" i="82"/>
  <c r="G44" i="82"/>
  <c r="AF43" i="82"/>
  <c r="AE43" i="82"/>
  <c r="V43" i="82"/>
  <c r="U43" i="82"/>
  <c r="O43" i="82"/>
  <c r="N43" i="82"/>
  <c r="Q43" i="82" s="1"/>
  <c r="M43" i="82"/>
  <c r="K43" i="82"/>
  <c r="G43" i="82"/>
  <c r="V42" i="82"/>
  <c r="O42" i="82"/>
  <c r="M42" i="82"/>
  <c r="M45" i="82" s="1"/>
  <c r="K42" i="82"/>
  <c r="G42" i="82"/>
  <c r="AD41" i="82"/>
  <c r="Z41" i="82"/>
  <c r="Y41" i="82"/>
  <c r="O41" i="82"/>
  <c r="K41" i="82"/>
  <c r="L13" i="81" s="1"/>
  <c r="AF40" i="82"/>
  <c r="AE40" i="82"/>
  <c r="V40" i="82"/>
  <c r="U40" i="82"/>
  <c r="O40" i="82"/>
  <c r="N40" i="82"/>
  <c r="Q40" i="82" s="1"/>
  <c r="M40" i="82"/>
  <c r="K40" i="82"/>
  <c r="G40" i="82"/>
  <c r="V39" i="82"/>
  <c r="U39" i="82"/>
  <c r="O39" i="82"/>
  <c r="M39" i="82"/>
  <c r="AF39" i="82" s="1"/>
  <c r="K39" i="82"/>
  <c r="G39" i="82"/>
  <c r="AF38" i="82"/>
  <c r="AE38" i="82"/>
  <c r="V38" i="82"/>
  <c r="U38" i="82"/>
  <c r="O38" i="82"/>
  <c r="M38" i="82"/>
  <c r="N38" i="82" s="1"/>
  <c r="K38" i="82"/>
  <c r="G38" i="82"/>
  <c r="AF37" i="82"/>
  <c r="AE37" i="82"/>
  <c r="V37" i="82"/>
  <c r="U37" i="82"/>
  <c r="O37" i="82"/>
  <c r="N37" i="82"/>
  <c r="Q37" i="82" s="1"/>
  <c r="M37" i="82"/>
  <c r="K37" i="82"/>
  <c r="G37" i="82"/>
  <c r="AF36" i="82"/>
  <c r="AE36" i="82"/>
  <c r="V36" i="82"/>
  <c r="U36" i="82"/>
  <c r="O36" i="82"/>
  <c r="M36" i="82"/>
  <c r="N36" i="82" s="1"/>
  <c r="K36" i="82"/>
  <c r="G36" i="82"/>
  <c r="X35" i="82"/>
  <c r="W35" i="82"/>
  <c r="V35" i="82"/>
  <c r="O35" i="82"/>
  <c r="M35" i="82"/>
  <c r="AF35" i="82" s="1"/>
  <c r="K35" i="82"/>
  <c r="G35" i="82"/>
  <c r="AD34" i="82"/>
  <c r="Z34" i="82"/>
  <c r="Y34" i="82"/>
  <c r="O34" i="82"/>
  <c r="K34" i="82"/>
  <c r="K13" i="81" s="1"/>
  <c r="I6" i="81" s="1"/>
  <c r="AF33" i="82"/>
  <c r="AE33" i="82"/>
  <c r="V33" i="82"/>
  <c r="U33" i="82"/>
  <c r="O33" i="82"/>
  <c r="N33" i="82"/>
  <c r="Q33" i="82" s="1"/>
  <c r="M33" i="82"/>
  <c r="K33" i="82"/>
  <c r="G33" i="82"/>
  <c r="V32" i="82"/>
  <c r="U32" i="82"/>
  <c r="O32" i="82"/>
  <c r="M32" i="82"/>
  <c r="AF32" i="82" s="1"/>
  <c r="K32" i="82"/>
  <c r="G32" i="82"/>
  <c r="AF31" i="82"/>
  <c r="AE31" i="82"/>
  <c r="X31" i="82"/>
  <c r="W31" i="82"/>
  <c r="V31" i="82"/>
  <c r="U31" i="82"/>
  <c r="O31" i="82"/>
  <c r="M31" i="82"/>
  <c r="N31" i="82" s="1"/>
  <c r="K31" i="82"/>
  <c r="G31" i="82"/>
  <c r="V30" i="82"/>
  <c r="U30" i="82"/>
  <c r="O30" i="82"/>
  <c r="M30" i="82"/>
  <c r="AE30" i="82" s="1"/>
  <c r="K30" i="82"/>
  <c r="G30" i="82"/>
  <c r="AF29" i="82"/>
  <c r="AE29" i="82"/>
  <c r="V29" i="82"/>
  <c r="U29" i="82"/>
  <c r="O29" i="82"/>
  <c r="N29" i="82"/>
  <c r="Q29" i="82" s="1"/>
  <c r="M29" i="82"/>
  <c r="K29" i="82"/>
  <c r="G29" i="82"/>
  <c r="AF28" i="82"/>
  <c r="AE28" i="82"/>
  <c r="X28" i="82"/>
  <c r="W28" i="82"/>
  <c r="V28" i="82"/>
  <c r="O28" i="82"/>
  <c r="N28" i="82"/>
  <c r="Q28" i="82" s="1"/>
  <c r="M28" i="82"/>
  <c r="K28" i="82"/>
  <c r="G28" i="82"/>
  <c r="AD27" i="82"/>
  <c r="Z27" i="82"/>
  <c r="Y27" i="82"/>
  <c r="O27" i="82"/>
  <c r="K27" i="82"/>
  <c r="AF26" i="82"/>
  <c r="AE26" i="82"/>
  <c r="V26" i="82"/>
  <c r="U26" i="82"/>
  <c r="O26" i="82"/>
  <c r="M26" i="82"/>
  <c r="N26" i="82" s="1"/>
  <c r="K26" i="82"/>
  <c r="G26" i="82"/>
  <c r="AF25" i="82"/>
  <c r="AE25" i="82"/>
  <c r="V25" i="82"/>
  <c r="U25" i="82"/>
  <c r="O25" i="82"/>
  <c r="N25" i="82"/>
  <c r="Q25" i="82" s="1"/>
  <c r="M25" i="82"/>
  <c r="K25" i="82"/>
  <c r="G25" i="82"/>
  <c r="AF24" i="82"/>
  <c r="AE24" i="82"/>
  <c r="V24" i="82"/>
  <c r="U24" i="82"/>
  <c r="O24" i="82"/>
  <c r="M24" i="82"/>
  <c r="N24" i="82" s="1"/>
  <c r="K24" i="82"/>
  <c r="G24" i="82"/>
  <c r="V23" i="82"/>
  <c r="U23" i="82"/>
  <c r="O23" i="82"/>
  <c r="M23" i="82"/>
  <c r="AF23" i="82" s="1"/>
  <c r="K23" i="82"/>
  <c r="G23" i="82"/>
  <c r="AF22" i="82"/>
  <c r="AE22" i="82"/>
  <c r="V22" i="82"/>
  <c r="U22" i="82"/>
  <c r="O22" i="82"/>
  <c r="N22" i="82"/>
  <c r="Q22" i="82" s="1"/>
  <c r="M22" i="82"/>
  <c r="K22" i="82"/>
  <c r="G22" i="82"/>
  <c r="V21" i="82"/>
  <c r="U21" i="82"/>
  <c r="O21" i="82"/>
  <c r="N21" i="82"/>
  <c r="Q21" i="82" s="1"/>
  <c r="M21" i="82"/>
  <c r="M27" i="82" s="1"/>
  <c r="K21" i="82"/>
  <c r="G21" i="82"/>
  <c r="AF20" i="82"/>
  <c r="AE20" i="82"/>
  <c r="V20" i="82"/>
  <c r="O20" i="82"/>
  <c r="N20" i="82"/>
  <c r="Q20" i="82" s="1"/>
  <c r="M20" i="82"/>
  <c r="K20" i="82"/>
  <c r="G20" i="82"/>
  <c r="F1" i="82" s="1"/>
  <c r="AD19" i="82"/>
  <c r="Z19" i="82"/>
  <c r="Y19" i="82"/>
  <c r="O19" i="82"/>
  <c r="K19" i="82"/>
  <c r="V18" i="82"/>
  <c r="U18" i="82"/>
  <c r="O18" i="82"/>
  <c r="M18" i="82"/>
  <c r="N18" i="82" s="1"/>
  <c r="K18" i="82"/>
  <c r="G18" i="82"/>
  <c r="AF17" i="82"/>
  <c r="AE17" i="82"/>
  <c r="V17" i="82"/>
  <c r="U17" i="82"/>
  <c r="O17" i="82"/>
  <c r="M17" i="82"/>
  <c r="N17" i="82" s="1"/>
  <c r="K17" i="82"/>
  <c r="G17" i="82"/>
  <c r="AF16" i="82"/>
  <c r="AE16" i="82"/>
  <c r="V16" i="82"/>
  <c r="U16" i="82"/>
  <c r="O16" i="82"/>
  <c r="N16" i="82"/>
  <c r="Q16" i="82" s="1"/>
  <c r="M16" i="82"/>
  <c r="K16" i="82"/>
  <c r="G16" i="82"/>
  <c r="AF15" i="82"/>
  <c r="AE15" i="82"/>
  <c r="V15" i="82"/>
  <c r="U15" i="82"/>
  <c r="O15" i="82"/>
  <c r="M15" i="82"/>
  <c r="N15" i="82" s="1"/>
  <c r="K15" i="82"/>
  <c r="G15" i="82"/>
  <c r="V14" i="82"/>
  <c r="U14" i="82"/>
  <c r="O14" i="82"/>
  <c r="M14" i="82"/>
  <c r="AF14" i="82" s="1"/>
  <c r="K14" i="82"/>
  <c r="G14" i="82"/>
  <c r="AF13" i="82"/>
  <c r="AE13" i="82"/>
  <c r="V13" i="82"/>
  <c r="U13" i="82"/>
  <c r="O13" i="82"/>
  <c r="N13" i="82"/>
  <c r="Q13" i="82" s="1"/>
  <c r="M13" i="82"/>
  <c r="K13" i="82"/>
  <c r="G13" i="82"/>
  <c r="V12" i="82"/>
  <c r="O12" i="82"/>
  <c r="M12" i="82"/>
  <c r="M19" i="82" s="1"/>
  <c r="K12" i="82"/>
  <c r="G12" i="82"/>
  <c r="AD11" i="82"/>
  <c r="Z11" i="82"/>
  <c r="Y11" i="82"/>
  <c r="O11" i="82"/>
  <c r="K11" i="82"/>
  <c r="AF10" i="82"/>
  <c r="AE10" i="82"/>
  <c r="V10" i="82"/>
  <c r="U10" i="82"/>
  <c r="O10" i="82"/>
  <c r="N10" i="82"/>
  <c r="Q10" i="82" s="1"/>
  <c r="M10" i="82"/>
  <c r="K10" i="82"/>
  <c r="G10" i="82"/>
  <c r="V9" i="82"/>
  <c r="U9" i="82"/>
  <c r="O9" i="82"/>
  <c r="M9" i="82"/>
  <c r="AF9" i="82" s="1"/>
  <c r="K9" i="82"/>
  <c r="G9" i="82"/>
  <c r="AF8" i="82"/>
  <c r="AE8" i="82"/>
  <c r="X8" i="82"/>
  <c r="W8" i="82"/>
  <c r="V8" i="82"/>
  <c r="O8" i="82"/>
  <c r="N8" i="82"/>
  <c r="Q8" i="82" s="1"/>
  <c r="M8" i="82"/>
  <c r="K8" i="82"/>
  <c r="G8" i="82"/>
  <c r="AD7" i="82"/>
  <c r="Z7" i="82"/>
  <c r="Z2" i="82" s="1"/>
  <c r="L6" i="81" s="1"/>
  <c r="Y7" i="82"/>
  <c r="D18" i="81" s="1"/>
  <c r="O7" i="82"/>
  <c r="K7" i="82"/>
  <c r="AF6" i="82"/>
  <c r="AE6" i="82"/>
  <c r="V6" i="82"/>
  <c r="U6" i="82"/>
  <c r="Q6" i="82"/>
  <c r="P6" i="82"/>
  <c r="O6" i="82"/>
  <c r="N6" i="82"/>
  <c r="M6" i="82"/>
  <c r="K6" i="82"/>
  <c r="G6" i="82"/>
  <c r="V5" i="82"/>
  <c r="O5" i="82"/>
  <c r="M5" i="82"/>
  <c r="AF5" i="82" s="1"/>
  <c r="K5" i="82"/>
  <c r="G5" i="82"/>
  <c r="AD2" i="82"/>
  <c r="H2" i="82"/>
  <c r="H1" i="82"/>
  <c r="D1" i="82"/>
  <c r="M22" i="81"/>
  <c r="L22" i="81"/>
  <c r="K22" i="81"/>
  <c r="J22" i="81"/>
  <c r="I22" i="81"/>
  <c r="H22" i="81"/>
  <c r="G22" i="81"/>
  <c r="F22" i="81"/>
  <c r="E22" i="81"/>
  <c r="D22" i="81"/>
  <c r="M21" i="81"/>
  <c r="L21" i="81"/>
  <c r="K21" i="81"/>
  <c r="J21" i="81"/>
  <c r="I21" i="81"/>
  <c r="H21" i="81"/>
  <c r="G21" i="81"/>
  <c r="F21" i="81"/>
  <c r="E21" i="81"/>
  <c r="D21" i="81"/>
  <c r="M20" i="81"/>
  <c r="L20" i="81"/>
  <c r="K20" i="81"/>
  <c r="J20" i="81"/>
  <c r="I20" i="81"/>
  <c r="H20" i="81"/>
  <c r="G20" i="81"/>
  <c r="F20" i="81"/>
  <c r="E20" i="81"/>
  <c r="D20" i="81"/>
  <c r="M19" i="81"/>
  <c r="L19" i="81"/>
  <c r="K19" i="81"/>
  <c r="I19" i="81"/>
  <c r="H19" i="81"/>
  <c r="G19" i="81"/>
  <c r="F19" i="81"/>
  <c r="E19" i="81"/>
  <c r="D19" i="81"/>
  <c r="M18" i="81"/>
  <c r="L18" i="81"/>
  <c r="K18" i="81"/>
  <c r="J18" i="81"/>
  <c r="I18" i="81"/>
  <c r="H18" i="81"/>
  <c r="G18" i="81"/>
  <c r="F18" i="81"/>
  <c r="E18" i="81"/>
  <c r="M17" i="81"/>
  <c r="L17" i="81"/>
  <c r="K17" i="81"/>
  <c r="J17" i="81"/>
  <c r="I17" i="81"/>
  <c r="H17" i="81"/>
  <c r="G17" i="81"/>
  <c r="F17" i="81"/>
  <c r="E17" i="81"/>
  <c r="D17" i="81"/>
  <c r="M16" i="81"/>
  <c r="L16" i="81"/>
  <c r="K16" i="81"/>
  <c r="J16" i="81"/>
  <c r="I16" i="81"/>
  <c r="H16" i="81"/>
  <c r="G16" i="81"/>
  <c r="F16" i="81"/>
  <c r="E16" i="81"/>
  <c r="D16" i="81"/>
  <c r="M13" i="81"/>
  <c r="J13" i="81"/>
  <c r="I13" i="81"/>
  <c r="H13" i="81"/>
  <c r="G13" i="81"/>
  <c r="F13" i="81"/>
  <c r="E13" i="81"/>
  <c r="G6" i="81" s="1"/>
  <c r="D13" i="81"/>
  <c r="N6" i="81"/>
  <c r="M6" i="81"/>
  <c r="F3" i="81"/>
  <c r="C3" i="81"/>
  <c r="K14" i="85" l="1"/>
  <c r="Q39" i="86"/>
  <c r="R33" i="86" s="1"/>
  <c r="P39" i="86"/>
  <c r="P23" i="86"/>
  <c r="D15" i="85"/>
  <c r="G14" i="85"/>
  <c r="G15" i="85" s="1"/>
  <c r="Q32" i="86"/>
  <c r="R24" i="86" s="1"/>
  <c r="P32" i="86"/>
  <c r="L14" i="85"/>
  <c r="L15" i="85" s="1"/>
  <c r="P48" i="86"/>
  <c r="Q48" i="86"/>
  <c r="R40" i="86" s="1"/>
  <c r="Q23" i="86"/>
  <c r="R15" i="86" s="1"/>
  <c r="Q53" i="84"/>
  <c r="P53" i="84"/>
  <c r="P27" i="84"/>
  <c r="Q27" i="84"/>
  <c r="AE14" i="84"/>
  <c r="N14" i="84"/>
  <c r="AF14" i="84"/>
  <c r="AG10" i="84" s="1"/>
  <c r="Q67" i="84"/>
  <c r="P67" i="84"/>
  <c r="Q57" i="84"/>
  <c r="P57" i="84"/>
  <c r="Q73" i="84"/>
  <c r="P73" i="84"/>
  <c r="AE46" i="84"/>
  <c r="AF46" i="84"/>
  <c r="AG38" i="84" s="1"/>
  <c r="N46" i="84"/>
  <c r="AF75" i="84"/>
  <c r="AG67" i="84" s="1"/>
  <c r="AE75" i="84"/>
  <c r="N75" i="84"/>
  <c r="Q48" i="84"/>
  <c r="P48" i="84"/>
  <c r="Q59" i="84"/>
  <c r="P59" i="84"/>
  <c r="Q38" i="84"/>
  <c r="P38" i="84"/>
  <c r="Q34" i="84"/>
  <c r="P34" i="84"/>
  <c r="P43" i="84"/>
  <c r="Q43" i="84"/>
  <c r="P49" i="84"/>
  <c r="Q49" i="84"/>
  <c r="Q23" i="84"/>
  <c r="P23" i="84"/>
  <c r="Q28" i="84"/>
  <c r="P28" i="84"/>
  <c r="N66" i="84"/>
  <c r="AF66" i="84"/>
  <c r="AG61" i="84" s="1"/>
  <c r="AE66" i="84"/>
  <c r="Q20" i="84"/>
  <c r="P20" i="84"/>
  <c r="P35" i="84"/>
  <c r="Q35" i="84"/>
  <c r="AE9" i="84"/>
  <c r="N9" i="84"/>
  <c r="AF9" i="84"/>
  <c r="AG5" i="84" s="1"/>
  <c r="N50" i="84"/>
  <c r="AF50" i="84"/>
  <c r="AG47" i="84" s="1"/>
  <c r="AE50" i="84"/>
  <c r="Q7" i="84"/>
  <c r="P7" i="84"/>
  <c r="P18" i="84"/>
  <c r="Q18" i="84"/>
  <c r="P21" i="84"/>
  <c r="Q21" i="84"/>
  <c r="Q15" i="84"/>
  <c r="P15" i="84"/>
  <c r="Q25" i="84"/>
  <c r="P25" i="84"/>
  <c r="Q69" i="84"/>
  <c r="P69" i="84"/>
  <c r="Q19" i="84"/>
  <c r="P19" i="84"/>
  <c r="Q16" i="84"/>
  <c r="P16" i="84"/>
  <c r="P30" i="84"/>
  <c r="Q30" i="84"/>
  <c r="P58" i="84"/>
  <c r="Q58" i="84"/>
  <c r="P11" i="84"/>
  <c r="Q11" i="84"/>
  <c r="Q44" i="84"/>
  <c r="P44" i="84"/>
  <c r="Q40" i="84"/>
  <c r="P40" i="84"/>
  <c r="AE60" i="84"/>
  <c r="AF60" i="84"/>
  <c r="AG51" i="84" s="1"/>
  <c r="N60" i="84"/>
  <c r="P6" i="84"/>
  <c r="Q6" i="84"/>
  <c r="Q10" i="84"/>
  <c r="P10" i="84"/>
  <c r="Q62" i="84"/>
  <c r="P62" i="84"/>
  <c r="AE37" i="84"/>
  <c r="N37" i="84"/>
  <c r="AF37" i="84"/>
  <c r="AG30" i="84" s="1"/>
  <c r="Q74" i="84"/>
  <c r="P74" i="84"/>
  <c r="Q72" i="84"/>
  <c r="P72" i="84"/>
  <c r="Q32" i="84"/>
  <c r="P32" i="84"/>
  <c r="Q63" i="84"/>
  <c r="P63" i="84"/>
  <c r="P42" i="84"/>
  <c r="Q42" i="84"/>
  <c r="Q12" i="84"/>
  <c r="P12" i="84"/>
  <c r="P65" i="84"/>
  <c r="Q65" i="84"/>
  <c r="AF29" i="84"/>
  <c r="AG23" i="84" s="1"/>
  <c r="N29" i="84"/>
  <c r="AE29" i="84"/>
  <c r="Q51" i="84"/>
  <c r="P51" i="84"/>
  <c r="Q39" i="84"/>
  <c r="P39" i="84"/>
  <c r="Q56" i="84"/>
  <c r="P56" i="84"/>
  <c r="P64" i="84"/>
  <c r="Q64" i="84"/>
  <c r="Q55" i="84"/>
  <c r="P55" i="84"/>
  <c r="AF22" i="84"/>
  <c r="AG15" i="84" s="1"/>
  <c r="AE22" i="84"/>
  <c r="N22" i="84"/>
  <c r="Q70" i="84"/>
  <c r="P70" i="84"/>
  <c r="N19" i="82"/>
  <c r="AF19" i="82"/>
  <c r="AG12" i="82" s="1"/>
  <c r="AE19" i="82"/>
  <c r="Q15" i="82"/>
  <c r="P15" i="82"/>
  <c r="Q31" i="82"/>
  <c r="P31" i="82"/>
  <c r="Q26" i="82"/>
  <c r="P26" i="82"/>
  <c r="AF45" i="82"/>
  <c r="AG42" i="82" s="1"/>
  <c r="N45" i="82"/>
  <c r="AE45" i="82"/>
  <c r="Q56" i="82"/>
  <c r="P56" i="82"/>
  <c r="AF27" i="82"/>
  <c r="AG20" i="82" s="1"/>
  <c r="AE27" i="82"/>
  <c r="N27" i="82"/>
  <c r="N54" i="82"/>
  <c r="AF54" i="82"/>
  <c r="AG46" i="82" s="1"/>
  <c r="AE54" i="82"/>
  <c r="F2" i="82"/>
  <c r="I3" i="81"/>
  <c r="P38" i="82"/>
  <c r="Q38" i="82"/>
  <c r="Q24" i="82"/>
  <c r="P24" i="82"/>
  <c r="P17" i="82"/>
  <c r="Q17" i="82"/>
  <c r="Q36" i="82"/>
  <c r="P36" i="82"/>
  <c r="Q18" i="82"/>
  <c r="P18" i="82"/>
  <c r="Q62" i="82"/>
  <c r="P62" i="82"/>
  <c r="P47" i="82"/>
  <c r="Q47" i="82"/>
  <c r="Q63" i="82"/>
  <c r="P63" i="82"/>
  <c r="N58" i="82"/>
  <c r="M60" i="82"/>
  <c r="N65" i="82"/>
  <c r="M7" i="82"/>
  <c r="P10" i="82"/>
  <c r="N12" i="82"/>
  <c r="P28" i="82"/>
  <c r="P33" i="82"/>
  <c r="N35" i="82"/>
  <c r="P40" i="82"/>
  <c r="N42" i="82"/>
  <c r="N5" i="82"/>
  <c r="M11" i="82"/>
  <c r="P16" i="82"/>
  <c r="AE21" i="82"/>
  <c r="P25" i="82"/>
  <c r="N32" i="82"/>
  <c r="M34" i="82"/>
  <c r="P37" i="82"/>
  <c r="N39" i="82"/>
  <c r="M41" i="82"/>
  <c r="AF42" i="82"/>
  <c r="P46" i="82"/>
  <c r="AE51" i="82"/>
  <c r="P55" i="82"/>
  <c r="N49" i="82"/>
  <c r="AE42" i="82"/>
  <c r="AF49" i="82"/>
  <c r="AF58" i="82"/>
  <c r="N9" i="82"/>
  <c r="AF12" i="82"/>
  <c r="AF21" i="82"/>
  <c r="AE35" i="82"/>
  <c r="M66" i="82"/>
  <c r="AE12" i="82"/>
  <c r="AE62" i="82"/>
  <c r="AE49" i="82"/>
  <c r="Y2" i="82"/>
  <c r="K6" i="81" s="1"/>
  <c r="AE9" i="82"/>
  <c r="AE18" i="82"/>
  <c r="AE32" i="82"/>
  <c r="AE39" i="82"/>
  <c r="Q50" i="82"/>
  <c r="Q59" i="82"/>
  <c r="AF62" i="82"/>
  <c r="N14" i="82"/>
  <c r="N23" i="82"/>
  <c r="N30" i="82"/>
  <c r="N44" i="82"/>
  <c r="N53" i="82"/>
  <c r="AE65" i="82"/>
  <c r="AE14" i="82"/>
  <c r="AE44" i="82"/>
  <c r="P13" i="82"/>
  <c r="AF18" i="82"/>
  <c r="P22" i="82"/>
  <c r="P29" i="82"/>
  <c r="P43" i="82"/>
  <c r="P52" i="82"/>
  <c r="P61" i="82"/>
  <c r="P21" i="82"/>
  <c r="P51" i="82"/>
  <c r="AF30" i="82"/>
  <c r="P48" i="82"/>
  <c r="AF53" i="82"/>
  <c r="Q64" i="82"/>
  <c r="P8" i="82"/>
  <c r="AE23" i="82"/>
  <c r="P57" i="82"/>
  <c r="P20" i="82"/>
  <c r="F6" i="81"/>
  <c r="AE5" i="82"/>
  <c r="E6" i="81"/>
  <c r="AD64" i="80"/>
  <c r="Z64" i="80"/>
  <c r="Y64" i="80"/>
  <c r="O64" i="80"/>
  <c r="K64" i="80"/>
  <c r="AF63" i="80"/>
  <c r="V63" i="80"/>
  <c r="U63" i="80"/>
  <c r="O63" i="80"/>
  <c r="M63" i="80"/>
  <c r="K63" i="80"/>
  <c r="G63" i="80"/>
  <c r="AF62" i="80"/>
  <c r="AE62" i="80"/>
  <c r="V62" i="80"/>
  <c r="U62" i="80"/>
  <c r="O62" i="80"/>
  <c r="M62" i="80"/>
  <c r="N62" i="80" s="1"/>
  <c r="K62" i="80"/>
  <c r="G62" i="80"/>
  <c r="AE61" i="80"/>
  <c r="V61" i="80"/>
  <c r="M61" i="80" s="1"/>
  <c r="U61" i="80"/>
  <c r="O61" i="80"/>
  <c r="K61" i="80"/>
  <c r="G61" i="80"/>
  <c r="AF60" i="80"/>
  <c r="V60" i="80"/>
  <c r="M60" i="80" s="1"/>
  <c r="U60" i="80"/>
  <c r="O60" i="80"/>
  <c r="K60" i="80"/>
  <c r="G60" i="80"/>
  <c r="AF59" i="80"/>
  <c r="X59" i="80"/>
  <c r="W59" i="80"/>
  <c r="V59" i="80"/>
  <c r="O59" i="80"/>
  <c r="M59" i="80"/>
  <c r="N59" i="80" s="1"/>
  <c r="K59" i="80"/>
  <c r="G59" i="80"/>
  <c r="AD58" i="80"/>
  <c r="J21" i="79" s="1"/>
  <c r="Z58" i="80"/>
  <c r="Y58" i="80"/>
  <c r="O58" i="80"/>
  <c r="K58" i="80"/>
  <c r="AF57" i="80"/>
  <c r="V57" i="80"/>
  <c r="M57" i="80" s="1"/>
  <c r="U57" i="80"/>
  <c r="O57" i="80"/>
  <c r="K57" i="80"/>
  <c r="G57" i="80"/>
  <c r="AF56" i="80"/>
  <c r="AE56" i="80"/>
  <c r="V56" i="80"/>
  <c r="M56" i="80" s="1"/>
  <c r="N56" i="80" s="1"/>
  <c r="P56" i="80" s="1"/>
  <c r="U56" i="80"/>
  <c r="Q56" i="80"/>
  <c r="O56" i="80"/>
  <c r="K56" i="80"/>
  <c r="G56" i="80"/>
  <c r="AE55" i="80"/>
  <c r="V55" i="80"/>
  <c r="M55" i="80" s="1"/>
  <c r="U55" i="80"/>
  <c r="O55" i="80"/>
  <c r="K55" i="80"/>
  <c r="G55" i="80"/>
  <c r="V54" i="80"/>
  <c r="M54" i="80" s="1"/>
  <c r="U54" i="80"/>
  <c r="O54" i="80"/>
  <c r="K54" i="80"/>
  <c r="G54" i="80"/>
  <c r="V53" i="80"/>
  <c r="M53" i="80" s="1"/>
  <c r="O53" i="80"/>
  <c r="K53" i="80"/>
  <c r="G53" i="80"/>
  <c r="AD52" i="80"/>
  <c r="I21" i="79" s="1"/>
  <c r="Z52" i="80"/>
  <c r="I19" i="79" s="1"/>
  <c r="Y52" i="80"/>
  <c r="O52" i="80"/>
  <c r="K52" i="80"/>
  <c r="V51" i="80"/>
  <c r="U51" i="80"/>
  <c r="Q51" i="80"/>
  <c r="P51" i="80"/>
  <c r="O51" i="80"/>
  <c r="N51" i="80"/>
  <c r="M51" i="80"/>
  <c r="K51" i="80"/>
  <c r="G51" i="80"/>
  <c r="V50" i="80"/>
  <c r="U50" i="80"/>
  <c r="O50" i="80"/>
  <c r="M50" i="80"/>
  <c r="K50" i="80"/>
  <c r="G50" i="80"/>
  <c r="V49" i="80"/>
  <c r="U49" i="80"/>
  <c r="O49" i="80"/>
  <c r="N49" i="80"/>
  <c r="M49" i="80"/>
  <c r="AF49" i="80" s="1"/>
  <c r="K49" i="80"/>
  <c r="G49" i="80"/>
  <c r="V48" i="80"/>
  <c r="U48" i="80"/>
  <c r="O48" i="80"/>
  <c r="N48" i="80"/>
  <c r="M48" i="80"/>
  <c r="K48" i="80"/>
  <c r="G48" i="80"/>
  <c r="AF47" i="80"/>
  <c r="V47" i="80"/>
  <c r="U47" i="80"/>
  <c r="O47" i="80"/>
  <c r="M47" i="80"/>
  <c r="K47" i="80"/>
  <c r="G47" i="80"/>
  <c r="AF46" i="80"/>
  <c r="AE46" i="80"/>
  <c r="V46" i="80"/>
  <c r="U46" i="80"/>
  <c r="O46" i="80"/>
  <c r="M46" i="80"/>
  <c r="N46" i="80" s="1"/>
  <c r="K46" i="80"/>
  <c r="G46" i="80"/>
  <c r="AF45" i="80"/>
  <c r="AE45" i="80"/>
  <c r="V45" i="80"/>
  <c r="O45" i="80"/>
  <c r="M45" i="80"/>
  <c r="M52" i="80" s="1"/>
  <c r="K45" i="80"/>
  <c r="G45" i="80"/>
  <c r="AD44" i="80"/>
  <c r="Z44" i="80"/>
  <c r="Y44" i="80"/>
  <c r="O44" i="80"/>
  <c r="K44" i="80"/>
  <c r="AF43" i="80"/>
  <c r="V43" i="80"/>
  <c r="M43" i="80" s="1"/>
  <c r="U43" i="80"/>
  <c r="O43" i="80"/>
  <c r="K43" i="80"/>
  <c r="G43" i="80"/>
  <c r="AF42" i="80"/>
  <c r="AE42" i="80"/>
  <c r="V42" i="80"/>
  <c r="M42" i="80" s="1"/>
  <c r="N42" i="80" s="1"/>
  <c r="P42" i="80" s="1"/>
  <c r="U42" i="80"/>
  <c r="Q42" i="80"/>
  <c r="O42" i="80"/>
  <c r="K42" i="80"/>
  <c r="G42" i="80"/>
  <c r="AF41" i="80"/>
  <c r="AE41" i="80"/>
  <c r="V41" i="80"/>
  <c r="M41" i="80" s="1"/>
  <c r="O41" i="80"/>
  <c r="K41" i="80"/>
  <c r="G41" i="80"/>
  <c r="AD40" i="80"/>
  <c r="L21" i="79" s="1"/>
  <c r="Z40" i="80"/>
  <c r="Y40" i="80"/>
  <c r="O40" i="80"/>
  <c r="K40" i="80"/>
  <c r="V39" i="80"/>
  <c r="M39" i="80" s="1"/>
  <c r="U39" i="80"/>
  <c r="O39" i="80"/>
  <c r="K39" i="80"/>
  <c r="G39" i="80"/>
  <c r="V38" i="80"/>
  <c r="M38" i="80" s="1"/>
  <c r="U38" i="80"/>
  <c r="O38" i="80"/>
  <c r="N38" i="80"/>
  <c r="P38" i="80" s="1"/>
  <c r="K38" i="80"/>
  <c r="G38" i="80"/>
  <c r="V37" i="80"/>
  <c r="U37" i="80"/>
  <c r="Q37" i="80"/>
  <c r="P37" i="80"/>
  <c r="O37" i="80"/>
  <c r="N37" i="80"/>
  <c r="M37" i="80"/>
  <c r="K37" i="80"/>
  <c r="G37" i="80"/>
  <c r="V36" i="80"/>
  <c r="U36" i="80"/>
  <c r="O36" i="80"/>
  <c r="M36" i="80"/>
  <c r="K36" i="80"/>
  <c r="G36" i="80"/>
  <c r="X35" i="80"/>
  <c r="W35" i="80"/>
  <c r="V35" i="80"/>
  <c r="M35" i="80" s="1"/>
  <c r="Q35" i="80"/>
  <c r="O35" i="80"/>
  <c r="N35" i="80"/>
  <c r="P35" i="80" s="1"/>
  <c r="K35" i="80"/>
  <c r="G35" i="80"/>
  <c r="AD34" i="80"/>
  <c r="K21" i="79" s="1"/>
  <c r="Z34" i="80"/>
  <c r="Y34" i="80"/>
  <c r="K18" i="79" s="1"/>
  <c r="O34" i="80"/>
  <c r="K34" i="80"/>
  <c r="V33" i="80"/>
  <c r="U33" i="80"/>
  <c r="O33" i="80"/>
  <c r="M33" i="80"/>
  <c r="K33" i="80"/>
  <c r="G33" i="80"/>
  <c r="V32" i="80"/>
  <c r="U32" i="80"/>
  <c r="O32" i="80"/>
  <c r="N32" i="80"/>
  <c r="M32" i="80"/>
  <c r="AF32" i="80" s="1"/>
  <c r="K32" i="80"/>
  <c r="G32" i="80"/>
  <c r="V31" i="80"/>
  <c r="U31" i="80"/>
  <c r="O31" i="80"/>
  <c r="N31" i="80"/>
  <c r="M31" i="80"/>
  <c r="K31" i="80"/>
  <c r="G31" i="80"/>
  <c r="AF30" i="80"/>
  <c r="V30" i="80"/>
  <c r="U30" i="80"/>
  <c r="O30" i="80"/>
  <c r="M30" i="80"/>
  <c r="K30" i="80"/>
  <c r="G30" i="80"/>
  <c r="AF29" i="80"/>
  <c r="X29" i="80"/>
  <c r="W29" i="80"/>
  <c r="V29" i="80"/>
  <c r="O29" i="80"/>
  <c r="N29" i="80"/>
  <c r="M29" i="80"/>
  <c r="M34" i="80" s="1"/>
  <c r="N34" i="80" s="1"/>
  <c r="K29" i="80"/>
  <c r="G29" i="80"/>
  <c r="AD28" i="80"/>
  <c r="Z28" i="80"/>
  <c r="Y28" i="80"/>
  <c r="O28" i="80"/>
  <c r="K28" i="80"/>
  <c r="G13" i="79" s="1"/>
  <c r="AF27" i="80"/>
  <c r="V27" i="80"/>
  <c r="U27" i="80"/>
  <c r="O27" i="80"/>
  <c r="M27" i="80"/>
  <c r="K27" i="80"/>
  <c r="G27" i="80"/>
  <c r="AF26" i="80"/>
  <c r="AE26" i="80"/>
  <c r="V26" i="80"/>
  <c r="U26" i="80"/>
  <c r="O26" i="80"/>
  <c r="M26" i="80"/>
  <c r="N26" i="80" s="1"/>
  <c r="K26" i="80"/>
  <c r="G26" i="80"/>
  <c r="AE25" i="80"/>
  <c r="V25" i="80"/>
  <c r="M25" i="80" s="1"/>
  <c r="U25" i="80"/>
  <c r="O25" i="80"/>
  <c r="K25" i="80"/>
  <c r="G25" i="80"/>
  <c r="AF24" i="80"/>
  <c r="V24" i="80"/>
  <c r="M24" i="80" s="1"/>
  <c r="U24" i="80"/>
  <c r="O24" i="80"/>
  <c r="K24" i="80"/>
  <c r="G24" i="80"/>
  <c r="AF23" i="80"/>
  <c r="AE23" i="80"/>
  <c r="V23" i="80"/>
  <c r="M23" i="80" s="1"/>
  <c r="N23" i="80" s="1"/>
  <c r="P23" i="80" s="1"/>
  <c r="U23" i="80"/>
  <c r="Q23" i="80"/>
  <c r="O23" i="80"/>
  <c r="K23" i="80"/>
  <c r="G23" i="80"/>
  <c r="AE22" i="80"/>
  <c r="V22" i="80"/>
  <c r="M22" i="80" s="1"/>
  <c r="U22" i="80"/>
  <c r="O22" i="80"/>
  <c r="K22" i="80"/>
  <c r="G22" i="80"/>
  <c r="AE21" i="80"/>
  <c r="V21" i="80"/>
  <c r="M21" i="80" s="1"/>
  <c r="O21" i="80"/>
  <c r="K21" i="80"/>
  <c r="G21" i="80"/>
  <c r="AD20" i="80"/>
  <c r="Z20" i="80"/>
  <c r="F19" i="79" s="1"/>
  <c r="Y20" i="80"/>
  <c r="O20" i="80"/>
  <c r="K20" i="80"/>
  <c r="V19" i="80"/>
  <c r="M19" i="80" s="1"/>
  <c r="U19" i="80"/>
  <c r="Q19" i="80"/>
  <c r="O19" i="80"/>
  <c r="N19" i="80"/>
  <c r="P19" i="80" s="1"/>
  <c r="K19" i="80"/>
  <c r="G19" i="80"/>
  <c r="V18" i="80"/>
  <c r="U18" i="80"/>
  <c r="Q18" i="80"/>
  <c r="P18" i="80"/>
  <c r="O18" i="80"/>
  <c r="N18" i="80"/>
  <c r="M18" i="80"/>
  <c r="K18" i="80"/>
  <c r="G18" i="80"/>
  <c r="V17" i="80"/>
  <c r="U17" i="80"/>
  <c r="O17" i="80"/>
  <c r="M17" i="80"/>
  <c r="K17" i="80"/>
  <c r="G17" i="80"/>
  <c r="V16" i="80"/>
  <c r="U16" i="80"/>
  <c r="O16" i="80"/>
  <c r="N16" i="80"/>
  <c r="M16" i="80"/>
  <c r="AF16" i="80" s="1"/>
  <c r="K16" i="80"/>
  <c r="G16" i="80"/>
  <c r="V15" i="80"/>
  <c r="U15" i="80"/>
  <c r="O15" i="80"/>
  <c r="N15" i="80"/>
  <c r="M15" i="80"/>
  <c r="K15" i="80"/>
  <c r="G15" i="80"/>
  <c r="AF14" i="80"/>
  <c r="V14" i="80"/>
  <c r="U14" i="80"/>
  <c r="O14" i="80"/>
  <c r="M14" i="80"/>
  <c r="K14" i="80"/>
  <c r="G14" i="80"/>
  <c r="AF13" i="80"/>
  <c r="V13" i="80"/>
  <c r="O13" i="80"/>
  <c r="M13" i="80"/>
  <c r="K13" i="80"/>
  <c r="G13" i="80"/>
  <c r="AF12" i="80"/>
  <c r="AE12" i="80"/>
  <c r="AD12" i="80"/>
  <c r="Z12" i="80"/>
  <c r="Y12" i="80"/>
  <c r="O12" i="80"/>
  <c r="N12" i="80"/>
  <c r="M12" i="80"/>
  <c r="K12" i="80"/>
  <c r="E13" i="79" s="1"/>
  <c r="AE11" i="80"/>
  <c r="V11" i="80"/>
  <c r="M11" i="80" s="1"/>
  <c r="U11" i="80"/>
  <c r="O11" i="80"/>
  <c r="K11" i="80"/>
  <c r="G11" i="80"/>
  <c r="AF10" i="80"/>
  <c r="V10" i="80"/>
  <c r="M10" i="80" s="1"/>
  <c r="U10" i="80"/>
  <c r="O10" i="80"/>
  <c r="K10" i="80"/>
  <c r="G10" i="80"/>
  <c r="AG9" i="80"/>
  <c r="AF9" i="80"/>
  <c r="X9" i="80"/>
  <c r="W9" i="80"/>
  <c r="V9" i="80"/>
  <c r="O9" i="80"/>
  <c r="M9" i="80"/>
  <c r="K9" i="80"/>
  <c r="G9" i="80"/>
  <c r="AE8" i="80"/>
  <c r="AD8" i="80"/>
  <c r="Z8" i="80"/>
  <c r="Y8" i="80"/>
  <c r="O8" i="80"/>
  <c r="M8" i="80"/>
  <c r="K8" i="80"/>
  <c r="AF7" i="80"/>
  <c r="V7" i="80"/>
  <c r="M7" i="80" s="1"/>
  <c r="U7" i="80"/>
  <c r="O7" i="80"/>
  <c r="K7" i="80"/>
  <c r="G7" i="80"/>
  <c r="AF6" i="80"/>
  <c r="AE6" i="80"/>
  <c r="V6" i="80"/>
  <c r="M6" i="80" s="1"/>
  <c r="N6" i="80" s="1"/>
  <c r="P6" i="80" s="1"/>
  <c r="U6" i="80"/>
  <c r="Q6" i="80"/>
  <c r="O6" i="80"/>
  <c r="K6" i="80"/>
  <c r="G6" i="80"/>
  <c r="AF5" i="80"/>
  <c r="AE5" i="80"/>
  <c r="V5" i="80"/>
  <c r="M5" i="80" s="1"/>
  <c r="N5" i="80" s="1"/>
  <c r="P5" i="80" s="1"/>
  <c r="Q5" i="80"/>
  <c r="O5" i="80"/>
  <c r="K5" i="80"/>
  <c r="G5" i="80"/>
  <c r="F1" i="80" s="1"/>
  <c r="AD2" i="80"/>
  <c r="N6" i="79" s="1"/>
  <c r="Z2" i="80"/>
  <c r="L6" i="79" s="1"/>
  <c r="Y2" i="80"/>
  <c r="H2" i="80"/>
  <c r="F2" i="80"/>
  <c r="H1" i="80"/>
  <c r="D1" i="80"/>
  <c r="M22" i="79"/>
  <c r="L22" i="79"/>
  <c r="K22" i="79"/>
  <c r="J22" i="79"/>
  <c r="I22" i="79"/>
  <c r="H22" i="79"/>
  <c r="G22" i="79"/>
  <c r="F22" i="79"/>
  <c r="E22" i="79"/>
  <c r="D22" i="79"/>
  <c r="M21" i="79"/>
  <c r="H21" i="79"/>
  <c r="G21" i="79"/>
  <c r="F21" i="79"/>
  <c r="E21" i="79"/>
  <c r="D21" i="79"/>
  <c r="M20" i="79"/>
  <c r="L20" i="79"/>
  <c r="K20" i="79"/>
  <c r="J20" i="79"/>
  <c r="I20" i="79"/>
  <c r="H20" i="79"/>
  <c r="G20" i="79"/>
  <c r="F20" i="79"/>
  <c r="E20" i="79"/>
  <c r="D20" i="79"/>
  <c r="M19" i="79"/>
  <c r="L19" i="79"/>
  <c r="K19" i="79"/>
  <c r="J19" i="79"/>
  <c r="H19" i="79"/>
  <c r="G19" i="79"/>
  <c r="E19" i="79"/>
  <c r="D19" i="79"/>
  <c r="M18" i="79"/>
  <c r="L18" i="79"/>
  <c r="J18" i="79"/>
  <c r="I18" i="79"/>
  <c r="H18" i="79"/>
  <c r="G18" i="79"/>
  <c r="F18" i="79"/>
  <c r="E18" i="79"/>
  <c r="D18" i="79"/>
  <c r="M17" i="79"/>
  <c r="L17" i="79"/>
  <c r="K17" i="79"/>
  <c r="J17" i="79"/>
  <c r="I17" i="79"/>
  <c r="H17" i="79"/>
  <c r="G17" i="79"/>
  <c r="F17" i="79"/>
  <c r="E17" i="79"/>
  <c r="D17" i="79"/>
  <c r="M16" i="79"/>
  <c r="L16" i="79"/>
  <c r="K16" i="79"/>
  <c r="J16" i="79"/>
  <c r="I16" i="79"/>
  <c r="H16" i="79"/>
  <c r="G16" i="79"/>
  <c r="F16" i="79"/>
  <c r="E16" i="79"/>
  <c r="D16" i="79"/>
  <c r="E14" i="79"/>
  <c r="E15" i="79" s="1"/>
  <c r="M13" i="79"/>
  <c r="L13" i="79"/>
  <c r="K13" i="79"/>
  <c r="J13" i="79"/>
  <c r="I13" i="79"/>
  <c r="H13" i="79"/>
  <c r="F13" i="79"/>
  <c r="D13" i="79"/>
  <c r="M6" i="79"/>
  <c r="K6" i="79"/>
  <c r="I6" i="79"/>
  <c r="G6" i="79"/>
  <c r="F6" i="79"/>
  <c r="E6" i="79"/>
  <c r="I3" i="79"/>
  <c r="F3" i="79"/>
  <c r="C3" i="79"/>
  <c r="F7" i="85" l="1"/>
  <c r="G8" i="85"/>
  <c r="F8" i="85"/>
  <c r="G7" i="85"/>
  <c r="E7" i="85"/>
  <c r="I7" i="85"/>
  <c r="K15" i="85"/>
  <c r="I8" i="85" s="1"/>
  <c r="M14" i="83"/>
  <c r="M15" i="83" s="1"/>
  <c r="P75" i="84"/>
  <c r="Q75" i="84"/>
  <c r="R67" i="84" s="1"/>
  <c r="I14" i="83"/>
  <c r="I15" i="83" s="1"/>
  <c r="Q60" i="84"/>
  <c r="R51" i="84" s="1"/>
  <c r="P60" i="84"/>
  <c r="L14" i="83"/>
  <c r="L15" i="83" s="1"/>
  <c r="Q46" i="84"/>
  <c r="R38" i="84" s="1"/>
  <c r="P46" i="84"/>
  <c r="E14" i="83"/>
  <c r="E15" i="83" s="1"/>
  <c r="Q14" i="84"/>
  <c r="R10" i="84" s="1"/>
  <c r="P14" i="84"/>
  <c r="K14" i="83"/>
  <c r="P37" i="84"/>
  <c r="Q37" i="84"/>
  <c r="R30" i="84" s="1"/>
  <c r="D14" i="83"/>
  <c r="D2" i="84"/>
  <c r="Q9" i="84"/>
  <c r="R5" i="84" s="1"/>
  <c r="P9" i="84"/>
  <c r="J14" i="83"/>
  <c r="J15" i="83" s="1"/>
  <c r="Q66" i="84"/>
  <c r="R61" i="84" s="1"/>
  <c r="P66" i="84"/>
  <c r="Q50" i="84"/>
  <c r="R47" i="84" s="1"/>
  <c r="H14" i="83"/>
  <c r="H15" i="83" s="1"/>
  <c r="P50" i="84"/>
  <c r="Q29" i="84"/>
  <c r="R23" i="84" s="1"/>
  <c r="P29" i="84"/>
  <c r="G14" i="83"/>
  <c r="G15" i="83" s="1"/>
  <c r="P22" i="84"/>
  <c r="Q22" i="84"/>
  <c r="R15" i="84" s="1"/>
  <c r="F14" i="83"/>
  <c r="F15" i="83" s="1"/>
  <c r="AF60" i="82"/>
  <c r="AG55" i="82" s="1"/>
  <c r="AE60" i="82"/>
  <c r="N60" i="82"/>
  <c r="AF41" i="82"/>
  <c r="AG35" i="82" s="1"/>
  <c r="AE41" i="82"/>
  <c r="N41" i="82"/>
  <c r="Q54" i="82"/>
  <c r="R46" i="82" s="1"/>
  <c r="P54" i="82"/>
  <c r="I14" i="81"/>
  <c r="I15" i="81" s="1"/>
  <c r="Q27" i="82"/>
  <c r="R20" i="82" s="1"/>
  <c r="P27" i="82"/>
  <c r="G14" i="81"/>
  <c r="G15" i="81" s="1"/>
  <c r="Q32" i="82"/>
  <c r="P32" i="82"/>
  <c r="Q58" i="82"/>
  <c r="P58" i="82"/>
  <c r="AF66" i="82"/>
  <c r="AG61" i="82" s="1"/>
  <c r="AE66" i="82"/>
  <c r="N66" i="82"/>
  <c r="P9" i="82"/>
  <c r="Q9" i="82"/>
  <c r="P44" i="82"/>
  <c r="Q44" i="82"/>
  <c r="Q23" i="82"/>
  <c r="P23" i="82"/>
  <c r="P14" i="82"/>
  <c r="Q14" i="82"/>
  <c r="P49" i="82"/>
  <c r="Q49" i="82"/>
  <c r="Q12" i="82"/>
  <c r="P12" i="82"/>
  <c r="AF34" i="82"/>
  <c r="AG28" i="82" s="1"/>
  <c r="AE34" i="82"/>
  <c r="N34" i="82"/>
  <c r="AF11" i="82"/>
  <c r="AG8" i="82" s="1"/>
  <c r="AE11" i="82"/>
  <c r="N11" i="82"/>
  <c r="H14" i="81"/>
  <c r="H15" i="81" s="1"/>
  <c r="Q45" i="82"/>
  <c r="R42" i="82" s="1"/>
  <c r="P45" i="82"/>
  <c r="P5" i="82"/>
  <c r="Q5" i="82"/>
  <c r="Q42" i="82"/>
  <c r="P42" i="82"/>
  <c r="P53" i="82"/>
  <c r="Q53" i="82"/>
  <c r="Q35" i="82"/>
  <c r="P35" i="82"/>
  <c r="P30" i="82"/>
  <c r="Q30" i="82"/>
  <c r="N7" i="82"/>
  <c r="AF7" i="82"/>
  <c r="AG5" i="82" s="1"/>
  <c r="AE7" i="82"/>
  <c r="Q39" i="82"/>
  <c r="P39" i="82"/>
  <c r="P65" i="82"/>
  <c r="Q65" i="82"/>
  <c r="F14" i="81"/>
  <c r="F15" i="81" s="1"/>
  <c r="P19" i="82"/>
  <c r="Q19" i="82"/>
  <c r="R12" i="82" s="1"/>
  <c r="P34" i="80"/>
  <c r="Q34" i="80"/>
  <c r="R29" i="80" s="1"/>
  <c r="K14" i="79"/>
  <c r="Q38" i="80"/>
  <c r="N7" i="80"/>
  <c r="AE7" i="80"/>
  <c r="N8" i="80"/>
  <c r="AF8" i="80"/>
  <c r="AG5" i="80" s="1"/>
  <c r="N9" i="80"/>
  <c r="AE9" i="80"/>
  <c r="N10" i="80"/>
  <c r="AE10" i="80"/>
  <c r="N11" i="80"/>
  <c r="AF11" i="80"/>
  <c r="Q12" i="80"/>
  <c r="R9" i="80" s="1"/>
  <c r="P12" i="80"/>
  <c r="AE13" i="80"/>
  <c r="M20" i="80"/>
  <c r="N13" i="80"/>
  <c r="AE14" i="80"/>
  <c r="N14" i="80"/>
  <c r="AF15" i="80"/>
  <c r="AE15" i="80"/>
  <c r="Q15" i="80"/>
  <c r="P15" i="80"/>
  <c r="P16" i="80"/>
  <c r="Q16" i="80"/>
  <c r="AF17" i="80"/>
  <c r="AE17" i="80"/>
  <c r="N17" i="80"/>
  <c r="AF18" i="80"/>
  <c r="AE18" i="80"/>
  <c r="AE19" i="80"/>
  <c r="AF19" i="80"/>
  <c r="N21" i="80"/>
  <c r="AF21" i="80"/>
  <c r="M28" i="80"/>
  <c r="N28" i="80" s="1"/>
  <c r="Q28" i="80" s="1"/>
  <c r="R21" i="80" s="1"/>
  <c r="N22" i="80"/>
  <c r="AF22" i="80"/>
  <c r="N24" i="80"/>
  <c r="AE24" i="80"/>
  <c r="N25" i="80"/>
  <c r="AF25" i="80"/>
  <c r="Q26" i="80"/>
  <c r="P26" i="80"/>
  <c r="AE27" i="80"/>
  <c r="N27" i="80"/>
  <c r="G14" i="79"/>
  <c r="G15" i="79" s="1"/>
  <c r="P28" i="80"/>
  <c r="AF34" i="80"/>
  <c r="AG29" i="80" s="1"/>
  <c r="AE34" i="80"/>
  <c r="Q29" i="80"/>
  <c r="P29" i="80"/>
  <c r="AE30" i="80"/>
  <c r="N30" i="80"/>
  <c r="AF31" i="80"/>
  <c r="AE31" i="80"/>
  <c r="P31" i="80"/>
  <c r="Q31" i="80"/>
  <c r="P32" i="80"/>
  <c r="Q32" i="80"/>
  <c r="AF33" i="80"/>
  <c r="AE33" i="80"/>
  <c r="N33" i="80"/>
  <c r="AF35" i="80"/>
  <c r="M40" i="80"/>
  <c r="AE40" i="80" s="1"/>
  <c r="AE35" i="80"/>
  <c r="AF36" i="80"/>
  <c r="AE36" i="80"/>
  <c r="N36" i="80"/>
  <c r="AF37" i="80"/>
  <c r="AE37" i="80"/>
  <c r="AE38" i="80"/>
  <c r="AF38" i="80"/>
  <c r="N39" i="80"/>
  <c r="AF39" i="80"/>
  <c r="AE39" i="80"/>
  <c r="N41" i="80"/>
  <c r="M44" i="80"/>
  <c r="AE44" i="80" s="1"/>
  <c r="N43" i="80"/>
  <c r="AE43" i="80"/>
  <c r="N52" i="80"/>
  <c r="P52" i="80" s="1"/>
  <c r="AF52" i="80"/>
  <c r="AG45" i="80" s="1"/>
  <c r="AE52" i="80"/>
  <c r="Q46" i="80"/>
  <c r="P46" i="80"/>
  <c r="AE47" i="80"/>
  <c r="N47" i="80"/>
  <c r="AF48" i="80"/>
  <c r="AE48" i="80"/>
  <c r="P48" i="80"/>
  <c r="Q48" i="80"/>
  <c r="Q49" i="80"/>
  <c r="P49" i="80"/>
  <c r="AF50" i="80"/>
  <c r="AE50" i="80"/>
  <c r="N50" i="80"/>
  <c r="AF51" i="80"/>
  <c r="AE51" i="80"/>
  <c r="N53" i="80"/>
  <c r="M58" i="80"/>
  <c r="AE58" i="80" s="1"/>
  <c r="AE53" i="80"/>
  <c r="AF53" i="80"/>
  <c r="N54" i="80"/>
  <c r="AE54" i="80"/>
  <c r="AF54" i="80"/>
  <c r="N55" i="80"/>
  <c r="AF55" i="80"/>
  <c r="N57" i="80"/>
  <c r="AE57" i="80"/>
  <c r="Q59" i="80"/>
  <c r="P59" i="80"/>
  <c r="N60" i="80"/>
  <c r="AE60" i="80"/>
  <c r="N61" i="80"/>
  <c r="AF61" i="80"/>
  <c r="Q62" i="80"/>
  <c r="P62" i="80"/>
  <c r="AE63" i="80"/>
  <c r="N63" i="80"/>
  <c r="AE59" i="80"/>
  <c r="M64" i="80"/>
  <c r="N64" i="80" s="1"/>
  <c r="M14" i="79" s="1"/>
  <c r="M15" i="79" s="1"/>
  <c r="N45" i="80"/>
  <c r="AE16" i="80"/>
  <c r="AE32" i="80"/>
  <c r="AE49" i="80"/>
  <c r="AE29" i="80"/>
  <c r="AD68" i="78"/>
  <c r="Z68" i="78"/>
  <c r="Y68" i="78"/>
  <c r="O68" i="78"/>
  <c r="K68" i="78"/>
  <c r="AF67" i="78"/>
  <c r="V67" i="78"/>
  <c r="U67" i="78"/>
  <c r="O67" i="78"/>
  <c r="M67" i="78"/>
  <c r="AE67" i="78" s="1"/>
  <c r="K67" i="78"/>
  <c r="G67" i="78"/>
  <c r="AF66" i="78"/>
  <c r="AE66" i="78"/>
  <c r="X66" i="78"/>
  <c r="W66" i="78"/>
  <c r="V66" i="78"/>
  <c r="U66" i="78"/>
  <c r="O66" i="78"/>
  <c r="N66" i="78"/>
  <c r="Q66" i="78" s="1"/>
  <c r="M66" i="78"/>
  <c r="K66" i="78"/>
  <c r="G66" i="78"/>
  <c r="AF65" i="78"/>
  <c r="V65" i="78"/>
  <c r="U65" i="78"/>
  <c r="O65" i="78"/>
  <c r="M65" i="78"/>
  <c r="AE65" i="78" s="1"/>
  <c r="K65" i="78"/>
  <c r="G65" i="78"/>
  <c r="AF64" i="78"/>
  <c r="AE64" i="78"/>
  <c r="V64" i="78"/>
  <c r="U64" i="78"/>
  <c r="O64" i="78"/>
  <c r="M64" i="78"/>
  <c r="N64" i="78" s="1"/>
  <c r="K64" i="78"/>
  <c r="G64" i="78"/>
  <c r="V63" i="78"/>
  <c r="M63" i="78" s="1"/>
  <c r="U63" i="78"/>
  <c r="O63" i="78"/>
  <c r="K63" i="78"/>
  <c r="G63" i="78"/>
  <c r="AF62" i="78"/>
  <c r="AE62" i="78"/>
  <c r="X62" i="78"/>
  <c r="W62" i="78"/>
  <c r="V62" i="78"/>
  <c r="O62" i="78"/>
  <c r="M62" i="78"/>
  <c r="N62" i="78" s="1"/>
  <c r="K62" i="78"/>
  <c r="G62" i="78"/>
  <c r="AD61" i="78"/>
  <c r="Z61" i="78"/>
  <c r="Y61" i="78"/>
  <c r="O61" i="78"/>
  <c r="K61" i="78"/>
  <c r="V60" i="78"/>
  <c r="M60" i="78" s="1"/>
  <c r="U60" i="78"/>
  <c r="O60" i="78"/>
  <c r="K60" i="78"/>
  <c r="G60" i="78"/>
  <c r="V59" i="78"/>
  <c r="M59" i="78" s="1"/>
  <c r="U59" i="78"/>
  <c r="O59" i="78"/>
  <c r="K59" i="78"/>
  <c r="G59" i="78"/>
  <c r="V58" i="78"/>
  <c r="M58" i="78" s="1"/>
  <c r="U58" i="78"/>
  <c r="O58" i="78"/>
  <c r="K58" i="78"/>
  <c r="G58" i="78"/>
  <c r="V57" i="78"/>
  <c r="M57" i="78" s="1"/>
  <c r="U57" i="78"/>
  <c r="O57" i="78"/>
  <c r="K57" i="78"/>
  <c r="G57" i="78"/>
  <c r="V56" i="78"/>
  <c r="M56" i="78" s="1"/>
  <c r="O56" i="78"/>
  <c r="K56" i="78"/>
  <c r="G56" i="78"/>
  <c r="AD55" i="78"/>
  <c r="Z55" i="78"/>
  <c r="Y55" i="78"/>
  <c r="O55" i="78"/>
  <c r="K55" i="78"/>
  <c r="V54" i="78"/>
  <c r="M54" i="78" s="1"/>
  <c r="U54" i="78"/>
  <c r="O54" i="78"/>
  <c r="K54" i="78"/>
  <c r="G54" i="78"/>
  <c r="V53" i="78"/>
  <c r="U53" i="78"/>
  <c r="O53" i="78"/>
  <c r="M53" i="78"/>
  <c r="AF53" i="78" s="1"/>
  <c r="K53" i="78"/>
  <c r="G53" i="78"/>
  <c r="V52" i="78"/>
  <c r="U52" i="78"/>
  <c r="O52" i="78"/>
  <c r="M52" i="78"/>
  <c r="AF52" i="78" s="1"/>
  <c r="K52" i="78"/>
  <c r="G52" i="78"/>
  <c r="V51" i="78"/>
  <c r="U51" i="78"/>
  <c r="O51" i="78"/>
  <c r="M51" i="78"/>
  <c r="AF51" i="78" s="1"/>
  <c r="K51" i="78"/>
  <c r="G51" i="78"/>
  <c r="AE50" i="78"/>
  <c r="V50" i="78"/>
  <c r="U50" i="78"/>
  <c r="O50" i="78"/>
  <c r="N50" i="78"/>
  <c r="Q50" i="78" s="1"/>
  <c r="M50" i="78"/>
  <c r="AF50" i="78" s="1"/>
  <c r="K50" i="78"/>
  <c r="G50" i="78"/>
  <c r="AF49" i="78"/>
  <c r="V49" i="78"/>
  <c r="U49" i="78"/>
  <c r="O49" i="78"/>
  <c r="M49" i="78"/>
  <c r="AE49" i="78" s="1"/>
  <c r="K49" i="78"/>
  <c r="G49" i="78"/>
  <c r="AF48" i="78"/>
  <c r="V48" i="78"/>
  <c r="O48" i="78"/>
  <c r="M48" i="78"/>
  <c r="AE48" i="78" s="1"/>
  <c r="K48" i="78"/>
  <c r="G48" i="78"/>
  <c r="AD47" i="78"/>
  <c r="Z47" i="78"/>
  <c r="Y47" i="78"/>
  <c r="O47" i="78"/>
  <c r="K47" i="78"/>
  <c r="V46" i="78"/>
  <c r="M46" i="78" s="1"/>
  <c r="U46" i="78"/>
  <c r="O46" i="78"/>
  <c r="K46" i="78"/>
  <c r="G46" i="78"/>
  <c r="V45" i="78"/>
  <c r="M45" i="78" s="1"/>
  <c r="U45" i="78"/>
  <c r="O45" i="78"/>
  <c r="K45" i="78"/>
  <c r="G45" i="78"/>
  <c r="V44" i="78"/>
  <c r="M44" i="78" s="1"/>
  <c r="O44" i="78"/>
  <c r="K44" i="78"/>
  <c r="G44" i="78"/>
  <c r="AD43" i="78"/>
  <c r="L21" i="77" s="1"/>
  <c r="Z43" i="78"/>
  <c r="L19" i="77" s="1"/>
  <c r="Y43" i="78"/>
  <c r="L18" i="77" s="1"/>
  <c r="O43" i="78"/>
  <c r="K43" i="78"/>
  <c r="V42" i="78"/>
  <c r="M42" i="78" s="1"/>
  <c r="U42" i="78"/>
  <c r="O42" i="78"/>
  <c r="K42" i="78"/>
  <c r="G42" i="78"/>
  <c r="V41" i="78"/>
  <c r="M41" i="78" s="1"/>
  <c r="U41" i="78"/>
  <c r="O41" i="78"/>
  <c r="K41" i="78"/>
  <c r="G41" i="78"/>
  <c r="X40" i="78"/>
  <c r="W40" i="78"/>
  <c r="V40" i="78"/>
  <c r="M40" i="78" s="1"/>
  <c r="U40" i="78"/>
  <c r="O40" i="78"/>
  <c r="K40" i="78"/>
  <c r="G40" i="78"/>
  <c r="V39" i="78"/>
  <c r="M39" i="78" s="1"/>
  <c r="U39" i="78"/>
  <c r="O39" i="78"/>
  <c r="K39" i="78"/>
  <c r="G39" i="78"/>
  <c r="V38" i="78"/>
  <c r="M38" i="78" s="1"/>
  <c r="U38" i="78"/>
  <c r="O38" i="78"/>
  <c r="K38" i="78"/>
  <c r="G38" i="78"/>
  <c r="V37" i="78"/>
  <c r="U37" i="78"/>
  <c r="O37" i="78"/>
  <c r="M37" i="78"/>
  <c r="AF37" i="78" s="1"/>
  <c r="K37" i="78"/>
  <c r="G37" i="78"/>
  <c r="X36" i="78"/>
  <c r="W36" i="78"/>
  <c r="V36" i="78"/>
  <c r="M36" i="78" s="1"/>
  <c r="O36" i="78"/>
  <c r="K36" i="78"/>
  <c r="G36" i="78"/>
  <c r="AD35" i="78"/>
  <c r="K21" i="77" s="1"/>
  <c r="Z35" i="78"/>
  <c r="K19" i="77" s="1"/>
  <c r="Y35" i="78"/>
  <c r="O35" i="78"/>
  <c r="K35" i="78"/>
  <c r="V34" i="78"/>
  <c r="U34" i="78"/>
  <c r="O34" i="78"/>
  <c r="M34" i="78"/>
  <c r="AF34" i="78" s="1"/>
  <c r="K34" i="78"/>
  <c r="G34" i="78"/>
  <c r="X33" i="78"/>
  <c r="W33" i="78"/>
  <c r="V33" i="78"/>
  <c r="M33" i="78" s="1"/>
  <c r="U33" i="78"/>
  <c r="O33" i="78"/>
  <c r="K33" i="78"/>
  <c r="G33" i="78"/>
  <c r="V32" i="78"/>
  <c r="U32" i="78"/>
  <c r="O32" i="78"/>
  <c r="M32" i="78"/>
  <c r="AF32" i="78" s="1"/>
  <c r="K32" i="78"/>
  <c r="G32" i="78"/>
  <c r="V31" i="78"/>
  <c r="U31" i="78"/>
  <c r="O31" i="78"/>
  <c r="M31" i="78"/>
  <c r="AF31" i="78" s="1"/>
  <c r="K31" i="78"/>
  <c r="G31" i="78"/>
  <c r="V30" i="78"/>
  <c r="U30" i="78"/>
  <c r="O30" i="78"/>
  <c r="M30" i="78"/>
  <c r="AF30" i="78" s="1"/>
  <c r="K30" i="78"/>
  <c r="G30" i="78"/>
  <c r="X29" i="78"/>
  <c r="W29" i="78"/>
  <c r="V29" i="78"/>
  <c r="O29" i="78"/>
  <c r="M29" i="78"/>
  <c r="K29" i="78"/>
  <c r="G29" i="78"/>
  <c r="AD28" i="78"/>
  <c r="Z28" i="78"/>
  <c r="Y28" i="78"/>
  <c r="G18" i="77" s="1"/>
  <c r="O28" i="78"/>
  <c r="K28" i="78"/>
  <c r="V27" i="78"/>
  <c r="U27" i="78"/>
  <c r="O27" i="78"/>
  <c r="M27" i="78"/>
  <c r="AF27" i="78" s="1"/>
  <c r="K27" i="78"/>
  <c r="G27" i="78"/>
  <c r="AE26" i="78"/>
  <c r="V26" i="78"/>
  <c r="U26" i="78"/>
  <c r="O26" i="78"/>
  <c r="N26" i="78"/>
  <c r="Q26" i="78" s="1"/>
  <c r="M26" i="78"/>
  <c r="AF26" i="78" s="1"/>
  <c r="K26" i="78"/>
  <c r="G26" i="78"/>
  <c r="AF25" i="78"/>
  <c r="V25" i="78"/>
  <c r="U25" i="78"/>
  <c r="O25" i="78"/>
  <c r="M25" i="78"/>
  <c r="AE25" i="78" s="1"/>
  <c r="K25" i="78"/>
  <c r="G25" i="78"/>
  <c r="AF24" i="78"/>
  <c r="AE24" i="78"/>
  <c r="V24" i="78"/>
  <c r="U24" i="78"/>
  <c r="O24" i="78"/>
  <c r="M24" i="78"/>
  <c r="N24" i="78" s="1"/>
  <c r="K24" i="78"/>
  <c r="G24" i="78"/>
  <c r="V23" i="78"/>
  <c r="M23" i="78" s="1"/>
  <c r="U23" i="78"/>
  <c r="O23" i="78"/>
  <c r="K23" i="78"/>
  <c r="G23" i="78"/>
  <c r="V22" i="78"/>
  <c r="M22" i="78" s="1"/>
  <c r="U22" i="78"/>
  <c r="O22" i="78"/>
  <c r="K22" i="78"/>
  <c r="G22" i="78"/>
  <c r="V21" i="78"/>
  <c r="M21" i="78" s="1"/>
  <c r="O21" i="78"/>
  <c r="K21" i="78"/>
  <c r="G21" i="78"/>
  <c r="AD20" i="78"/>
  <c r="Z20" i="78"/>
  <c r="F19" i="77" s="1"/>
  <c r="Y20" i="78"/>
  <c r="F18" i="77" s="1"/>
  <c r="O20" i="78"/>
  <c r="K20" i="78"/>
  <c r="AF19" i="78"/>
  <c r="AE19" i="78"/>
  <c r="V19" i="78"/>
  <c r="U19" i="78"/>
  <c r="Q19" i="78"/>
  <c r="P19" i="78"/>
  <c r="O19" i="78"/>
  <c r="N19" i="78"/>
  <c r="M19" i="78"/>
  <c r="K19" i="78"/>
  <c r="G19" i="78"/>
  <c r="V18" i="78"/>
  <c r="M18" i="78" s="1"/>
  <c r="U18" i="78"/>
  <c r="O18" i="78"/>
  <c r="K18" i="78"/>
  <c r="G18" i="78"/>
  <c r="V17" i="78"/>
  <c r="M17" i="78" s="1"/>
  <c r="U17" i="78"/>
  <c r="O17" i="78"/>
  <c r="K17" i="78"/>
  <c r="G17" i="78"/>
  <c r="V16" i="78"/>
  <c r="U16" i="78"/>
  <c r="O16" i="78"/>
  <c r="M16" i="78"/>
  <c r="AF16" i="78" s="1"/>
  <c r="K16" i="78"/>
  <c r="G16" i="78"/>
  <c r="V15" i="78"/>
  <c r="U15" i="78"/>
  <c r="O15" i="78"/>
  <c r="M15" i="78"/>
  <c r="AF15" i="78" s="1"/>
  <c r="K15" i="78"/>
  <c r="G15" i="78"/>
  <c r="V14" i="78"/>
  <c r="U14" i="78"/>
  <c r="O14" i="78"/>
  <c r="M14" i="78"/>
  <c r="AF14" i="78" s="1"/>
  <c r="K14" i="78"/>
  <c r="G14" i="78"/>
  <c r="V13" i="78"/>
  <c r="O13" i="78"/>
  <c r="M13" i="78"/>
  <c r="AF13" i="78" s="1"/>
  <c r="K13" i="78"/>
  <c r="G13" i="78"/>
  <c r="AD12" i="78"/>
  <c r="Z12" i="78"/>
  <c r="Y12" i="78"/>
  <c r="O12" i="78"/>
  <c r="M12" i="78"/>
  <c r="AF12" i="78" s="1"/>
  <c r="AG9" i="78" s="1"/>
  <c r="K12" i="78"/>
  <c r="E13" i="77" s="1"/>
  <c r="AF11" i="78"/>
  <c r="V11" i="78"/>
  <c r="U11" i="78"/>
  <c r="O11" i="78"/>
  <c r="M11" i="78"/>
  <c r="AE11" i="78" s="1"/>
  <c r="K11" i="78"/>
  <c r="G11" i="78"/>
  <c r="AF10" i="78"/>
  <c r="AE10" i="78"/>
  <c r="V10" i="78"/>
  <c r="U10" i="78"/>
  <c r="O10" i="78"/>
  <c r="M10" i="78"/>
  <c r="N10" i="78" s="1"/>
  <c r="K10" i="78"/>
  <c r="G10" i="78"/>
  <c r="AF9" i="78"/>
  <c r="AE9" i="78"/>
  <c r="X9" i="78"/>
  <c r="W9" i="78"/>
  <c r="V9" i="78"/>
  <c r="O9" i="78"/>
  <c r="N9" i="78"/>
  <c r="Q9" i="78" s="1"/>
  <c r="M9" i="78"/>
  <c r="K9" i="78"/>
  <c r="G9" i="78"/>
  <c r="AD8" i="78"/>
  <c r="AD2" i="78" s="1"/>
  <c r="N6" i="77" s="1"/>
  <c r="Z8" i="78"/>
  <c r="Y8" i="78"/>
  <c r="O8" i="78"/>
  <c r="K8" i="78"/>
  <c r="D13" i="77" s="1"/>
  <c r="AF7" i="78"/>
  <c r="AE7" i="78"/>
  <c r="V7" i="78"/>
  <c r="U7" i="78"/>
  <c r="O7" i="78"/>
  <c r="M7" i="78"/>
  <c r="N7" i="78" s="1"/>
  <c r="K7" i="78"/>
  <c r="G7" i="78"/>
  <c r="V6" i="78"/>
  <c r="M6" i="78" s="1"/>
  <c r="U6" i="78"/>
  <c r="O6" i="78"/>
  <c r="K6" i="78"/>
  <c r="G6" i="78"/>
  <c r="V5" i="78"/>
  <c r="M5" i="78" s="1"/>
  <c r="O5" i="78"/>
  <c r="K5" i="78"/>
  <c r="G5" i="78"/>
  <c r="F1" i="78" s="1"/>
  <c r="H2" i="78"/>
  <c r="H1" i="78"/>
  <c r="D1" i="78"/>
  <c r="M22" i="77"/>
  <c r="L22" i="77"/>
  <c r="K22" i="77"/>
  <c r="J22" i="77"/>
  <c r="I22" i="77"/>
  <c r="H22" i="77"/>
  <c r="G22" i="77"/>
  <c r="F22" i="77"/>
  <c r="E22" i="77"/>
  <c r="D22" i="77"/>
  <c r="M21" i="77"/>
  <c r="J21" i="77"/>
  <c r="I21" i="77"/>
  <c r="H21" i="77"/>
  <c r="G21" i="77"/>
  <c r="F21" i="77"/>
  <c r="E21" i="77"/>
  <c r="D21" i="77"/>
  <c r="M20" i="77"/>
  <c r="L20" i="77"/>
  <c r="K20" i="77"/>
  <c r="J20" i="77"/>
  <c r="I20" i="77"/>
  <c r="H20" i="77"/>
  <c r="G20" i="77"/>
  <c r="F20" i="77"/>
  <c r="E20" i="77"/>
  <c r="D20" i="77"/>
  <c r="M19" i="77"/>
  <c r="J19" i="77"/>
  <c r="I19" i="77"/>
  <c r="H19" i="77"/>
  <c r="G19" i="77"/>
  <c r="E19" i="77"/>
  <c r="D19" i="77"/>
  <c r="M18" i="77"/>
  <c r="K18" i="77"/>
  <c r="J18" i="77"/>
  <c r="I18" i="77"/>
  <c r="H18" i="77"/>
  <c r="E18" i="77"/>
  <c r="D18" i="77"/>
  <c r="M17" i="77"/>
  <c r="L17" i="77"/>
  <c r="K17" i="77"/>
  <c r="J17" i="77"/>
  <c r="I17" i="77"/>
  <c r="H17" i="77"/>
  <c r="G17" i="77"/>
  <c r="F17" i="77"/>
  <c r="E17" i="77"/>
  <c r="D17" i="77"/>
  <c r="M16" i="77"/>
  <c r="L16" i="77"/>
  <c r="K16" i="77"/>
  <c r="J16" i="77"/>
  <c r="I16" i="77"/>
  <c r="H16" i="77"/>
  <c r="G16" i="77"/>
  <c r="F16" i="77"/>
  <c r="E16" i="77"/>
  <c r="D16" i="77"/>
  <c r="M13" i="77"/>
  <c r="L13" i="77"/>
  <c r="K13" i="77"/>
  <c r="I6" i="77" s="1"/>
  <c r="J13" i="77"/>
  <c r="I13" i="77"/>
  <c r="H13" i="77"/>
  <c r="G13" i="77"/>
  <c r="F13" i="77"/>
  <c r="M6" i="77"/>
  <c r="F3" i="77"/>
  <c r="C3" i="77"/>
  <c r="E8" i="85" l="1"/>
  <c r="I7" i="83"/>
  <c r="K15" i="83"/>
  <c r="I8" i="83" s="1"/>
  <c r="G7" i="83"/>
  <c r="F7" i="83"/>
  <c r="E7" i="83"/>
  <c r="D15" i="83"/>
  <c r="Q66" i="82"/>
  <c r="R61" i="82" s="1"/>
  <c r="P66" i="82"/>
  <c r="M14" i="81"/>
  <c r="M15" i="81" s="1"/>
  <c r="D14" i="81"/>
  <c r="D2" i="82"/>
  <c r="Q7" i="82"/>
  <c r="R5" i="82" s="1"/>
  <c r="P7" i="82"/>
  <c r="Q34" i="82"/>
  <c r="R28" i="82" s="1"/>
  <c r="P34" i="82"/>
  <c r="K14" i="81"/>
  <c r="Q41" i="82"/>
  <c r="R35" i="82" s="1"/>
  <c r="P41" i="82"/>
  <c r="L14" i="81"/>
  <c r="L15" i="81" s="1"/>
  <c r="Q11" i="82"/>
  <c r="R8" i="82" s="1"/>
  <c r="P11" i="82"/>
  <c r="E14" i="81"/>
  <c r="E15" i="81" s="1"/>
  <c r="J14" i="81"/>
  <c r="J15" i="81" s="1"/>
  <c r="P60" i="82"/>
  <c r="Q60" i="82"/>
  <c r="R55" i="82" s="1"/>
  <c r="Q36" i="80"/>
  <c r="P36" i="80"/>
  <c r="P21" i="80"/>
  <c r="Q21" i="80"/>
  <c r="P55" i="80"/>
  <c r="Q55" i="80"/>
  <c r="Q54" i="80"/>
  <c r="P54" i="80"/>
  <c r="Q53" i="80"/>
  <c r="P53" i="80"/>
  <c r="P41" i="80"/>
  <c r="Q41" i="80"/>
  <c r="D14" i="79"/>
  <c r="D2" i="80"/>
  <c r="Q17" i="80"/>
  <c r="P17" i="80"/>
  <c r="Q39" i="80"/>
  <c r="P39" i="80"/>
  <c r="K15" i="79"/>
  <c r="Q33" i="80"/>
  <c r="P33" i="80"/>
  <c r="Q64" i="80"/>
  <c r="R59" i="80" s="1"/>
  <c r="P64" i="80"/>
  <c r="Q50" i="80"/>
  <c r="P50" i="80"/>
  <c r="Q22" i="80"/>
  <c r="P22" i="80"/>
  <c r="Q45" i="80"/>
  <c r="P45" i="80"/>
  <c r="AF64" i="80"/>
  <c r="AG59" i="80" s="1"/>
  <c r="AE64" i="80"/>
  <c r="Q63" i="80"/>
  <c r="P63" i="80"/>
  <c r="Q61" i="80"/>
  <c r="P61" i="80"/>
  <c r="Q60" i="80"/>
  <c r="P60" i="80"/>
  <c r="Q57" i="80"/>
  <c r="P57" i="80"/>
  <c r="N58" i="80"/>
  <c r="J14" i="79" s="1"/>
  <c r="J15" i="79" s="1"/>
  <c r="AF58" i="80"/>
  <c r="AG53" i="80" s="1"/>
  <c r="Q47" i="80"/>
  <c r="P47" i="80"/>
  <c r="I14" i="79"/>
  <c r="I15" i="79" s="1"/>
  <c r="Q52" i="80"/>
  <c r="R45" i="80" s="1"/>
  <c r="Q43" i="80"/>
  <c r="P43" i="80"/>
  <c r="N44" i="80"/>
  <c r="AF44" i="80"/>
  <c r="AG41" i="80" s="1"/>
  <c r="N40" i="80"/>
  <c r="AF40" i="80"/>
  <c r="AG35" i="80" s="1"/>
  <c r="Q30" i="80"/>
  <c r="P30" i="80"/>
  <c r="Q27" i="80"/>
  <c r="P27" i="80"/>
  <c r="Q25" i="80"/>
  <c r="P25" i="80"/>
  <c r="Q24" i="80"/>
  <c r="P24" i="80"/>
  <c r="AF28" i="80"/>
  <c r="AG21" i="80" s="1"/>
  <c r="AE28" i="80"/>
  <c r="Q14" i="80"/>
  <c r="P14" i="80"/>
  <c r="Q13" i="80"/>
  <c r="P13" i="80"/>
  <c r="N20" i="80"/>
  <c r="AE20" i="80"/>
  <c r="AF20" i="80"/>
  <c r="AG13" i="80" s="1"/>
  <c r="Q11" i="80"/>
  <c r="P11" i="80"/>
  <c r="Q10" i="80"/>
  <c r="P10" i="80"/>
  <c r="Q9" i="80"/>
  <c r="P9" i="80"/>
  <c r="Q8" i="80"/>
  <c r="R5" i="80" s="1"/>
  <c r="P8" i="80"/>
  <c r="Q7" i="80"/>
  <c r="P7" i="80"/>
  <c r="N18" i="78"/>
  <c r="AF18" i="78"/>
  <c r="AE18" i="78"/>
  <c r="N22" i="78"/>
  <c r="AE22" i="78"/>
  <c r="AF22" i="78"/>
  <c r="Q64" i="78"/>
  <c r="P64" i="78"/>
  <c r="N40" i="78"/>
  <c r="AF40" i="78"/>
  <c r="AE40" i="78"/>
  <c r="N45" i="78"/>
  <c r="AE45" i="78"/>
  <c r="AF45" i="78"/>
  <c r="N58" i="78"/>
  <c r="AF58" i="78"/>
  <c r="AE58" i="78"/>
  <c r="N36" i="78"/>
  <c r="AF36" i="78"/>
  <c r="M43" i="78"/>
  <c r="AE36" i="78"/>
  <c r="N60" i="78"/>
  <c r="AF60" i="78"/>
  <c r="AE60" i="78"/>
  <c r="M35" i="78"/>
  <c r="G6" i="77"/>
  <c r="F6" i="77"/>
  <c r="E6" i="77"/>
  <c r="AF38" i="78"/>
  <c r="AE38" i="78"/>
  <c r="N38" i="78"/>
  <c r="N23" i="78"/>
  <c r="AF23" i="78"/>
  <c r="AE23" i="78"/>
  <c r="N6" i="78"/>
  <c r="AF6" i="78"/>
  <c r="AE6" i="78"/>
  <c r="AF17" i="78"/>
  <c r="AE17" i="78"/>
  <c r="N17" i="78"/>
  <c r="N5" i="78"/>
  <c r="AF5" i="78"/>
  <c r="M8" i="78"/>
  <c r="AE5" i="78"/>
  <c r="N56" i="78"/>
  <c r="AF56" i="78"/>
  <c r="M61" i="78"/>
  <c r="AE56" i="78"/>
  <c r="N21" i="78"/>
  <c r="AE21" i="78"/>
  <c r="AF21" i="78"/>
  <c r="M28" i="78"/>
  <c r="Q10" i="78"/>
  <c r="P10" i="78"/>
  <c r="Q24" i="78"/>
  <c r="P24" i="78"/>
  <c r="N39" i="78"/>
  <c r="AF39" i="78"/>
  <c r="AE39" i="78"/>
  <c r="N41" i="78"/>
  <c r="AF41" i="78"/>
  <c r="AE41" i="78"/>
  <c r="N46" i="78"/>
  <c r="AF46" i="78"/>
  <c r="AE46" i="78"/>
  <c r="N42" i="78"/>
  <c r="AF42" i="78"/>
  <c r="AE42" i="78"/>
  <c r="Q7" i="78"/>
  <c r="P7" i="78"/>
  <c r="AF33" i="78"/>
  <c r="AE33" i="78"/>
  <c r="N33" i="78"/>
  <c r="AF54" i="78"/>
  <c r="AE54" i="78"/>
  <c r="N54" i="78"/>
  <c r="N59" i="78"/>
  <c r="AE59" i="78"/>
  <c r="AF59" i="78"/>
  <c r="N63" i="78"/>
  <c r="M68" i="78"/>
  <c r="AF63" i="78"/>
  <c r="AE63" i="78"/>
  <c r="N44" i="78"/>
  <c r="M47" i="78"/>
  <c r="AE44" i="78"/>
  <c r="AF44" i="78"/>
  <c r="Q62" i="78"/>
  <c r="P62" i="78"/>
  <c r="F2" i="78"/>
  <c r="I3" i="77"/>
  <c r="N57" i="78"/>
  <c r="AF57" i="78"/>
  <c r="AE57" i="78"/>
  <c r="Y2" i="78"/>
  <c r="K6" i="77" s="1"/>
  <c r="N16" i="78"/>
  <c r="N29" i="78"/>
  <c r="N32" i="78"/>
  <c r="N34" i="78"/>
  <c r="N37" i="78"/>
  <c r="N53" i="78"/>
  <c r="N12" i="78"/>
  <c r="N13" i="78"/>
  <c r="N14" i="78"/>
  <c r="N27" i="78"/>
  <c r="N30" i="78"/>
  <c r="N51" i="78"/>
  <c r="Z2" i="78"/>
  <c r="L6" i="77" s="1"/>
  <c r="N15" i="78"/>
  <c r="N31" i="78"/>
  <c r="N52" i="78"/>
  <c r="N11" i="78"/>
  <c r="N25" i="78"/>
  <c r="N48" i="78"/>
  <c r="N49" i="78"/>
  <c r="N65" i="78"/>
  <c r="N67" i="78"/>
  <c r="P9" i="78"/>
  <c r="P26" i="78"/>
  <c r="P50" i="78"/>
  <c r="P66" i="78"/>
  <c r="AE16" i="78"/>
  <c r="M20" i="78"/>
  <c r="AE32" i="78"/>
  <c r="AE34" i="78"/>
  <c r="AE37" i="78"/>
  <c r="AE53" i="78"/>
  <c r="AE15" i="78"/>
  <c r="AE31" i="78"/>
  <c r="AE52" i="78"/>
  <c r="AE13" i="78"/>
  <c r="AE14" i="78"/>
  <c r="AE27" i="78"/>
  <c r="AE29" i="78"/>
  <c r="AE30" i="78"/>
  <c r="AE51" i="78"/>
  <c r="M55" i="78"/>
  <c r="AE12" i="78"/>
  <c r="AF29" i="78"/>
  <c r="G8" i="83" l="1"/>
  <c r="F8" i="83"/>
  <c r="E8" i="83"/>
  <c r="I7" i="81"/>
  <c r="K15" i="81"/>
  <c r="I8" i="81" s="1"/>
  <c r="D15" i="81"/>
  <c r="F7" i="81"/>
  <c r="G7" i="81"/>
  <c r="E7" i="81"/>
  <c r="F14" i="79"/>
  <c r="F15" i="79" s="1"/>
  <c r="Q20" i="80"/>
  <c r="R13" i="80" s="1"/>
  <c r="P20" i="80"/>
  <c r="D15" i="79"/>
  <c r="P40" i="80"/>
  <c r="Q40" i="80"/>
  <c r="R35" i="80" s="1"/>
  <c r="L14" i="79"/>
  <c r="Q44" i="80"/>
  <c r="R41" i="80" s="1"/>
  <c r="P44" i="80"/>
  <c r="H14" i="79"/>
  <c r="H15" i="79" s="1"/>
  <c r="Q58" i="80"/>
  <c r="R53" i="80" s="1"/>
  <c r="P58" i="80"/>
  <c r="N20" i="78"/>
  <c r="AF20" i="78"/>
  <c r="AG13" i="78" s="1"/>
  <c r="AE20" i="78"/>
  <c r="Q52" i="78"/>
  <c r="P52" i="78"/>
  <c r="Q46" i="78"/>
  <c r="P46" i="78"/>
  <c r="Q32" i="78"/>
  <c r="P32" i="78"/>
  <c r="N47" i="78"/>
  <c r="AF47" i="78"/>
  <c r="AG44" i="78" s="1"/>
  <c r="AE47" i="78"/>
  <c r="Q21" i="78"/>
  <c r="P21" i="78"/>
  <c r="Q16" i="78"/>
  <c r="P16" i="78"/>
  <c r="Q44" i="78"/>
  <c r="P44" i="78"/>
  <c r="Q41" i="78"/>
  <c r="P41" i="78"/>
  <c r="Q45" i="78"/>
  <c r="P45" i="78"/>
  <c r="N61" i="78"/>
  <c r="AF61" i="78"/>
  <c r="AG56" i="78" s="1"/>
  <c r="AE61" i="78"/>
  <c r="Q6" i="78"/>
  <c r="P6" i="78"/>
  <c r="Q34" i="78"/>
  <c r="P34" i="78"/>
  <c r="P33" i="78"/>
  <c r="Q33" i="78"/>
  <c r="Q30" i="78"/>
  <c r="P30" i="78"/>
  <c r="Q67" i="78"/>
  <c r="P67" i="78"/>
  <c r="Q39" i="78"/>
  <c r="P39" i="78"/>
  <c r="P38" i="78"/>
  <c r="Q38" i="78"/>
  <c r="Q48" i="78"/>
  <c r="P48" i="78"/>
  <c r="Q12" i="78"/>
  <c r="R9" i="78" s="1"/>
  <c r="P12" i="78"/>
  <c r="E14" i="77"/>
  <c r="E15" i="77" s="1"/>
  <c r="Q42" i="78"/>
  <c r="P42" i="78"/>
  <c r="Q36" i="78"/>
  <c r="P36" i="78"/>
  <c r="Q15" i="78"/>
  <c r="P15" i="78"/>
  <c r="Q27" i="78"/>
  <c r="P27" i="78"/>
  <c r="Q40" i="78"/>
  <c r="P40" i="78"/>
  <c r="Q65" i="78"/>
  <c r="P65" i="78"/>
  <c r="Q57" i="78"/>
  <c r="P57" i="78"/>
  <c r="Q23" i="78"/>
  <c r="P23" i="78"/>
  <c r="Q13" i="78"/>
  <c r="P13" i="78"/>
  <c r="N55" i="78"/>
  <c r="AF55" i="78"/>
  <c r="AG48" i="78" s="1"/>
  <c r="AE55" i="78"/>
  <c r="Q25" i="78"/>
  <c r="P25" i="78"/>
  <c r="Q53" i="78"/>
  <c r="P53" i="78"/>
  <c r="Q59" i="78"/>
  <c r="P59" i="78"/>
  <c r="Q5" i="78"/>
  <c r="P5" i="78"/>
  <c r="P58" i="78"/>
  <c r="Q58" i="78"/>
  <c r="Q29" i="78"/>
  <c r="P29" i="78"/>
  <c r="Q51" i="78"/>
  <c r="P51" i="78"/>
  <c r="Q60" i="78"/>
  <c r="P60" i="78"/>
  <c r="AF68" i="78"/>
  <c r="AG62" i="78" s="1"/>
  <c r="AE68" i="78"/>
  <c r="N68" i="78"/>
  <c r="Q56" i="78"/>
  <c r="P56" i="78"/>
  <c r="Q14" i="78"/>
  <c r="P14" i="78"/>
  <c r="Q63" i="78"/>
  <c r="P63" i="78"/>
  <c r="N43" i="78"/>
  <c r="AF43" i="78"/>
  <c r="AG36" i="78" s="1"/>
  <c r="AE43" i="78"/>
  <c r="Q49" i="78"/>
  <c r="P49" i="78"/>
  <c r="AE8" i="78"/>
  <c r="N8" i="78"/>
  <c r="AF8" i="78"/>
  <c r="AG5" i="78" s="1"/>
  <c r="Q11" i="78"/>
  <c r="P11" i="78"/>
  <c r="Q37" i="78"/>
  <c r="P37" i="78"/>
  <c r="P54" i="78"/>
  <c r="Q54" i="78"/>
  <c r="AF28" i="78"/>
  <c r="AG21" i="78" s="1"/>
  <c r="AE28" i="78"/>
  <c r="N28" i="78"/>
  <c r="P17" i="78"/>
  <c r="Q17" i="78"/>
  <c r="Q22" i="78"/>
  <c r="P22" i="78"/>
  <c r="Q31" i="78"/>
  <c r="P31" i="78"/>
  <c r="N35" i="78"/>
  <c r="AF35" i="78"/>
  <c r="AG29" i="78" s="1"/>
  <c r="AE35" i="78"/>
  <c r="Q18" i="78"/>
  <c r="P18" i="78"/>
  <c r="G8" i="81" l="1"/>
  <c r="E8" i="81"/>
  <c r="F8" i="81"/>
  <c r="L15" i="79"/>
  <c r="I8" i="79" s="1"/>
  <c r="I7" i="79"/>
  <c r="G8" i="79"/>
  <c r="F8" i="79"/>
  <c r="E7" i="79"/>
  <c r="F7" i="79"/>
  <c r="G7" i="79"/>
  <c r="Q68" i="78"/>
  <c r="R62" i="78" s="1"/>
  <c r="P68" i="78"/>
  <c r="M14" i="77"/>
  <c r="M15" i="77" s="1"/>
  <c r="Q61" i="78"/>
  <c r="R56" i="78" s="1"/>
  <c r="P61" i="78"/>
  <c r="J14" i="77"/>
  <c r="J15" i="77" s="1"/>
  <c r="Q28" i="78"/>
  <c r="R21" i="78" s="1"/>
  <c r="G14" i="77"/>
  <c r="G15" i="77" s="1"/>
  <c r="P28" i="78"/>
  <c r="Q43" i="78"/>
  <c r="R36" i="78" s="1"/>
  <c r="P43" i="78"/>
  <c r="L14" i="77"/>
  <c r="L15" i="77" s="1"/>
  <c r="Q47" i="78"/>
  <c r="R44" i="78" s="1"/>
  <c r="P47" i="78"/>
  <c r="H14" i="77"/>
  <c r="H15" i="77" s="1"/>
  <c r="Q35" i="78"/>
  <c r="R29" i="78" s="1"/>
  <c r="P35" i="78"/>
  <c r="K14" i="77"/>
  <c r="I14" i="77"/>
  <c r="I15" i="77" s="1"/>
  <c r="Q55" i="78"/>
  <c r="R48" i="78" s="1"/>
  <c r="P55" i="78"/>
  <c r="D2" i="78"/>
  <c r="Q8" i="78"/>
  <c r="R5" i="78" s="1"/>
  <c r="P8" i="78"/>
  <c r="D14" i="77"/>
  <c r="Q20" i="78"/>
  <c r="R13" i="78" s="1"/>
  <c r="P20" i="78"/>
  <c r="F14" i="77"/>
  <c r="F15" i="77" s="1"/>
  <c r="E8" i="79" l="1"/>
  <c r="K15" i="77"/>
  <c r="I8" i="77" s="1"/>
  <c r="I7" i="77"/>
  <c r="D15" i="77"/>
  <c r="G7" i="77"/>
  <c r="F7" i="77"/>
  <c r="E7" i="77"/>
  <c r="G8" i="77" l="1"/>
  <c r="F8" i="77"/>
  <c r="E8" i="77"/>
  <c r="AD69" i="76" l="1"/>
  <c r="Z69" i="76"/>
  <c r="Y69" i="76"/>
  <c r="O69" i="76"/>
  <c r="K69" i="76"/>
  <c r="M13" i="75" s="1"/>
  <c r="I6" i="75" s="1"/>
  <c r="V68" i="76"/>
  <c r="U68" i="76"/>
  <c r="O68" i="76"/>
  <c r="M68" i="76"/>
  <c r="AF68" i="76" s="1"/>
  <c r="K68" i="76"/>
  <c r="G68" i="76"/>
  <c r="AF67" i="76"/>
  <c r="X67" i="76"/>
  <c r="W67" i="76"/>
  <c r="V67" i="76"/>
  <c r="U67" i="76"/>
  <c r="O67" i="76"/>
  <c r="M67" i="76"/>
  <c r="AE67" i="76" s="1"/>
  <c r="K67" i="76"/>
  <c r="G67" i="76"/>
  <c r="AF66" i="76"/>
  <c r="AE66" i="76"/>
  <c r="V66" i="76"/>
  <c r="U66" i="76"/>
  <c r="Q66" i="76"/>
  <c r="O66" i="76"/>
  <c r="N66" i="76"/>
  <c r="P66" i="76" s="1"/>
  <c r="M66" i="76"/>
  <c r="K66" i="76"/>
  <c r="G66" i="76"/>
  <c r="AF65" i="76"/>
  <c r="AE65" i="76"/>
  <c r="V65" i="76"/>
  <c r="U65" i="76"/>
  <c r="Q65" i="76"/>
  <c r="O65" i="76"/>
  <c r="N65" i="76"/>
  <c r="P65" i="76" s="1"/>
  <c r="M65" i="76"/>
  <c r="K65" i="76"/>
  <c r="G65" i="76"/>
  <c r="AF64" i="76"/>
  <c r="AE64" i="76"/>
  <c r="V64" i="76"/>
  <c r="U64" i="76"/>
  <c r="O64" i="76"/>
  <c r="M64" i="76"/>
  <c r="N64" i="76" s="1"/>
  <c r="K64" i="76"/>
  <c r="G64" i="76"/>
  <c r="X63" i="76"/>
  <c r="W63" i="76"/>
  <c r="V63" i="76"/>
  <c r="O63" i="76"/>
  <c r="M63" i="76"/>
  <c r="M69" i="76" s="1"/>
  <c r="K63" i="76"/>
  <c r="G63" i="76"/>
  <c r="AD62" i="76"/>
  <c r="Z62" i="76"/>
  <c r="Y62" i="76"/>
  <c r="O62" i="76"/>
  <c r="K62" i="76"/>
  <c r="J13" i="75" s="1"/>
  <c r="AF61" i="76"/>
  <c r="AE61" i="76"/>
  <c r="V61" i="76"/>
  <c r="U61" i="76"/>
  <c r="O61" i="76"/>
  <c r="M61" i="76"/>
  <c r="N61" i="76" s="1"/>
  <c r="K61" i="76"/>
  <c r="G61" i="76"/>
  <c r="V60" i="76"/>
  <c r="U60" i="76"/>
  <c r="O60" i="76"/>
  <c r="M60" i="76"/>
  <c r="AF60" i="76" s="1"/>
  <c r="K60" i="76"/>
  <c r="G60" i="76"/>
  <c r="AF59" i="76"/>
  <c r="AE59" i="76"/>
  <c r="V59" i="76"/>
  <c r="U59" i="76"/>
  <c r="Q59" i="76"/>
  <c r="O59" i="76"/>
  <c r="N59" i="76"/>
  <c r="P59" i="76" s="1"/>
  <c r="M59" i="76"/>
  <c r="K59" i="76"/>
  <c r="G59" i="76"/>
  <c r="AF58" i="76"/>
  <c r="AE58" i="76"/>
  <c r="V58" i="76"/>
  <c r="U58" i="76"/>
  <c r="Q58" i="76"/>
  <c r="O58" i="76"/>
  <c r="N58" i="76"/>
  <c r="P58" i="76" s="1"/>
  <c r="M58" i="76"/>
  <c r="M62" i="76" s="1"/>
  <c r="K58" i="76"/>
  <c r="G58" i="76"/>
  <c r="AF57" i="76"/>
  <c r="AE57" i="76"/>
  <c r="V57" i="76"/>
  <c r="Q57" i="76"/>
  <c r="O57" i="76"/>
  <c r="N57" i="76"/>
  <c r="P57" i="76" s="1"/>
  <c r="M57" i="76"/>
  <c r="K57" i="76"/>
  <c r="G57" i="76"/>
  <c r="AD56" i="76"/>
  <c r="Z56" i="76"/>
  <c r="I19" i="75" s="1"/>
  <c r="Y56" i="76"/>
  <c r="I18" i="75" s="1"/>
  <c r="O56" i="76"/>
  <c r="K56" i="76"/>
  <c r="AE55" i="76"/>
  <c r="V55" i="76"/>
  <c r="U55" i="76"/>
  <c r="O55" i="76"/>
  <c r="N55" i="76"/>
  <c r="Q55" i="76" s="1"/>
  <c r="M55" i="76"/>
  <c r="AF55" i="76" s="1"/>
  <c r="K55" i="76"/>
  <c r="G55" i="76"/>
  <c r="V54" i="76"/>
  <c r="U54" i="76"/>
  <c r="O54" i="76"/>
  <c r="M54" i="76"/>
  <c r="AF54" i="76" s="1"/>
  <c r="K54" i="76"/>
  <c r="G54" i="76"/>
  <c r="V53" i="76"/>
  <c r="U53" i="76"/>
  <c r="O53" i="76"/>
  <c r="M53" i="76"/>
  <c r="AF53" i="76" s="1"/>
  <c r="K53" i="76"/>
  <c r="G53" i="76"/>
  <c r="AF52" i="76"/>
  <c r="AE52" i="76"/>
  <c r="V52" i="76"/>
  <c r="U52" i="76"/>
  <c r="O52" i="76"/>
  <c r="M52" i="76"/>
  <c r="N52" i="76" s="1"/>
  <c r="K52" i="76"/>
  <c r="G52" i="76"/>
  <c r="V51" i="76"/>
  <c r="U51" i="76"/>
  <c r="O51" i="76"/>
  <c r="M51" i="76"/>
  <c r="AF51" i="76" s="1"/>
  <c r="K51" i="76"/>
  <c r="G51" i="76"/>
  <c r="AF50" i="76"/>
  <c r="AE50" i="76"/>
  <c r="V50" i="76"/>
  <c r="O50" i="76"/>
  <c r="M50" i="76"/>
  <c r="N50" i="76" s="1"/>
  <c r="K50" i="76"/>
  <c r="G50" i="76"/>
  <c r="AD49" i="76"/>
  <c r="Z49" i="76"/>
  <c r="H19" i="75" s="1"/>
  <c r="Y49" i="76"/>
  <c r="O49" i="76"/>
  <c r="K49" i="76"/>
  <c r="AF48" i="76"/>
  <c r="AE48" i="76"/>
  <c r="V48" i="76"/>
  <c r="U48" i="76"/>
  <c r="O48" i="76"/>
  <c r="N48" i="76"/>
  <c r="P48" i="76" s="1"/>
  <c r="M48" i="76"/>
  <c r="K48" i="76"/>
  <c r="Q48" i="76" s="1"/>
  <c r="G48" i="76"/>
  <c r="V47" i="76"/>
  <c r="U47" i="76"/>
  <c r="O47" i="76"/>
  <c r="M47" i="76"/>
  <c r="AF47" i="76" s="1"/>
  <c r="K47" i="76"/>
  <c r="G47" i="76"/>
  <c r="AF46" i="76"/>
  <c r="AE46" i="76"/>
  <c r="V46" i="76"/>
  <c r="O46" i="76"/>
  <c r="M46" i="76"/>
  <c r="N46" i="76" s="1"/>
  <c r="K46" i="76"/>
  <c r="G46" i="76"/>
  <c r="AD45" i="76"/>
  <c r="L21" i="75" s="1"/>
  <c r="Z45" i="76"/>
  <c r="Y45" i="76"/>
  <c r="O45" i="76"/>
  <c r="K45" i="76"/>
  <c r="AF44" i="76"/>
  <c r="AE44" i="76"/>
  <c r="V44" i="76"/>
  <c r="U44" i="76"/>
  <c r="O44" i="76"/>
  <c r="N44" i="76"/>
  <c r="Q44" i="76" s="1"/>
  <c r="M44" i="76"/>
  <c r="K44" i="76"/>
  <c r="G44" i="76"/>
  <c r="AE43" i="76"/>
  <c r="V43" i="76"/>
  <c r="U43" i="76"/>
  <c r="O43" i="76"/>
  <c r="M43" i="76"/>
  <c r="N43" i="76" s="1"/>
  <c r="K43" i="76"/>
  <c r="G43" i="76"/>
  <c r="X42" i="76"/>
  <c r="W42" i="76"/>
  <c r="V42" i="76"/>
  <c r="U42" i="76"/>
  <c r="O42" i="76"/>
  <c r="M42" i="76"/>
  <c r="AF42" i="76" s="1"/>
  <c r="K42" i="76"/>
  <c r="G42" i="76"/>
  <c r="AF41" i="76"/>
  <c r="AE41" i="76"/>
  <c r="V41" i="76"/>
  <c r="U41" i="76"/>
  <c r="O41" i="76"/>
  <c r="N41" i="76"/>
  <c r="P41" i="76" s="1"/>
  <c r="M41" i="76"/>
  <c r="K41" i="76"/>
  <c r="Q41" i="76" s="1"/>
  <c r="G41" i="76"/>
  <c r="V40" i="76"/>
  <c r="U40" i="76"/>
  <c r="O40" i="76"/>
  <c r="M40" i="76"/>
  <c r="AF40" i="76" s="1"/>
  <c r="K40" i="76"/>
  <c r="G40" i="76"/>
  <c r="AE39" i="76"/>
  <c r="V39" i="76"/>
  <c r="U39" i="76"/>
  <c r="O39" i="76"/>
  <c r="N39" i="76"/>
  <c r="Q39" i="76" s="1"/>
  <c r="M39" i="76"/>
  <c r="AF39" i="76" s="1"/>
  <c r="K39" i="76"/>
  <c r="G39" i="76"/>
  <c r="AF38" i="76"/>
  <c r="AE38" i="76"/>
  <c r="X38" i="76"/>
  <c r="W38" i="76"/>
  <c r="V38" i="76"/>
  <c r="O38" i="76"/>
  <c r="M38" i="76"/>
  <c r="M45" i="76" s="1"/>
  <c r="K38" i="76"/>
  <c r="G38" i="76"/>
  <c r="AD37" i="76"/>
  <c r="AD2" i="76" s="1"/>
  <c r="N6" i="75" s="1"/>
  <c r="Z37" i="76"/>
  <c r="Y37" i="76"/>
  <c r="O37" i="76"/>
  <c r="K37" i="76"/>
  <c r="AF36" i="76"/>
  <c r="AE36" i="76"/>
  <c r="V36" i="76"/>
  <c r="U36" i="76"/>
  <c r="O36" i="76"/>
  <c r="M36" i="76"/>
  <c r="N36" i="76" s="1"/>
  <c r="K36" i="76"/>
  <c r="G36" i="76"/>
  <c r="X35" i="76"/>
  <c r="W35" i="76"/>
  <c r="V35" i="76"/>
  <c r="U35" i="76"/>
  <c r="O35" i="76"/>
  <c r="M35" i="76"/>
  <c r="AF35" i="76" s="1"/>
  <c r="K35" i="76"/>
  <c r="G35" i="76"/>
  <c r="AE34" i="76"/>
  <c r="V34" i="76"/>
  <c r="U34" i="76"/>
  <c r="O34" i="76"/>
  <c r="N34" i="76"/>
  <c r="Q34" i="76" s="1"/>
  <c r="M34" i="76"/>
  <c r="AF34" i="76" s="1"/>
  <c r="K34" i="76"/>
  <c r="G34" i="76"/>
  <c r="V33" i="76"/>
  <c r="U33" i="76"/>
  <c r="O33" i="76"/>
  <c r="M33" i="76"/>
  <c r="AF33" i="76" s="1"/>
  <c r="K33" i="76"/>
  <c r="G33" i="76"/>
  <c r="V32" i="76"/>
  <c r="U32" i="76"/>
  <c r="O32" i="76"/>
  <c r="M32" i="76"/>
  <c r="AF32" i="76" s="1"/>
  <c r="K32" i="76"/>
  <c r="G32" i="76"/>
  <c r="AF31" i="76"/>
  <c r="AE31" i="76"/>
  <c r="X31" i="76"/>
  <c r="W31" i="76"/>
  <c r="V31" i="76"/>
  <c r="O31" i="76"/>
  <c r="M31" i="76"/>
  <c r="N31" i="76" s="1"/>
  <c r="K31" i="76"/>
  <c r="G31" i="76"/>
  <c r="AD30" i="76"/>
  <c r="Z30" i="76"/>
  <c r="G19" i="75" s="1"/>
  <c r="Y30" i="76"/>
  <c r="O30" i="76"/>
  <c r="K30" i="76"/>
  <c r="AF29" i="76"/>
  <c r="AE29" i="76"/>
  <c r="V29" i="76"/>
  <c r="U29" i="76"/>
  <c r="O29" i="76"/>
  <c r="N29" i="76"/>
  <c r="P29" i="76" s="1"/>
  <c r="M29" i="76"/>
  <c r="K29" i="76"/>
  <c r="Q29" i="76" s="1"/>
  <c r="G29" i="76"/>
  <c r="V28" i="76"/>
  <c r="U28" i="76"/>
  <c r="O28" i="76"/>
  <c r="M28" i="76"/>
  <c r="AF28" i="76" s="1"/>
  <c r="K28" i="76"/>
  <c r="G28" i="76"/>
  <c r="AE27" i="76"/>
  <c r="V27" i="76"/>
  <c r="U27" i="76"/>
  <c r="O27" i="76"/>
  <c r="N27" i="76"/>
  <c r="Q27" i="76" s="1"/>
  <c r="M27" i="76"/>
  <c r="AF27" i="76" s="1"/>
  <c r="K27" i="76"/>
  <c r="G27" i="76"/>
  <c r="V26" i="76"/>
  <c r="U26" i="76"/>
  <c r="O26" i="76"/>
  <c r="M26" i="76"/>
  <c r="AF26" i="76" s="1"/>
  <c r="K26" i="76"/>
  <c r="G26" i="76"/>
  <c r="V25" i="76"/>
  <c r="U25" i="76"/>
  <c r="O25" i="76"/>
  <c r="M25" i="76"/>
  <c r="AF25" i="76" s="1"/>
  <c r="K25" i="76"/>
  <c r="G25" i="76"/>
  <c r="AF24" i="76"/>
  <c r="AE24" i="76"/>
  <c r="V24" i="76"/>
  <c r="U24" i="76"/>
  <c r="O24" i="76"/>
  <c r="M24" i="76"/>
  <c r="N24" i="76" s="1"/>
  <c r="K24" i="76"/>
  <c r="G24" i="76"/>
  <c r="V23" i="76"/>
  <c r="U23" i="76"/>
  <c r="O23" i="76"/>
  <c r="M23" i="76"/>
  <c r="AF23" i="76" s="1"/>
  <c r="K23" i="76"/>
  <c r="G23" i="76"/>
  <c r="AF22" i="76"/>
  <c r="AE22" i="76"/>
  <c r="V22" i="76"/>
  <c r="O22" i="76"/>
  <c r="M22" i="76"/>
  <c r="N22" i="76" s="1"/>
  <c r="K22" i="76"/>
  <c r="G22" i="76"/>
  <c r="AD21" i="76"/>
  <c r="Z21" i="76"/>
  <c r="Z2" i="76" s="1"/>
  <c r="L6" i="75" s="1"/>
  <c r="Y21" i="76"/>
  <c r="O21" i="76"/>
  <c r="K21" i="76"/>
  <c r="AF20" i="76"/>
  <c r="AE20" i="76"/>
  <c r="V20" i="76"/>
  <c r="U20" i="76"/>
  <c r="O20" i="76"/>
  <c r="N20" i="76"/>
  <c r="P20" i="76" s="1"/>
  <c r="M20" i="76"/>
  <c r="K20" i="76"/>
  <c r="Q20" i="76" s="1"/>
  <c r="G20" i="76"/>
  <c r="V19" i="76"/>
  <c r="U19" i="76"/>
  <c r="O19" i="76"/>
  <c r="M19" i="76"/>
  <c r="AE19" i="76" s="1"/>
  <c r="K19" i="76"/>
  <c r="G19" i="76"/>
  <c r="AE18" i="76"/>
  <c r="V18" i="76"/>
  <c r="U18" i="76"/>
  <c r="O18" i="76"/>
  <c r="N18" i="76"/>
  <c r="Q18" i="76" s="1"/>
  <c r="M18" i="76"/>
  <c r="AF18" i="76" s="1"/>
  <c r="K18" i="76"/>
  <c r="G18" i="76"/>
  <c r="V17" i="76"/>
  <c r="U17" i="76"/>
  <c r="O17" i="76"/>
  <c r="M17" i="76"/>
  <c r="AF17" i="76" s="1"/>
  <c r="K17" i="76"/>
  <c r="G17" i="76"/>
  <c r="V16" i="76"/>
  <c r="U16" i="76"/>
  <c r="O16" i="76"/>
  <c r="M16" i="76"/>
  <c r="AF16" i="76" s="1"/>
  <c r="K16" i="76"/>
  <c r="G16" i="76"/>
  <c r="F1" i="76" s="1"/>
  <c r="AF15" i="76"/>
  <c r="AE15" i="76"/>
  <c r="V15" i="76"/>
  <c r="U15" i="76"/>
  <c r="O15" i="76"/>
  <c r="M15" i="76"/>
  <c r="N15" i="76" s="1"/>
  <c r="K15" i="76"/>
  <c r="G15" i="76"/>
  <c r="V14" i="76"/>
  <c r="O14" i="76"/>
  <c r="M14" i="76"/>
  <c r="AF14" i="76" s="1"/>
  <c r="K14" i="76"/>
  <c r="G14" i="76"/>
  <c r="AD13" i="76"/>
  <c r="Z13" i="76"/>
  <c r="Y13" i="76"/>
  <c r="O13" i="76"/>
  <c r="K13" i="76"/>
  <c r="AF12" i="76"/>
  <c r="V12" i="76"/>
  <c r="U12" i="76"/>
  <c r="O12" i="76"/>
  <c r="M12" i="76"/>
  <c r="AE12" i="76" s="1"/>
  <c r="K12" i="76"/>
  <c r="G12" i="76"/>
  <c r="AF11" i="76"/>
  <c r="AE11" i="76"/>
  <c r="V11" i="76"/>
  <c r="U11" i="76"/>
  <c r="O11" i="76"/>
  <c r="N11" i="76"/>
  <c r="P11" i="76" s="1"/>
  <c r="M11" i="76"/>
  <c r="K11" i="76"/>
  <c r="Q11" i="76" s="1"/>
  <c r="G11" i="76"/>
  <c r="X10" i="76"/>
  <c r="W10" i="76"/>
  <c r="V10" i="76"/>
  <c r="M10" i="76" s="1"/>
  <c r="O10" i="76"/>
  <c r="K10" i="76"/>
  <c r="G10" i="76"/>
  <c r="AD9" i="76"/>
  <c r="Z9" i="76"/>
  <c r="Y9" i="76"/>
  <c r="Y2" i="76" s="1"/>
  <c r="K6" i="75" s="1"/>
  <c r="O9" i="76"/>
  <c r="K9" i="76"/>
  <c r="AE8" i="76"/>
  <c r="V8" i="76"/>
  <c r="U8" i="76"/>
  <c r="O8" i="76"/>
  <c r="M8" i="76"/>
  <c r="N8" i="76" s="1"/>
  <c r="K8" i="76"/>
  <c r="G8" i="76"/>
  <c r="X7" i="76"/>
  <c r="W7" i="76"/>
  <c r="V7" i="76"/>
  <c r="U7" i="76"/>
  <c r="O7" i="76"/>
  <c r="M7" i="76"/>
  <c r="AF7" i="76" s="1"/>
  <c r="K7" i="76"/>
  <c r="G7" i="76"/>
  <c r="AF6" i="76"/>
  <c r="AE6" i="76"/>
  <c r="V6" i="76"/>
  <c r="U6" i="76"/>
  <c r="O6" i="76"/>
  <c r="N6" i="76"/>
  <c r="P6" i="76" s="1"/>
  <c r="M6" i="76"/>
  <c r="K6" i="76"/>
  <c r="Q6" i="76" s="1"/>
  <c r="G6" i="76"/>
  <c r="V5" i="76"/>
  <c r="O5" i="76"/>
  <c r="M5" i="76"/>
  <c r="AF5" i="76" s="1"/>
  <c r="K5" i="76"/>
  <c r="G5" i="76"/>
  <c r="H2" i="76"/>
  <c r="H1" i="76"/>
  <c r="D1" i="76"/>
  <c r="M22" i="75"/>
  <c r="L22" i="75"/>
  <c r="K22" i="75"/>
  <c r="J22" i="75"/>
  <c r="I22" i="75"/>
  <c r="H22" i="75"/>
  <c r="G22" i="75"/>
  <c r="F22" i="75"/>
  <c r="E22" i="75"/>
  <c r="D22" i="75"/>
  <c r="M21" i="75"/>
  <c r="J21" i="75"/>
  <c r="I21" i="75"/>
  <c r="H21" i="75"/>
  <c r="G21" i="75"/>
  <c r="F21" i="75"/>
  <c r="E21" i="75"/>
  <c r="D21" i="75"/>
  <c r="M20" i="75"/>
  <c r="L20" i="75"/>
  <c r="K20" i="75"/>
  <c r="J20" i="75"/>
  <c r="I20" i="75"/>
  <c r="H20" i="75"/>
  <c r="G20" i="75"/>
  <c r="F20" i="75"/>
  <c r="E20" i="75"/>
  <c r="D20" i="75"/>
  <c r="M19" i="75"/>
  <c r="L19" i="75"/>
  <c r="K19" i="75"/>
  <c r="J19" i="75"/>
  <c r="E19" i="75"/>
  <c r="D19" i="75"/>
  <c r="M18" i="75"/>
  <c r="L18" i="75"/>
  <c r="K18" i="75"/>
  <c r="J18" i="75"/>
  <c r="H18" i="75"/>
  <c r="G18" i="75"/>
  <c r="F18" i="75"/>
  <c r="E18" i="75"/>
  <c r="D18" i="75"/>
  <c r="M17" i="75"/>
  <c r="L17" i="75"/>
  <c r="K17" i="75"/>
  <c r="J17" i="75"/>
  <c r="I17" i="75"/>
  <c r="H17" i="75"/>
  <c r="G17" i="75"/>
  <c r="F17" i="75"/>
  <c r="E17" i="75"/>
  <c r="D17" i="75"/>
  <c r="M16" i="75"/>
  <c r="L16" i="75"/>
  <c r="K16" i="75"/>
  <c r="J16" i="75"/>
  <c r="I16" i="75"/>
  <c r="H16" i="75"/>
  <c r="G16" i="75"/>
  <c r="F16" i="75"/>
  <c r="E16" i="75"/>
  <c r="D16" i="75"/>
  <c r="L13" i="75"/>
  <c r="K13" i="75"/>
  <c r="I13" i="75"/>
  <c r="H13" i="75"/>
  <c r="G13" i="75"/>
  <c r="F13" i="75"/>
  <c r="E13" i="75"/>
  <c r="D13" i="75"/>
  <c r="M6" i="75"/>
  <c r="F3" i="75"/>
  <c r="C3" i="75"/>
  <c r="Q22" i="76" l="1"/>
  <c r="P22" i="76"/>
  <c r="Q61" i="76"/>
  <c r="P61" i="76"/>
  <c r="Q64" i="76"/>
  <c r="P64" i="76"/>
  <c r="P8" i="76"/>
  <c r="Q8" i="76"/>
  <c r="N45" i="76"/>
  <c r="AF45" i="76"/>
  <c r="AG38" i="76" s="1"/>
  <c r="AE45" i="76"/>
  <c r="AF69" i="76"/>
  <c r="AG63" i="76" s="1"/>
  <c r="AE69" i="76"/>
  <c r="N69" i="76"/>
  <c r="F2" i="76"/>
  <c r="I3" i="75"/>
  <c r="Q36" i="76"/>
  <c r="P36" i="76"/>
  <c r="Q50" i="76"/>
  <c r="P50" i="76"/>
  <c r="G6" i="75"/>
  <c r="Q46" i="76"/>
  <c r="P46" i="76"/>
  <c r="M13" i="76"/>
  <c r="AF10" i="76"/>
  <c r="AE10" i="76"/>
  <c r="N10" i="76"/>
  <c r="P52" i="76"/>
  <c r="Q52" i="76"/>
  <c r="P24" i="76"/>
  <c r="Q24" i="76"/>
  <c r="Q31" i="76"/>
  <c r="P31" i="76"/>
  <c r="P43" i="76"/>
  <c r="Q43" i="76"/>
  <c r="P15" i="76"/>
  <c r="Q15" i="76"/>
  <c r="AF62" i="76"/>
  <c r="AG57" i="76" s="1"/>
  <c r="AE62" i="76"/>
  <c r="N62" i="76"/>
  <c r="N54" i="76"/>
  <c r="M56" i="76"/>
  <c r="N68" i="76"/>
  <c r="N5" i="76"/>
  <c r="N19" i="76"/>
  <c r="N28" i="76"/>
  <c r="M30" i="76"/>
  <c r="N35" i="76"/>
  <c r="N40" i="76"/>
  <c r="N47" i="76"/>
  <c r="N17" i="76"/>
  <c r="N26" i="76"/>
  <c r="N33" i="76"/>
  <c r="N63" i="76"/>
  <c r="M21" i="76"/>
  <c r="M49" i="76"/>
  <c r="N7" i="76"/>
  <c r="AF8" i="76"/>
  <c r="N12" i="76"/>
  <c r="M37" i="76"/>
  <c r="N42" i="76"/>
  <c r="AF43" i="76"/>
  <c r="M9" i="76"/>
  <c r="N14" i="76"/>
  <c r="AE17" i="76"/>
  <c r="AE26" i="76"/>
  <c r="AE33" i="76"/>
  <c r="AE54" i="76"/>
  <c r="AE68" i="76"/>
  <c r="AE5" i="76"/>
  <c r="N23" i="76"/>
  <c r="N51" i="76"/>
  <c r="N60" i="76"/>
  <c r="N67" i="76"/>
  <c r="AE28" i="76"/>
  <c r="AE40" i="76"/>
  <c r="AE47" i="76"/>
  <c r="AE63" i="76"/>
  <c r="N16" i="76"/>
  <c r="AF19" i="76"/>
  <c r="N25" i="76"/>
  <c r="N32" i="76"/>
  <c r="N53" i="76"/>
  <c r="AF63" i="76"/>
  <c r="AE35" i="76"/>
  <c r="P44" i="76"/>
  <c r="F19" i="75"/>
  <c r="AE7" i="76"/>
  <c r="AE14" i="76"/>
  <c r="AE42" i="76"/>
  <c r="E6" i="75"/>
  <c r="P18" i="76"/>
  <c r="AE23" i="76"/>
  <c r="P27" i="76"/>
  <c r="P34" i="76"/>
  <c r="P39" i="76"/>
  <c r="AE51" i="76"/>
  <c r="P55" i="76"/>
  <c r="AE60" i="76"/>
  <c r="F6" i="75"/>
  <c r="AE16" i="76"/>
  <c r="AE25" i="76"/>
  <c r="AE32" i="76"/>
  <c r="AE53" i="76"/>
  <c r="K21" i="75"/>
  <c r="N38" i="76"/>
  <c r="AD72" i="74"/>
  <c r="Z72" i="74"/>
  <c r="Y72" i="74"/>
  <c r="O72" i="74"/>
  <c r="K72" i="74"/>
  <c r="V71" i="74"/>
  <c r="U71" i="74"/>
  <c r="O71" i="74"/>
  <c r="M71" i="74"/>
  <c r="K71" i="74"/>
  <c r="G71" i="74"/>
  <c r="V70" i="74"/>
  <c r="U70" i="74"/>
  <c r="O70" i="74"/>
  <c r="N70" i="74"/>
  <c r="M70" i="74"/>
  <c r="K70" i="74"/>
  <c r="G70" i="74"/>
  <c r="X69" i="74"/>
  <c r="W69" i="74"/>
  <c r="V69" i="74"/>
  <c r="M69" i="74" s="1"/>
  <c r="U69" i="74"/>
  <c r="O69" i="74"/>
  <c r="K69" i="74"/>
  <c r="G69" i="74"/>
  <c r="V68" i="74"/>
  <c r="M68" i="74" s="1"/>
  <c r="U68" i="74"/>
  <c r="O68" i="74"/>
  <c r="K68" i="74"/>
  <c r="G68" i="74"/>
  <c r="AE67" i="74"/>
  <c r="V67" i="74"/>
  <c r="M67" i="74" s="1"/>
  <c r="N67" i="74" s="1"/>
  <c r="U67" i="74"/>
  <c r="O67" i="74"/>
  <c r="K67" i="74"/>
  <c r="G67" i="74"/>
  <c r="V66" i="74"/>
  <c r="U66" i="74"/>
  <c r="O66" i="74"/>
  <c r="M66" i="74"/>
  <c r="N66" i="74" s="1"/>
  <c r="K66" i="74"/>
  <c r="G66" i="74"/>
  <c r="X65" i="74"/>
  <c r="W65" i="74"/>
  <c r="V65" i="74"/>
  <c r="O65" i="74"/>
  <c r="N65" i="74"/>
  <c r="M65" i="74"/>
  <c r="K65" i="74"/>
  <c r="G65" i="74"/>
  <c r="AD64" i="74"/>
  <c r="J21" i="73" s="1"/>
  <c r="Z64" i="74"/>
  <c r="Y64" i="74"/>
  <c r="O64" i="74"/>
  <c r="K64" i="74"/>
  <c r="V63" i="74"/>
  <c r="M63" i="74" s="1"/>
  <c r="U63" i="74"/>
  <c r="O63" i="74"/>
  <c r="K63" i="74"/>
  <c r="G63" i="74"/>
  <c r="V62" i="74"/>
  <c r="M62" i="74" s="1"/>
  <c r="N62" i="74" s="1"/>
  <c r="P62" i="74" s="1"/>
  <c r="U62" i="74"/>
  <c r="O62" i="74"/>
  <c r="K62" i="74"/>
  <c r="G62" i="74"/>
  <c r="V61" i="74"/>
  <c r="M61" i="74" s="1"/>
  <c r="U61" i="74"/>
  <c r="O61" i="74"/>
  <c r="K61" i="74"/>
  <c r="G61" i="74"/>
  <c r="AF60" i="74"/>
  <c r="V60" i="74"/>
  <c r="M60" i="74" s="1"/>
  <c r="N60" i="74" s="1"/>
  <c r="U60" i="74"/>
  <c r="O60" i="74"/>
  <c r="K60" i="74"/>
  <c r="G60" i="74"/>
  <c r="AF59" i="74"/>
  <c r="AE59" i="74"/>
  <c r="V59" i="74"/>
  <c r="O59" i="74"/>
  <c r="N59" i="74"/>
  <c r="M59" i="74"/>
  <c r="K59" i="74"/>
  <c r="G59" i="74"/>
  <c r="AD58" i="74"/>
  <c r="Z58" i="74"/>
  <c r="Y58" i="74"/>
  <c r="O58" i="74"/>
  <c r="K58" i="74"/>
  <c r="V57" i="74"/>
  <c r="U57" i="74"/>
  <c r="O57" i="74"/>
  <c r="N57" i="74"/>
  <c r="P57" i="74" s="1"/>
  <c r="M57" i="74"/>
  <c r="K57" i="74"/>
  <c r="G57" i="74"/>
  <c r="V56" i="74"/>
  <c r="U56" i="74"/>
  <c r="O56" i="74"/>
  <c r="N56" i="74"/>
  <c r="M56" i="74"/>
  <c r="K56" i="74"/>
  <c r="G56" i="74"/>
  <c r="V55" i="74"/>
  <c r="M55" i="74" s="1"/>
  <c r="U55" i="74"/>
  <c r="O55" i="74"/>
  <c r="K55" i="74"/>
  <c r="G55" i="74"/>
  <c r="V54" i="74"/>
  <c r="M54" i="74" s="1"/>
  <c r="U54" i="74"/>
  <c r="O54" i="74"/>
  <c r="K54" i="74"/>
  <c r="G54" i="74"/>
  <c r="V53" i="74"/>
  <c r="M53" i="74" s="1"/>
  <c r="N53" i="74" s="1"/>
  <c r="P53" i="74" s="1"/>
  <c r="U53" i="74"/>
  <c r="Q53" i="74"/>
  <c r="O53" i="74"/>
  <c r="K53" i="74"/>
  <c r="G53" i="74"/>
  <c r="V52" i="74"/>
  <c r="O52" i="74"/>
  <c r="M52" i="74"/>
  <c r="K52" i="74"/>
  <c r="G52" i="74"/>
  <c r="AD51" i="74"/>
  <c r="Z51" i="74"/>
  <c r="Y51" i="74"/>
  <c r="O51" i="74"/>
  <c r="K51" i="74"/>
  <c r="AF50" i="74"/>
  <c r="V50" i="74"/>
  <c r="U50" i="74"/>
  <c r="O50" i="74"/>
  <c r="N50" i="74"/>
  <c r="M50" i="74"/>
  <c r="AE50" i="74" s="1"/>
  <c r="K50" i="74"/>
  <c r="G50" i="74"/>
  <c r="V49" i="74"/>
  <c r="U49" i="74"/>
  <c r="O49" i="74"/>
  <c r="M49" i="74"/>
  <c r="K49" i="74"/>
  <c r="G49" i="74"/>
  <c r="V48" i="74"/>
  <c r="U48" i="74"/>
  <c r="Q48" i="74"/>
  <c r="O48" i="74"/>
  <c r="N48" i="74"/>
  <c r="P48" i="74" s="1"/>
  <c r="M48" i="74"/>
  <c r="K48" i="74"/>
  <c r="G48" i="74"/>
  <c r="V47" i="74"/>
  <c r="M47" i="74" s="1"/>
  <c r="N47" i="74" s="1"/>
  <c r="O47" i="74"/>
  <c r="K47" i="74"/>
  <c r="G47" i="74"/>
  <c r="AD46" i="74"/>
  <c r="L21" i="73" s="1"/>
  <c r="Z46" i="74"/>
  <c r="Y46" i="74"/>
  <c r="L18" i="73" s="1"/>
  <c r="O46" i="74"/>
  <c r="K46" i="74"/>
  <c r="V45" i="74"/>
  <c r="M45" i="74" s="1"/>
  <c r="U45" i="74"/>
  <c r="O45" i="74"/>
  <c r="K45" i="74"/>
  <c r="G45" i="74"/>
  <c r="AF44" i="74"/>
  <c r="AE44" i="74"/>
  <c r="V44" i="74"/>
  <c r="M44" i="74" s="1"/>
  <c r="N44" i="74" s="1"/>
  <c r="U44" i="74"/>
  <c r="O44" i="74"/>
  <c r="K44" i="74"/>
  <c r="G44" i="74"/>
  <c r="AE43" i="74"/>
  <c r="X43" i="74"/>
  <c r="W43" i="74"/>
  <c r="V43" i="74"/>
  <c r="U43" i="74"/>
  <c r="O43" i="74"/>
  <c r="N43" i="74"/>
  <c r="M43" i="74"/>
  <c r="AF43" i="74" s="1"/>
  <c r="K43" i="74"/>
  <c r="G43" i="74"/>
  <c r="V42" i="74"/>
  <c r="U42" i="74"/>
  <c r="O42" i="74"/>
  <c r="M42" i="74"/>
  <c r="K42" i="74"/>
  <c r="G42" i="74"/>
  <c r="V41" i="74"/>
  <c r="U41" i="74"/>
  <c r="O41" i="74"/>
  <c r="M41" i="74"/>
  <c r="N41" i="74" s="1"/>
  <c r="K41" i="74"/>
  <c r="G41" i="74"/>
  <c r="V40" i="74"/>
  <c r="U40" i="74"/>
  <c r="O40" i="74"/>
  <c r="M40" i="74"/>
  <c r="K40" i="74"/>
  <c r="G40" i="74"/>
  <c r="AE39" i="74"/>
  <c r="X39" i="74"/>
  <c r="W39" i="74"/>
  <c r="V39" i="74"/>
  <c r="M39" i="74" s="1"/>
  <c r="O39" i="74"/>
  <c r="K39" i="74"/>
  <c r="G39" i="74"/>
  <c r="AD38" i="74"/>
  <c r="K21" i="73" s="1"/>
  <c r="Z38" i="74"/>
  <c r="K19" i="73" s="1"/>
  <c r="Y38" i="74"/>
  <c r="O38" i="74"/>
  <c r="K38" i="74"/>
  <c r="AF37" i="74"/>
  <c r="AE37" i="74"/>
  <c r="V37" i="74"/>
  <c r="U37" i="74"/>
  <c r="O37" i="74"/>
  <c r="N37" i="74"/>
  <c r="M37" i="74"/>
  <c r="K37" i="74"/>
  <c r="G37" i="74"/>
  <c r="V36" i="74"/>
  <c r="U36" i="74"/>
  <c r="O36" i="74"/>
  <c r="N36" i="74"/>
  <c r="M36" i="74"/>
  <c r="AF36" i="74" s="1"/>
  <c r="K36" i="74"/>
  <c r="G36" i="74"/>
  <c r="X35" i="74"/>
  <c r="W35" i="74"/>
  <c r="V35" i="74"/>
  <c r="U35" i="74"/>
  <c r="O35" i="74"/>
  <c r="M35" i="74"/>
  <c r="K35" i="74"/>
  <c r="G35" i="74"/>
  <c r="V34" i="74"/>
  <c r="M34" i="74" s="1"/>
  <c r="U34" i="74"/>
  <c r="O34" i="74"/>
  <c r="K34" i="74"/>
  <c r="G34" i="74"/>
  <c r="AE33" i="74"/>
  <c r="V33" i="74"/>
  <c r="M33" i="74" s="1"/>
  <c r="U33" i="74"/>
  <c r="O33" i="74"/>
  <c r="K33" i="74"/>
  <c r="G33" i="74"/>
  <c r="V32" i="74"/>
  <c r="M32" i="74" s="1"/>
  <c r="N32" i="74" s="1"/>
  <c r="P32" i="74" s="1"/>
  <c r="U32" i="74"/>
  <c r="O32" i="74"/>
  <c r="K32" i="74"/>
  <c r="G32" i="74"/>
  <c r="AE31" i="74"/>
  <c r="X31" i="74"/>
  <c r="W31" i="74"/>
  <c r="V31" i="74"/>
  <c r="P31" i="74"/>
  <c r="O31" i="74"/>
  <c r="N31" i="74"/>
  <c r="Q31" i="74" s="1"/>
  <c r="M31" i="74"/>
  <c r="AF31" i="74" s="1"/>
  <c r="K31" i="74"/>
  <c r="G31" i="74"/>
  <c r="AD30" i="74"/>
  <c r="Z30" i="74"/>
  <c r="Y30" i="74"/>
  <c r="G18" i="73" s="1"/>
  <c r="O30" i="74"/>
  <c r="K30" i="74"/>
  <c r="V29" i="74"/>
  <c r="U29" i="74"/>
  <c r="O29" i="74"/>
  <c r="N29" i="74"/>
  <c r="P29" i="74" s="1"/>
  <c r="M29" i="74"/>
  <c r="K29" i="74"/>
  <c r="G29" i="74"/>
  <c r="V28" i="74"/>
  <c r="U28" i="74"/>
  <c r="O28" i="74"/>
  <c r="N28" i="74"/>
  <c r="M28" i="74"/>
  <c r="K28" i="74"/>
  <c r="G28" i="74"/>
  <c r="V27" i="74"/>
  <c r="M27" i="74" s="1"/>
  <c r="U27" i="74"/>
  <c r="O27" i="74"/>
  <c r="K27" i="74"/>
  <c r="G27" i="74"/>
  <c r="V26" i="74"/>
  <c r="M26" i="74" s="1"/>
  <c r="AE26" i="74" s="1"/>
  <c r="U26" i="74"/>
  <c r="O26" i="74"/>
  <c r="K26" i="74"/>
  <c r="G26" i="74"/>
  <c r="V25" i="74"/>
  <c r="M25" i="74" s="1"/>
  <c r="N25" i="74" s="1"/>
  <c r="P25" i="74" s="1"/>
  <c r="U25" i="74"/>
  <c r="Q25" i="74"/>
  <c r="O25" i="74"/>
  <c r="K25" i="74"/>
  <c r="G25" i="74"/>
  <c r="V24" i="74"/>
  <c r="M24" i="74" s="1"/>
  <c r="U24" i="74"/>
  <c r="O24" i="74"/>
  <c r="K24" i="74"/>
  <c r="G24" i="74"/>
  <c r="V23" i="74"/>
  <c r="M23" i="74" s="1"/>
  <c r="U23" i="74"/>
  <c r="O23" i="74"/>
  <c r="K23" i="74"/>
  <c r="G23" i="74"/>
  <c r="V22" i="74"/>
  <c r="O22" i="74"/>
  <c r="M22" i="74"/>
  <c r="AF22" i="74" s="1"/>
  <c r="K22" i="74"/>
  <c r="G22" i="74"/>
  <c r="AD21" i="74"/>
  <c r="Z21" i="74"/>
  <c r="Y21" i="74"/>
  <c r="F18" i="73" s="1"/>
  <c r="O21" i="74"/>
  <c r="K21" i="74"/>
  <c r="V20" i="74"/>
  <c r="U20" i="74"/>
  <c r="O20" i="74"/>
  <c r="M20" i="74"/>
  <c r="K20" i="74"/>
  <c r="G20" i="74"/>
  <c r="V19" i="74"/>
  <c r="U19" i="74"/>
  <c r="O19" i="74"/>
  <c r="N19" i="74"/>
  <c r="Q19" i="74" s="1"/>
  <c r="M19" i="74"/>
  <c r="K19" i="74"/>
  <c r="G19" i="74"/>
  <c r="AE18" i="74"/>
  <c r="V18" i="74"/>
  <c r="M18" i="74" s="1"/>
  <c r="U18" i="74"/>
  <c r="O18" i="74"/>
  <c r="K18" i="74"/>
  <c r="G18" i="74"/>
  <c r="V17" i="74"/>
  <c r="M17" i="74" s="1"/>
  <c r="U17" i="74"/>
  <c r="O17" i="74"/>
  <c r="K17" i="74"/>
  <c r="G17" i="74"/>
  <c r="AF16" i="74"/>
  <c r="V16" i="74"/>
  <c r="M16" i="74" s="1"/>
  <c r="N16" i="74" s="1"/>
  <c r="P16" i="74" s="1"/>
  <c r="U16" i="74"/>
  <c r="O16" i="74"/>
  <c r="K16" i="74"/>
  <c r="G16" i="74"/>
  <c r="V15" i="74"/>
  <c r="M15" i="74" s="1"/>
  <c r="U15" i="74"/>
  <c r="O15" i="74"/>
  <c r="K15" i="74"/>
  <c r="G15" i="74"/>
  <c r="AF14" i="74"/>
  <c r="AE14" i="74"/>
  <c r="X14" i="74"/>
  <c r="W14" i="74"/>
  <c r="V14" i="74"/>
  <c r="P14" i="74"/>
  <c r="O14" i="74"/>
  <c r="N14" i="74"/>
  <c r="M14" i="74"/>
  <c r="K14" i="74"/>
  <c r="G14" i="74"/>
  <c r="AD13" i="74"/>
  <c r="E21" i="73" s="1"/>
  <c r="Z13" i="74"/>
  <c r="E19" i="73" s="1"/>
  <c r="Y13" i="74"/>
  <c r="E18" i="73" s="1"/>
  <c r="O13" i="74"/>
  <c r="K13" i="74"/>
  <c r="V12" i="74"/>
  <c r="U12" i="74"/>
  <c r="O12" i="74"/>
  <c r="N12" i="74"/>
  <c r="Q12" i="74" s="1"/>
  <c r="M12" i="74"/>
  <c r="K12" i="74"/>
  <c r="G12" i="74"/>
  <c r="AE11" i="74"/>
  <c r="V11" i="74"/>
  <c r="M11" i="74" s="1"/>
  <c r="U11" i="74"/>
  <c r="O11" i="74"/>
  <c r="K11" i="74"/>
  <c r="G11" i="74"/>
  <c r="X10" i="74"/>
  <c r="W10" i="74"/>
  <c r="V10" i="74"/>
  <c r="O10" i="74"/>
  <c r="M10" i="74"/>
  <c r="AF10" i="74" s="1"/>
  <c r="K10" i="74"/>
  <c r="G10" i="74"/>
  <c r="AD9" i="74"/>
  <c r="Z9" i="74"/>
  <c r="Y9" i="74"/>
  <c r="O9" i="74"/>
  <c r="K9" i="74"/>
  <c r="D13" i="73" s="1"/>
  <c r="V8" i="74"/>
  <c r="U8" i="74"/>
  <c r="O8" i="74"/>
  <c r="M8" i="74"/>
  <c r="AE8" i="74" s="1"/>
  <c r="K8" i="74"/>
  <c r="G8" i="74"/>
  <c r="X7" i="74"/>
  <c r="W7" i="74"/>
  <c r="V7" i="74"/>
  <c r="U7" i="74"/>
  <c r="O7" i="74"/>
  <c r="N7" i="74"/>
  <c r="Q7" i="74" s="1"/>
  <c r="M7" i="74"/>
  <c r="K7" i="74"/>
  <c r="G7" i="74"/>
  <c r="V6" i="74"/>
  <c r="M6" i="74" s="1"/>
  <c r="AE6" i="74" s="1"/>
  <c r="U6" i="74"/>
  <c r="O6" i="74"/>
  <c r="K6" i="74"/>
  <c r="G6" i="74"/>
  <c r="V5" i="74"/>
  <c r="M5" i="74" s="1"/>
  <c r="AF5" i="74" s="1"/>
  <c r="O5" i="74"/>
  <c r="K5" i="74"/>
  <c r="G5" i="74"/>
  <c r="H2" i="74"/>
  <c r="H1" i="74"/>
  <c r="D1" i="74"/>
  <c r="M22" i="73"/>
  <c r="L22" i="73"/>
  <c r="K22" i="73"/>
  <c r="J22" i="73"/>
  <c r="I22" i="73"/>
  <c r="H22" i="73"/>
  <c r="G22" i="73"/>
  <c r="F22" i="73"/>
  <c r="E22" i="73"/>
  <c r="D22" i="73"/>
  <c r="M21" i="73"/>
  <c r="I21" i="73"/>
  <c r="H21" i="73"/>
  <c r="G21" i="73"/>
  <c r="F21" i="73"/>
  <c r="D21" i="73"/>
  <c r="M20" i="73"/>
  <c r="L20" i="73"/>
  <c r="K20" i="73"/>
  <c r="J20" i="73"/>
  <c r="I20" i="73"/>
  <c r="H20" i="73"/>
  <c r="G20" i="73"/>
  <c r="F20" i="73"/>
  <c r="E20" i="73"/>
  <c r="D20" i="73"/>
  <c r="M19" i="73"/>
  <c r="L19" i="73"/>
  <c r="J19" i="73"/>
  <c r="I19" i="73"/>
  <c r="H19" i="73"/>
  <c r="G19" i="73"/>
  <c r="F19" i="73"/>
  <c r="D19" i="73"/>
  <c r="M18" i="73"/>
  <c r="K18" i="73"/>
  <c r="J18" i="73"/>
  <c r="I18" i="73"/>
  <c r="H18" i="73"/>
  <c r="D18" i="73"/>
  <c r="M17" i="73"/>
  <c r="L17" i="73"/>
  <c r="K17" i="73"/>
  <c r="J17" i="73"/>
  <c r="I17" i="73"/>
  <c r="H17" i="73"/>
  <c r="G17" i="73"/>
  <c r="F17" i="73"/>
  <c r="E17" i="73"/>
  <c r="D17" i="73"/>
  <c r="M16" i="73"/>
  <c r="L16" i="73"/>
  <c r="K16" i="73"/>
  <c r="J16" i="73"/>
  <c r="I16" i="73"/>
  <c r="H16" i="73"/>
  <c r="G16" i="73"/>
  <c r="F16" i="73"/>
  <c r="E16" i="73"/>
  <c r="D16" i="73"/>
  <c r="M13" i="73"/>
  <c r="L13" i="73"/>
  <c r="K13" i="73"/>
  <c r="I6" i="73" s="1"/>
  <c r="J13" i="73"/>
  <c r="I13" i="73"/>
  <c r="H13" i="73"/>
  <c r="G13" i="73"/>
  <c r="F13" i="73"/>
  <c r="E13" i="73"/>
  <c r="M6" i="73"/>
  <c r="F3" i="73"/>
  <c r="C3" i="73"/>
  <c r="Q62" i="76" l="1"/>
  <c r="R57" i="76" s="1"/>
  <c r="P62" i="76"/>
  <c r="J14" i="75"/>
  <c r="J15" i="75" s="1"/>
  <c r="Q12" i="76"/>
  <c r="P12" i="76"/>
  <c r="Q47" i="76"/>
  <c r="P47" i="76"/>
  <c r="AF49" i="76"/>
  <c r="AG46" i="76" s="1"/>
  <c r="AE49" i="76"/>
  <c r="N49" i="76"/>
  <c r="M14" i="75"/>
  <c r="M15" i="75" s="1"/>
  <c r="P69" i="76"/>
  <c r="Q69" i="76"/>
  <c r="R63" i="76" s="1"/>
  <c r="Q60" i="76"/>
  <c r="P60" i="76"/>
  <c r="Q51" i="76"/>
  <c r="P51" i="76"/>
  <c r="Q23" i="76"/>
  <c r="P23" i="76"/>
  <c r="Q17" i="76"/>
  <c r="P17" i="76"/>
  <c r="AF30" i="76"/>
  <c r="AG22" i="76" s="1"/>
  <c r="AE30" i="76"/>
  <c r="N30" i="76"/>
  <c r="Q38" i="76"/>
  <c r="P38" i="76"/>
  <c r="Q28" i="76"/>
  <c r="P28" i="76"/>
  <c r="AF21" i="76"/>
  <c r="AG14" i="76" s="1"/>
  <c r="AE21" i="76"/>
  <c r="N21" i="76"/>
  <c r="Q63" i="76"/>
  <c r="P63" i="76"/>
  <c r="Q10" i="76"/>
  <c r="P10" i="76"/>
  <c r="P14" i="76"/>
  <c r="Q14" i="76"/>
  <c r="Q5" i="76"/>
  <c r="P5" i="76"/>
  <c r="N13" i="76"/>
  <c r="AF13" i="76"/>
  <c r="AG10" i="76" s="1"/>
  <c r="AE13" i="76"/>
  <c r="AF37" i="76"/>
  <c r="AG31" i="76" s="1"/>
  <c r="AE37" i="76"/>
  <c r="N37" i="76"/>
  <c r="Q53" i="76"/>
  <c r="P53" i="76"/>
  <c r="AF9" i="76"/>
  <c r="AG5" i="76" s="1"/>
  <c r="AE9" i="76"/>
  <c r="N9" i="76"/>
  <c r="Q68" i="76"/>
  <c r="P68" i="76"/>
  <c r="Q32" i="76"/>
  <c r="P32" i="76"/>
  <c r="AE56" i="76"/>
  <c r="AF56" i="76"/>
  <c r="AG50" i="76" s="1"/>
  <c r="N56" i="76"/>
  <c r="Q16" i="76"/>
  <c r="P16" i="76"/>
  <c r="Q7" i="76"/>
  <c r="P7" i="76"/>
  <c r="Q67" i="76"/>
  <c r="P67" i="76"/>
  <c r="P33" i="76"/>
  <c r="Q33" i="76"/>
  <c r="P26" i="76"/>
  <c r="Q26" i="76"/>
  <c r="Q40" i="76"/>
  <c r="P40" i="76"/>
  <c r="L14" i="75"/>
  <c r="L15" i="75" s="1"/>
  <c r="Q45" i="76"/>
  <c r="R38" i="76" s="1"/>
  <c r="P45" i="76"/>
  <c r="Q35" i="76"/>
  <c r="P35" i="76"/>
  <c r="Q19" i="76"/>
  <c r="P19" i="76"/>
  <c r="Q25" i="76"/>
  <c r="P25" i="76"/>
  <c r="Q42" i="76"/>
  <c r="P42" i="76"/>
  <c r="Q54" i="76"/>
  <c r="P54" i="76"/>
  <c r="AF24" i="74"/>
  <c r="AE24" i="74"/>
  <c r="N24" i="74"/>
  <c r="Q66" i="74"/>
  <c r="P66" i="74"/>
  <c r="E6" i="73"/>
  <c r="G6" i="73"/>
  <c r="F6" i="73"/>
  <c r="Q41" i="74"/>
  <c r="P41" i="74"/>
  <c r="Q47" i="74"/>
  <c r="P47" i="74"/>
  <c r="AF15" i="74"/>
  <c r="N15" i="74"/>
  <c r="AE15" i="74"/>
  <c r="N23" i="74"/>
  <c r="AF23" i="74"/>
  <c r="AE23" i="74"/>
  <c r="M21" i="74"/>
  <c r="AF29" i="74"/>
  <c r="AE29" i="74"/>
  <c r="AF57" i="74"/>
  <c r="AE57" i="74"/>
  <c r="AF65" i="74"/>
  <c r="AE65" i="74"/>
  <c r="Q67" i="74"/>
  <c r="P67" i="74"/>
  <c r="Q70" i="74"/>
  <c r="P70" i="74"/>
  <c r="N10" i="74"/>
  <c r="P12" i="74"/>
  <c r="P19" i="74"/>
  <c r="AF49" i="74"/>
  <c r="AE49" i="74"/>
  <c r="N49" i="74"/>
  <c r="AE62" i="74"/>
  <c r="AF67" i="74"/>
  <c r="N8" i="74"/>
  <c r="Q29" i="74"/>
  <c r="AF52" i="74"/>
  <c r="N52" i="74"/>
  <c r="Q57" i="74"/>
  <c r="AE5" i="74"/>
  <c r="N5" i="74"/>
  <c r="N22" i="74"/>
  <c r="AE36" i="74"/>
  <c r="AF71" i="74"/>
  <c r="AE71" i="74"/>
  <c r="AF17" i="74"/>
  <c r="N17" i="74"/>
  <c r="AF20" i="74"/>
  <c r="AE20" i="74"/>
  <c r="N34" i="74"/>
  <c r="AF34" i="74"/>
  <c r="Q60" i="74"/>
  <c r="P60" i="74"/>
  <c r="N71" i="74"/>
  <c r="AE17" i="74"/>
  <c r="N20" i="74"/>
  <c r="M30" i="74"/>
  <c r="Q32" i="74"/>
  <c r="AE34" i="74"/>
  <c r="M46" i="74"/>
  <c r="N39" i="74"/>
  <c r="AF39" i="74"/>
  <c r="Q44" i="74"/>
  <c r="P44" i="74"/>
  <c r="AE52" i="74"/>
  <c r="M58" i="74"/>
  <c r="AE60" i="74"/>
  <c r="AF68" i="74"/>
  <c r="AE68" i="74"/>
  <c r="N68" i="74"/>
  <c r="AF54" i="74"/>
  <c r="AE54" i="74"/>
  <c r="N54" i="74"/>
  <c r="AF26" i="74"/>
  <c r="N26" i="74"/>
  <c r="Q36" i="74"/>
  <c r="P36" i="74"/>
  <c r="AF41" i="74"/>
  <c r="AE41" i="74"/>
  <c r="Q65" i="74"/>
  <c r="P65" i="74"/>
  <c r="AF62" i="74"/>
  <c r="AE32" i="74"/>
  <c r="AF35" i="74"/>
  <c r="AE35" i="74"/>
  <c r="M13" i="74"/>
  <c r="AE10" i="74"/>
  <c r="AE22" i="74"/>
  <c r="N27" i="74"/>
  <c r="AF27" i="74"/>
  <c r="Q50" i="74"/>
  <c r="P50" i="74"/>
  <c r="Z2" i="74"/>
  <c r="L6" i="73" s="1"/>
  <c r="AF7" i="74"/>
  <c r="AE7" i="74"/>
  <c r="AE25" i="74"/>
  <c r="AF28" i="74"/>
  <c r="AE28" i="74"/>
  <c r="AF48" i="74"/>
  <c r="AE48" i="74"/>
  <c r="AF56" i="74"/>
  <c r="AE56" i="74"/>
  <c r="AD2" i="74"/>
  <c r="N6" i="73" s="1"/>
  <c r="AF25" i="74"/>
  <c r="Q28" i="74"/>
  <c r="P28" i="74"/>
  <c r="AF40" i="74"/>
  <c r="AE40" i="74"/>
  <c r="Q56" i="74"/>
  <c r="P56" i="74"/>
  <c r="AE66" i="74"/>
  <c r="N69" i="74"/>
  <c r="AF69" i="74"/>
  <c r="AE69" i="74"/>
  <c r="M72" i="74"/>
  <c r="F1" i="74"/>
  <c r="N11" i="74"/>
  <c r="AF11" i="74"/>
  <c r="N18" i="74"/>
  <c r="AF18" i="74"/>
  <c r="N40" i="74"/>
  <c r="AE53" i="74"/>
  <c r="AF61" i="74"/>
  <c r="AE61" i="74"/>
  <c r="N61" i="74"/>
  <c r="AF66" i="74"/>
  <c r="AF8" i="74"/>
  <c r="AE27" i="74"/>
  <c r="Q37" i="74"/>
  <c r="P37" i="74"/>
  <c r="AF42" i="74"/>
  <c r="AE42" i="74"/>
  <c r="N42" i="74"/>
  <c r="AF47" i="74"/>
  <c r="AE47" i="74"/>
  <c r="M51" i="74"/>
  <c r="N55" i="74"/>
  <c r="AF55" i="74"/>
  <c r="AE55" i="74"/>
  <c r="AF63" i="74"/>
  <c r="AE63" i="74"/>
  <c r="N63" i="74"/>
  <c r="Y2" i="74"/>
  <c r="K6" i="73" s="1"/>
  <c r="M9" i="74"/>
  <c r="AF32" i="74"/>
  <c r="N35" i="74"/>
  <c r="P7" i="74"/>
  <c r="Q14" i="74"/>
  <c r="Q16" i="74"/>
  <c r="AF53" i="74"/>
  <c r="M64" i="74"/>
  <c r="N6" i="74"/>
  <c r="AF6" i="74"/>
  <c r="M38" i="74"/>
  <c r="Q43" i="74"/>
  <c r="P43" i="74"/>
  <c r="AF45" i="74"/>
  <c r="AE45" i="74"/>
  <c r="N45" i="74"/>
  <c r="Q59" i="74"/>
  <c r="P59" i="74"/>
  <c r="AF12" i="74"/>
  <c r="AE12" i="74"/>
  <c r="AE16" i="74"/>
  <c r="AF19" i="74"/>
  <c r="AE19" i="74"/>
  <c r="AF33" i="74"/>
  <c r="N33" i="74"/>
  <c r="Q62" i="74"/>
  <c r="AF70" i="74"/>
  <c r="AE70" i="74"/>
  <c r="AD71" i="72"/>
  <c r="Z71" i="72"/>
  <c r="Y71" i="72"/>
  <c r="O71" i="72"/>
  <c r="K71" i="72"/>
  <c r="M13" i="71" s="1"/>
  <c r="V70" i="72"/>
  <c r="U70" i="72"/>
  <c r="O70" i="72"/>
  <c r="M70" i="72"/>
  <c r="AE70" i="72" s="1"/>
  <c r="K70" i="72"/>
  <c r="G70" i="72"/>
  <c r="V69" i="72"/>
  <c r="U69" i="72"/>
  <c r="O69" i="72"/>
  <c r="N69" i="72"/>
  <c r="Q69" i="72" s="1"/>
  <c r="M69" i="72"/>
  <c r="AF69" i="72" s="1"/>
  <c r="K69" i="72"/>
  <c r="G69" i="72"/>
  <c r="X68" i="72"/>
  <c r="W68" i="72"/>
  <c r="V68" i="72"/>
  <c r="M68" i="72" s="1"/>
  <c r="U68" i="72"/>
  <c r="O68" i="72"/>
  <c r="K68" i="72"/>
  <c r="G68" i="72"/>
  <c r="V67" i="72"/>
  <c r="U67" i="72"/>
  <c r="O67" i="72"/>
  <c r="N67" i="72"/>
  <c r="Q67" i="72" s="1"/>
  <c r="M67" i="72"/>
  <c r="AF67" i="72" s="1"/>
  <c r="K67" i="72"/>
  <c r="G67" i="72"/>
  <c r="V66" i="72"/>
  <c r="M66" i="72" s="1"/>
  <c r="U66" i="72"/>
  <c r="O66" i="72"/>
  <c r="K66" i="72"/>
  <c r="G66" i="72"/>
  <c r="V65" i="72"/>
  <c r="U65" i="72"/>
  <c r="O65" i="72"/>
  <c r="M65" i="72"/>
  <c r="AF65" i="72" s="1"/>
  <c r="K65" i="72"/>
  <c r="G65" i="72"/>
  <c r="X64" i="72"/>
  <c r="W64" i="72"/>
  <c r="V64" i="72"/>
  <c r="O64" i="72"/>
  <c r="N64" i="72"/>
  <c r="Q64" i="72" s="1"/>
  <c r="M64" i="72"/>
  <c r="AF64" i="72" s="1"/>
  <c r="K64" i="72"/>
  <c r="G64" i="72"/>
  <c r="AD63" i="72"/>
  <c r="J21" i="71" s="1"/>
  <c r="Z63" i="72"/>
  <c r="J19" i="71" s="1"/>
  <c r="Y63" i="72"/>
  <c r="J18" i="71" s="1"/>
  <c r="O63" i="72"/>
  <c r="K63" i="72"/>
  <c r="V62" i="72"/>
  <c r="U62" i="72"/>
  <c r="O62" i="72"/>
  <c r="M62" i="72"/>
  <c r="AE62" i="72" s="1"/>
  <c r="K62" i="72"/>
  <c r="G62" i="72"/>
  <c r="V61" i="72"/>
  <c r="M61" i="72" s="1"/>
  <c r="U61" i="72"/>
  <c r="O61" i="72"/>
  <c r="K61" i="72"/>
  <c r="G61" i="72"/>
  <c r="V60" i="72"/>
  <c r="U60" i="72"/>
  <c r="O60" i="72"/>
  <c r="N60" i="72"/>
  <c r="Q60" i="72" s="1"/>
  <c r="M60" i="72"/>
  <c r="AF60" i="72" s="1"/>
  <c r="K60" i="72"/>
  <c r="G60" i="72"/>
  <c r="V59" i="72"/>
  <c r="M59" i="72" s="1"/>
  <c r="U59" i="72"/>
  <c r="O59" i="72"/>
  <c r="K59" i="72"/>
  <c r="G59" i="72"/>
  <c r="V58" i="72"/>
  <c r="O58" i="72"/>
  <c r="M58" i="72"/>
  <c r="K58" i="72"/>
  <c r="G58" i="72"/>
  <c r="AD57" i="72"/>
  <c r="Z57" i="72"/>
  <c r="Y57" i="72"/>
  <c r="O57" i="72"/>
  <c r="K57" i="72"/>
  <c r="I13" i="71" s="1"/>
  <c r="V56" i="72"/>
  <c r="U56" i="72"/>
  <c r="O56" i="72"/>
  <c r="M56" i="72"/>
  <c r="AE56" i="72" s="1"/>
  <c r="K56" i="72"/>
  <c r="G56" i="72"/>
  <c r="V55" i="72"/>
  <c r="U55" i="72"/>
  <c r="O55" i="72"/>
  <c r="N55" i="72"/>
  <c r="Q55" i="72" s="1"/>
  <c r="M55" i="72"/>
  <c r="AF55" i="72" s="1"/>
  <c r="K55" i="72"/>
  <c r="G55" i="72"/>
  <c r="V54" i="72"/>
  <c r="M54" i="72" s="1"/>
  <c r="U54" i="72"/>
  <c r="O54" i="72"/>
  <c r="K54" i="72"/>
  <c r="G54" i="72"/>
  <c r="V53" i="72"/>
  <c r="U53" i="72"/>
  <c r="O53" i="72"/>
  <c r="M53" i="72"/>
  <c r="AE53" i="72" s="1"/>
  <c r="K53" i="72"/>
  <c r="G53" i="72"/>
  <c r="V52" i="72"/>
  <c r="M52" i="72" s="1"/>
  <c r="U52" i="72"/>
  <c r="O52" i="72"/>
  <c r="K52" i="72"/>
  <c r="G52" i="72"/>
  <c r="V51" i="72"/>
  <c r="U51" i="72"/>
  <c r="O51" i="72"/>
  <c r="N51" i="72"/>
  <c r="Q51" i="72" s="1"/>
  <c r="M51" i="72"/>
  <c r="AF51" i="72" s="1"/>
  <c r="K51" i="72"/>
  <c r="G51" i="72"/>
  <c r="AF50" i="72"/>
  <c r="AE50" i="72"/>
  <c r="V50" i="72"/>
  <c r="O50" i="72"/>
  <c r="M50" i="72"/>
  <c r="N50" i="72" s="1"/>
  <c r="K50" i="72"/>
  <c r="G50" i="72"/>
  <c r="AD49" i="72"/>
  <c r="H21" i="71" s="1"/>
  <c r="Z49" i="72"/>
  <c r="H19" i="71" s="1"/>
  <c r="Y49" i="72"/>
  <c r="O49" i="72"/>
  <c r="K49" i="72"/>
  <c r="H13" i="71" s="1"/>
  <c r="V48" i="72"/>
  <c r="U48" i="72"/>
  <c r="O48" i="72"/>
  <c r="M48" i="72"/>
  <c r="AF48" i="72" s="1"/>
  <c r="K48" i="72"/>
  <c r="G48" i="72"/>
  <c r="V47" i="72"/>
  <c r="U47" i="72"/>
  <c r="O47" i="72"/>
  <c r="M47" i="72"/>
  <c r="AE47" i="72" s="1"/>
  <c r="K47" i="72"/>
  <c r="G47" i="72"/>
  <c r="V46" i="72"/>
  <c r="U46" i="72"/>
  <c r="O46" i="72"/>
  <c r="N46" i="72"/>
  <c r="Q46" i="72" s="1"/>
  <c r="M46" i="72"/>
  <c r="AF46" i="72" s="1"/>
  <c r="K46" i="72"/>
  <c r="G46" i="72"/>
  <c r="V45" i="72"/>
  <c r="M45" i="72" s="1"/>
  <c r="O45" i="72"/>
  <c r="K45" i="72"/>
  <c r="G45" i="72"/>
  <c r="AD44" i="72"/>
  <c r="L21" i="71" s="1"/>
  <c r="Z44" i="72"/>
  <c r="L19" i="71" s="1"/>
  <c r="Y44" i="72"/>
  <c r="O44" i="72"/>
  <c r="K44" i="72"/>
  <c r="L13" i="71" s="1"/>
  <c r="V43" i="72"/>
  <c r="M43" i="72" s="1"/>
  <c r="U43" i="72"/>
  <c r="O43" i="72"/>
  <c r="K43" i="72"/>
  <c r="G43" i="72"/>
  <c r="V42" i="72"/>
  <c r="U42" i="72"/>
  <c r="O42" i="72"/>
  <c r="M42" i="72"/>
  <c r="AE42" i="72" s="1"/>
  <c r="K42" i="72"/>
  <c r="G42" i="72"/>
  <c r="AF41" i="72"/>
  <c r="AE41" i="72"/>
  <c r="X41" i="72"/>
  <c r="W41" i="72"/>
  <c r="V41" i="72"/>
  <c r="U41" i="72"/>
  <c r="O41" i="72"/>
  <c r="M41" i="72"/>
  <c r="N41" i="72" s="1"/>
  <c r="K41" i="72"/>
  <c r="G41" i="72"/>
  <c r="V40" i="72"/>
  <c r="U40" i="72"/>
  <c r="O40" i="72"/>
  <c r="M40" i="72"/>
  <c r="AE40" i="72" s="1"/>
  <c r="K40" i="72"/>
  <c r="G40" i="72"/>
  <c r="V39" i="72"/>
  <c r="U39" i="72"/>
  <c r="O39" i="72"/>
  <c r="N39" i="72"/>
  <c r="Q39" i="72" s="1"/>
  <c r="M39" i="72"/>
  <c r="AF39" i="72" s="1"/>
  <c r="K39" i="72"/>
  <c r="G39" i="72"/>
  <c r="V38" i="72"/>
  <c r="M38" i="72" s="1"/>
  <c r="U38" i="72"/>
  <c r="O38" i="72"/>
  <c r="K38" i="72"/>
  <c r="G38" i="72"/>
  <c r="X37" i="72"/>
  <c r="W37" i="72"/>
  <c r="V37" i="72"/>
  <c r="O37" i="72"/>
  <c r="M37" i="72"/>
  <c r="AF37" i="72" s="1"/>
  <c r="K37" i="72"/>
  <c r="G37" i="72"/>
  <c r="AD36" i="72"/>
  <c r="Z36" i="72"/>
  <c r="Y36" i="72"/>
  <c r="O36" i="72"/>
  <c r="K36" i="72"/>
  <c r="K13" i="71" s="1"/>
  <c r="V35" i="72"/>
  <c r="U35" i="72"/>
  <c r="O35" i="72"/>
  <c r="M35" i="72"/>
  <c r="N35" i="72" s="1"/>
  <c r="K35" i="72"/>
  <c r="G35" i="72"/>
  <c r="V34" i="72"/>
  <c r="U34" i="72"/>
  <c r="O34" i="72"/>
  <c r="M34" i="72"/>
  <c r="AF34" i="72" s="1"/>
  <c r="K34" i="72"/>
  <c r="G34" i="72"/>
  <c r="X33" i="72"/>
  <c r="W33" i="72"/>
  <c r="V33" i="72"/>
  <c r="M33" i="72" s="1"/>
  <c r="U33" i="72"/>
  <c r="O33" i="72"/>
  <c r="K33" i="72"/>
  <c r="G33" i="72"/>
  <c r="V32" i="72"/>
  <c r="U32" i="72"/>
  <c r="O32" i="72"/>
  <c r="M32" i="72"/>
  <c r="AE32" i="72" s="1"/>
  <c r="K32" i="72"/>
  <c r="G32" i="72"/>
  <c r="V31" i="72"/>
  <c r="M31" i="72" s="1"/>
  <c r="U31" i="72"/>
  <c r="O31" i="72"/>
  <c r="K31" i="72"/>
  <c r="G31" i="72"/>
  <c r="V30" i="72"/>
  <c r="U30" i="72"/>
  <c r="O30" i="72"/>
  <c r="N30" i="72"/>
  <c r="Q30" i="72" s="1"/>
  <c r="M30" i="72"/>
  <c r="AF30" i="72" s="1"/>
  <c r="K30" i="72"/>
  <c r="G30" i="72"/>
  <c r="AF29" i="72"/>
  <c r="AE29" i="72"/>
  <c r="X29" i="72"/>
  <c r="W29" i="72"/>
  <c r="V29" i="72"/>
  <c r="O29" i="72"/>
  <c r="M29" i="72"/>
  <c r="M36" i="72" s="1"/>
  <c r="K29" i="72"/>
  <c r="G29" i="72"/>
  <c r="AD28" i="72"/>
  <c r="G21" i="71" s="1"/>
  <c r="Z28" i="72"/>
  <c r="G19" i="71" s="1"/>
  <c r="Y28" i="72"/>
  <c r="O28" i="72"/>
  <c r="K28" i="72"/>
  <c r="V27" i="72"/>
  <c r="U27" i="72"/>
  <c r="O27" i="72"/>
  <c r="N27" i="72"/>
  <c r="Q27" i="72" s="1"/>
  <c r="M27" i="72"/>
  <c r="AF27" i="72" s="1"/>
  <c r="K27" i="72"/>
  <c r="G27" i="72"/>
  <c r="V26" i="72"/>
  <c r="M26" i="72" s="1"/>
  <c r="U26" i="72"/>
  <c r="O26" i="72"/>
  <c r="K26" i="72"/>
  <c r="G26" i="72"/>
  <c r="V25" i="72"/>
  <c r="U25" i="72"/>
  <c r="O25" i="72"/>
  <c r="M25" i="72"/>
  <c r="AE25" i="72" s="1"/>
  <c r="K25" i="72"/>
  <c r="G25" i="72"/>
  <c r="V24" i="72"/>
  <c r="M24" i="72" s="1"/>
  <c r="U24" i="72"/>
  <c r="O24" i="72"/>
  <c r="K24" i="72"/>
  <c r="G24" i="72"/>
  <c r="V23" i="72"/>
  <c r="U23" i="72"/>
  <c r="O23" i="72"/>
  <c r="N23" i="72"/>
  <c r="Q23" i="72" s="1"/>
  <c r="M23" i="72"/>
  <c r="AF23" i="72" s="1"/>
  <c r="K23" i="72"/>
  <c r="G23" i="72"/>
  <c r="V22" i="72"/>
  <c r="M22" i="72" s="1"/>
  <c r="U22" i="72"/>
  <c r="O22" i="72"/>
  <c r="K22" i="72"/>
  <c r="G22" i="72"/>
  <c r="V21" i="72"/>
  <c r="O21" i="72"/>
  <c r="M21" i="72"/>
  <c r="K21" i="72"/>
  <c r="G21" i="72"/>
  <c r="AD20" i="72"/>
  <c r="Z20" i="72"/>
  <c r="Y20" i="72"/>
  <c r="O20" i="72"/>
  <c r="K20" i="72"/>
  <c r="V19" i="72"/>
  <c r="U19" i="72"/>
  <c r="O19" i="72"/>
  <c r="M19" i="72"/>
  <c r="AE19" i="72" s="1"/>
  <c r="K19" i="72"/>
  <c r="G19" i="72"/>
  <c r="V18" i="72"/>
  <c r="U18" i="72"/>
  <c r="O18" i="72"/>
  <c r="N18" i="72"/>
  <c r="Q18" i="72" s="1"/>
  <c r="M18" i="72"/>
  <c r="AF18" i="72" s="1"/>
  <c r="K18" i="72"/>
  <c r="G18" i="72"/>
  <c r="V17" i="72"/>
  <c r="M17" i="72" s="1"/>
  <c r="U17" i="72"/>
  <c r="O17" i="72"/>
  <c r="K17" i="72"/>
  <c r="G17" i="72"/>
  <c r="V16" i="72"/>
  <c r="U16" i="72"/>
  <c r="O16" i="72"/>
  <c r="M16" i="72"/>
  <c r="AE16" i="72" s="1"/>
  <c r="K16" i="72"/>
  <c r="G16" i="72"/>
  <c r="V15" i="72"/>
  <c r="M15" i="72" s="1"/>
  <c r="U15" i="72"/>
  <c r="O15" i="72"/>
  <c r="K15" i="72"/>
  <c r="G15" i="72"/>
  <c r="V14" i="72"/>
  <c r="U14" i="72"/>
  <c r="O14" i="72"/>
  <c r="N14" i="72"/>
  <c r="Q14" i="72" s="1"/>
  <c r="M14" i="72"/>
  <c r="AF14" i="72" s="1"/>
  <c r="K14" i="72"/>
  <c r="G14" i="72"/>
  <c r="AF13" i="72"/>
  <c r="AE13" i="72"/>
  <c r="V13" i="72"/>
  <c r="O13" i="72"/>
  <c r="M13" i="72"/>
  <c r="N13" i="72" s="1"/>
  <c r="K13" i="72"/>
  <c r="G13" i="72"/>
  <c r="AD12" i="72"/>
  <c r="Z12" i="72"/>
  <c r="E19" i="71" s="1"/>
  <c r="Y12" i="72"/>
  <c r="E18" i="71" s="1"/>
  <c r="O12" i="72"/>
  <c r="K12" i="72"/>
  <c r="E13" i="71" s="1"/>
  <c r="V11" i="72"/>
  <c r="U11" i="72"/>
  <c r="O11" i="72"/>
  <c r="M11" i="72"/>
  <c r="AF11" i="72" s="1"/>
  <c r="K11" i="72"/>
  <c r="G11" i="72"/>
  <c r="X10" i="72"/>
  <c r="W10" i="72"/>
  <c r="V10" i="72"/>
  <c r="M10" i="72" s="1"/>
  <c r="O10" i="72"/>
  <c r="K10" i="72"/>
  <c r="G10" i="72"/>
  <c r="AD9" i="72"/>
  <c r="AD2" i="72" s="1"/>
  <c r="N6" i="71" s="1"/>
  <c r="Z9" i="72"/>
  <c r="Z2" i="72" s="1"/>
  <c r="L6" i="71" s="1"/>
  <c r="Y9" i="72"/>
  <c r="D18" i="71" s="1"/>
  <c r="O9" i="72"/>
  <c r="K9" i="72"/>
  <c r="D13" i="71" s="1"/>
  <c r="V8" i="72"/>
  <c r="M8" i="72" s="1"/>
  <c r="U8" i="72"/>
  <c r="O8" i="72"/>
  <c r="K8" i="72"/>
  <c r="G8" i="72"/>
  <c r="X7" i="72"/>
  <c r="W7" i="72"/>
  <c r="V7" i="72"/>
  <c r="U7" i="72"/>
  <c r="O7" i="72"/>
  <c r="M7" i="72"/>
  <c r="AE7" i="72" s="1"/>
  <c r="K7" i="72"/>
  <c r="G7" i="72"/>
  <c r="F1" i="72" s="1"/>
  <c r="V6" i="72"/>
  <c r="U6" i="72"/>
  <c r="O6" i="72"/>
  <c r="M6" i="72"/>
  <c r="AF6" i="72" s="1"/>
  <c r="K6" i="72"/>
  <c r="G6" i="72"/>
  <c r="V5" i="72"/>
  <c r="M5" i="72" s="1"/>
  <c r="O5" i="72"/>
  <c r="K5" i="72"/>
  <c r="G5" i="72"/>
  <c r="H2" i="72"/>
  <c r="H1" i="72"/>
  <c r="D1" i="72"/>
  <c r="M22" i="71"/>
  <c r="L22" i="71"/>
  <c r="K22" i="71"/>
  <c r="J22" i="71"/>
  <c r="I22" i="71"/>
  <c r="H22" i="71"/>
  <c r="G22" i="71"/>
  <c r="F22" i="71"/>
  <c r="E22" i="71"/>
  <c r="D22" i="71"/>
  <c r="M21" i="71"/>
  <c r="K21" i="71"/>
  <c r="I21" i="71"/>
  <c r="F21" i="71"/>
  <c r="E21" i="71"/>
  <c r="D21" i="71"/>
  <c r="M20" i="71"/>
  <c r="L20" i="71"/>
  <c r="K20" i="71"/>
  <c r="J20" i="71"/>
  <c r="I20" i="71"/>
  <c r="H20" i="71"/>
  <c r="G20" i="71"/>
  <c r="F20" i="71"/>
  <c r="E20" i="71"/>
  <c r="D20" i="71"/>
  <c r="M19" i="71"/>
  <c r="K19" i="71"/>
  <c r="I19" i="71"/>
  <c r="F19" i="71"/>
  <c r="D19" i="71"/>
  <c r="M18" i="71"/>
  <c r="L18" i="71"/>
  <c r="K18" i="71"/>
  <c r="I18" i="71"/>
  <c r="H18" i="71"/>
  <c r="G18" i="71"/>
  <c r="F18" i="71"/>
  <c r="M17" i="71"/>
  <c r="L17" i="71"/>
  <c r="K17" i="71"/>
  <c r="J17" i="71"/>
  <c r="I17" i="71"/>
  <c r="H17" i="71"/>
  <c r="G17" i="71"/>
  <c r="F17" i="71"/>
  <c r="E17" i="71"/>
  <c r="D17" i="71"/>
  <c r="M16" i="71"/>
  <c r="L16" i="71"/>
  <c r="K16" i="71"/>
  <c r="J16" i="71"/>
  <c r="I16" i="71"/>
  <c r="H16" i="71"/>
  <c r="G16" i="71"/>
  <c r="F16" i="71"/>
  <c r="E16" i="71"/>
  <c r="D16" i="71"/>
  <c r="J13" i="71"/>
  <c r="G13" i="71"/>
  <c r="F13" i="71"/>
  <c r="M6" i="71"/>
  <c r="F3" i="71"/>
  <c r="C3" i="71"/>
  <c r="Q56" i="76" l="1"/>
  <c r="R50" i="76" s="1"/>
  <c r="I14" i="75"/>
  <c r="I15" i="75" s="1"/>
  <c r="P56" i="76"/>
  <c r="Q21" i="76"/>
  <c r="R14" i="76" s="1"/>
  <c r="P21" i="76"/>
  <c r="F14" i="75"/>
  <c r="F15" i="75" s="1"/>
  <c r="D2" i="76"/>
  <c r="Q9" i="76"/>
  <c r="R5" i="76" s="1"/>
  <c r="P9" i="76"/>
  <c r="D14" i="75"/>
  <c r="Q13" i="76"/>
  <c r="R10" i="76" s="1"/>
  <c r="P13" i="76"/>
  <c r="E14" i="75"/>
  <c r="E15" i="75" s="1"/>
  <c r="Q37" i="76"/>
  <c r="R31" i="76" s="1"/>
  <c r="P37" i="76"/>
  <c r="K14" i="75"/>
  <c r="Q30" i="76"/>
  <c r="R22" i="76" s="1"/>
  <c r="P30" i="76"/>
  <c r="G14" i="75"/>
  <c r="G15" i="75" s="1"/>
  <c r="Q49" i="76"/>
  <c r="R46" i="76" s="1"/>
  <c r="P49" i="76"/>
  <c r="H14" i="75"/>
  <c r="H15" i="75" s="1"/>
  <c r="P11" i="74"/>
  <c r="Q11" i="74"/>
  <c r="N51" i="74"/>
  <c r="AF51" i="74"/>
  <c r="AG47" i="74" s="1"/>
  <c r="AE51" i="74"/>
  <c r="AF21" i="74"/>
  <c r="AG14" i="74" s="1"/>
  <c r="AE21" i="74"/>
  <c r="N21" i="74"/>
  <c r="AF72" i="74"/>
  <c r="AG65" i="74" s="1"/>
  <c r="AE72" i="74"/>
  <c r="N72" i="74"/>
  <c r="Q26" i="74"/>
  <c r="P26" i="74"/>
  <c r="Q54" i="74"/>
  <c r="P54" i="74"/>
  <c r="Q23" i="74"/>
  <c r="P23" i="74"/>
  <c r="N64" i="74"/>
  <c r="AF64" i="74"/>
  <c r="AG59" i="74" s="1"/>
  <c r="AE64" i="74"/>
  <c r="P15" i="74"/>
  <c r="Q15" i="74"/>
  <c r="P68" i="74"/>
  <c r="Q68" i="74"/>
  <c r="P27" i="74"/>
  <c r="Q27" i="74"/>
  <c r="Q33" i="74"/>
  <c r="P33" i="74"/>
  <c r="Q17" i="74"/>
  <c r="P17" i="74"/>
  <c r="Q10" i="74"/>
  <c r="P10" i="74"/>
  <c r="Q35" i="74"/>
  <c r="P35" i="74"/>
  <c r="AF13" i="74"/>
  <c r="AG10" i="74" s="1"/>
  <c r="AE13" i="74"/>
  <c r="N13" i="74"/>
  <c r="AF58" i="74"/>
  <c r="AG52" i="74" s="1"/>
  <c r="AE58" i="74"/>
  <c r="N58" i="74"/>
  <c r="Q55" i="74"/>
  <c r="P55" i="74"/>
  <c r="Q8" i="74"/>
  <c r="P8" i="74"/>
  <c r="Q42" i="74"/>
  <c r="P42" i="74"/>
  <c r="P6" i="74"/>
  <c r="Q6" i="74"/>
  <c r="N9" i="74"/>
  <c r="AF9" i="74"/>
  <c r="AG5" i="74" s="1"/>
  <c r="AE9" i="74"/>
  <c r="Q22" i="74"/>
  <c r="P22" i="74"/>
  <c r="Q40" i="74"/>
  <c r="P40" i="74"/>
  <c r="N46" i="74"/>
  <c r="AF46" i="74"/>
  <c r="AG39" i="74" s="1"/>
  <c r="AE46" i="74"/>
  <c r="P24" i="74"/>
  <c r="Q24" i="74"/>
  <c r="Q45" i="74"/>
  <c r="P45" i="74"/>
  <c r="Q18" i="74"/>
  <c r="P18" i="74"/>
  <c r="AF30" i="74"/>
  <c r="AG22" i="74" s="1"/>
  <c r="AE30" i="74"/>
  <c r="N30" i="74"/>
  <c r="F2" i="74"/>
  <c r="I3" i="73"/>
  <c r="Q20" i="74"/>
  <c r="P20" i="74"/>
  <c r="AF38" i="74"/>
  <c r="AG31" i="74" s="1"/>
  <c r="N38" i="74"/>
  <c r="AE38" i="74"/>
  <c r="Q71" i="74"/>
  <c r="P71" i="74"/>
  <c r="P69" i="74"/>
  <c r="Q69" i="74"/>
  <c r="Q49" i="74"/>
  <c r="P49" i="74"/>
  <c r="Q34" i="74"/>
  <c r="P34" i="74"/>
  <c r="P61" i="74"/>
  <c r="Q61" i="74"/>
  <c r="Q63" i="74"/>
  <c r="P63" i="74"/>
  <c r="Q39" i="74"/>
  <c r="P39" i="74"/>
  <c r="Q5" i="74"/>
  <c r="P5" i="74"/>
  <c r="Q52" i="74"/>
  <c r="P52" i="74"/>
  <c r="N17" i="72"/>
  <c r="AF17" i="72"/>
  <c r="AE17" i="72"/>
  <c r="N24" i="72"/>
  <c r="AE24" i="72"/>
  <c r="AF24" i="72"/>
  <c r="M28" i="72"/>
  <c r="Q35" i="72"/>
  <c r="P35" i="72"/>
  <c r="N36" i="72"/>
  <c r="AF36" i="72"/>
  <c r="AG29" i="72" s="1"/>
  <c r="AE36" i="72"/>
  <c r="N38" i="72"/>
  <c r="AF38" i="72"/>
  <c r="AE38" i="72"/>
  <c r="N22" i="72"/>
  <c r="AE22" i="72"/>
  <c r="AF22" i="72"/>
  <c r="I6" i="71"/>
  <c r="N8" i="72"/>
  <c r="AF8" i="72"/>
  <c r="AE8" i="72"/>
  <c r="AF5" i="72"/>
  <c r="N5" i="72"/>
  <c r="AE5" i="72"/>
  <c r="M9" i="72"/>
  <c r="N26" i="72"/>
  <c r="AF26" i="72"/>
  <c r="AE26" i="72"/>
  <c r="N59" i="72"/>
  <c r="AF59" i="72"/>
  <c r="AE59" i="72"/>
  <c r="N52" i="72"/>
  <c r="AE52" i="72"/>
  <c r="AF52" i="72"/>
  <c r="G6" i="71"/>
  <c r="F6" i="71"/>
  <c r="E6" i="71"/>
  <c r="N15" i="72"/>
  <c r="AE15" i="72"/>
  <c r="AF15" i="72"/>
  <c r="N45" i="72"/>
  <c r="M49" i="72"/>
  <c r="AF45" i="72"/>
  <c r="AE45" i="72"/>
  <c r="N66" i="72"/>
  <c r="AF66" i="72"/>
  <c r="AE66" i="72"/>
  <c r="N33" i="72"/>
  <c r="AE33" i="72"/>
  <c r="AF33" i="72"/>
  <c r="F2" i="72"/>
  <c r="I3" i="71"/>
  <c r="Q50" i="72"/>
  <c r="P50" i="72"/>
  <c r="Q13" i="72"/>
  <c r="P13" i="72"/>
  <c r="N10" i="72"/>
  <c r="AF10" i="72"/>
  <c r="M12" i="72"/>
  <c r="AE10" i="72"/>
  <c r="N43" i="72"/>
  <c r="AF43" i="72"/>
  <c r="AE43" i="72"/>
  <c r="P41" i="72"/>
  <c r="Q41" i="72"/>
  <c r="N61" i="72"/>
  <c r="AE61" i="72"/>
  <c r="AF61" i="72"/>
  <c r="M63" i="72"/>
  <c r="N54" i="72"/>
  <c r="AF54" i="72"/>
  <c r="AE54" i="72"/>
  <c r="N31" i="72"/>
  <c r="AE31" i="72"/>
  <c r="AF31" i="72"/>
  <c r="N68" i="72"/>
  <c r="AF68" i="72"/>
  <c r="AE68" i="72"/>
  <c r="N65" i="72"/>
  <c r="N37" i="72"/>
  <c r="N42" i="72"/>
  <c r="M44" i="72"/>
  <c r="P14" i="72"/>
  <c r="N16" i="72"/>
  <c r="AF19" i="72"/>
  <c r="P23" i="72"/>
  <c r="N25" i="72"/>
  <c r="P30" i="72"/>
  <c r="N32" i="72"/>
  <c r="AF40" i="72"/>
  <c r="AF47" i="72"/>
  <c r="P51" i="72"/>
  <c r="N53" i="72"/>
  <c r="AF56" i="72"/>
  <c r="P60" i="72"/>
  <c r="N62" i="72"/>
  <c r="P67" i="72"/>
  <c r="AF70" i="72"/>
  <c r="AE21" i="72"/>
  <c r="AE35" i="72"/>
  <c r="AE58" i="72"/>
  <c r="N40" i="72"/>
  <c r="N47" i="72"/>
  <c r="N56" i="72"/>
  <c r="N58" i="72"/>
  <c r="M20" i="72"/>
  <c r="AF21" i="72"/>
  <c r="AF35" i="72"/>
  <c r="M57" i="72"/>
  <c r="AF58" i="72"/>
  <c r="M71" i="72"/>
  <c r="N19" i="72"/>
  <c r="N70" i="72"/>
  <c r="N7" i="72"/>
  <c r="N21" i="72"/>
  <c r="AE65" i="72"/>
  <c r="N6" i="72"/>
  <c r="AF7" i="72"/>
  <c r="N11" i="72"/>
  <c r="AE14" i="72"/>
  <c r="P18" i="72"/>
  <c r="AE23" i="72"/>
  <c r="P27" i="72"/>
  <c r="N29" i="72"/>
  <c r="AE30" i="72"/>
  <c r="N34" i="72"/>
  <c r="P39" i="72"/>
  <c r="AF42" i="72"/>
  <c r="P46" i="72"/>
  <c r="N48" i="72"/>
  <c r="AE51" i="72"/>
  <c r="P55" i="72"/>
  <c r="AE60" i="72"/>
  <c r="P64" i="72"/>
  <c r="AE67" i="72"/>
  <c r="P69" i="72"/>
  <c r="AF16" i="72"/>
  <c r="AF25" i="72"/>
  <c r="AF32" i="72"/>
  <c r="AF53" i="72"/>
  <c r="AF62" i="72"/>
  <c r="AE18" i="72"/>
  <c r="AE27" i="72"/>
  <c r="AE39" i="72"/>
  <c r="AE46" i="72"/>
  <c r="AE55" i="72"/>
  <c r="AE69" i="72"/>
  <c r="AE37" i="72"/>
  <c r="Y2" i="72"/>
  <c r="K6" i="71" s="1"/>
  <c r="AE6" i="72"/>
  <c r="AE11" i="72"/>
  <c r="AE34" i="72"/>
  <c r="AE48" i="72"/>
  <c r="AE64" i="72"/>
  <c r="AD76" i="70"/>
  <c r="Z76" i="70"/>
  <c r="Y76" i="70"/>
  <c r="O76" i="70"/>
  <c r="K76" i="70"/>
  <c r="V75" i="70"/>
  <c r="U75" i="70"/>
  <c r="O75" i="70"/>
  <c r="M75" i="70"/>
  <c r="AF75" i="70" s="1"/>
  <c r="K75" i="70"/>
  <c r="G75" i="70"/>
  <c r="AF74" i="70"/>
  <c r="AE74" i="70"/>
  <c r="V74" i="70"/>
  <c r="U74" i="70"/>
  <c r="O74" i="70"/>
  <c r="N74" i="70"/>
  <c r="Q74" i="70" s="1"/>
  <c r="M74" i="70"/>
  <c r="K74" i="70"/>
  <c r="G74" i="70"/>
  <c r="AF73" i="70"/>
  <c r="AE73" i="70"/>
  <c r="V73" i="70"/>
  <c r="U73" i="70"/>
  <c r="Q73" i="70"/>
  <c r="P73" i="70"/>
  <c r="O73" i="70"/>
  <c r="N73" i="70"/>
  <c r="M73" i="70"/>
  <c r="K73" i="70"/>
  <c r="G73" i="70"/>
  <c r="AF72" i="70"/>
  <c r="AE72" i="70"/>
  <c r="X72" i="70"/>
  <c r="W72" i="70"/>
  <c r="V72" i="70"/>
  <c r="U72" i="70"/>
  <c r="O72" i="70"/>
  <c r="N72" i="70"/>
  <c r="P72" i="70" s="1"/>
  <c r="M72" i="70"/>
  <c r="K72" i="70"/>
  <c r="G72" i="70"/>
  <c r="AF71" i="70"/>
  <c r="AE71" i="70"/>
  <c r="V71" i="70"/>
  <c r="U71" i="70"/>
  <c r="O71" i="70"/>
  <c r="M71" i="70"/>
  <c r="N71" i="70" s="1"/>
  <c r="K71" i="70"/>
  <c r="G71" i="70"/>
  <c r="AF70" i="70"/>
  <c r="AE70" i="70"/>
  <c r="V70" i="70"/>
  <c r="U70" i="70"/>
  <c r="O70" i="70"/>
  <c r="N70" i="70"/>
  <c r="P70" i="70" s="1"/>
  <c r="M70" i="70"/>
  <c r="K70" i="70"/>
  <c r="G70" i="70"/>
  <c r="AF69" i="70"/>
  <c r="AE69" i="70"/>
  <c r="V69" i="70"/>
  <c r="U69" i="70"/>
  <c r="O69" i="70"/>
  <c r="N69" i="70"/>
  <c r="Q69" i="70" s="1"/>
  <c r="M69" i="70"/>
  <c r="K69" i="70"/>
  <c r="G69" i="70"/>
  <c r="AF68" i="70"/>
  <c r="AE68" i="70"/>
  <c r="X68" i="70"/>
  <c r="W68" i="70"/>
  <c r="V68" i="70"/>
  <c r="Q68" i="70"/>
  <c r="P68" i="70"/>
  <c r="O68" i="70"/>
  <c r="N68" i="70"/>
  <c r="M68" i="70"/>
  <c r="K68" i="70"/>
  <c r="G68" i="70"/>
  <c r="AD67" i="70"/>
  <c r="Z67" i="70"/>
  <c r="Y67" i="70"/>
  <c r="O67" i="70"/>
  <c r="M67" i="70"/>
  <c r="N67" i="70" s="1"/>
  <c r="K67" i="70"/>
  <c r="AF66" i="70"/>
  <c r="AE66" i="70"/>
  <c r="V66" i="70"/>
  <c r="U66" i="70"/>
  <c r="O66" i="70"/>
  <c r="M66" i="70"/>
  <c r="N66" i="70" s="1"/>
  <c r="K66" i="70"/>
  <c r="G66" i="70"/>
  <c r="AF65" i="70"/>
  <c r="AE65" i="70"/>
  <c r="V65" i="70"/>
  <c r="U65" i="70"/>
  <c r="O65" i="70"/>
  <c r="N65" i="70"/>
  <c r="Q65" i="70" s="1"/>
  <c r="M65" i="70"/>
  <c r="K65" i="70"/>
  <c r="G65" i="70"/>
  <c r="AF64" i="70"/>
  <c r="AE64" i="70"/>
  <c r="V64" i="70"/>
  <c r="U64" i="70"/>
  <c r="O64" i="70"/>
  <c r="M64" i="70"/>
  <c r="N64" i="70" s="1"/>
  <c r="K64" i="70"/>
  <c r="G64" i="70"/>
  <c r="AF63" i="70"/>
  <c r="AE63" i="70"/>
  <c r="V63" i="70"/>
  <c r="U63" i="70"/>
  <c r="O63" i="70"/>
  <c r="N63" i="70"/>
  <c r="Q63" i="70" s="1"/>
  <c r="M63" i="70"/>
  <c r="K63" i="70"/>
  <c r="G63" i="70"/>
  <c r="AF62" i="70"/>
  <c r="AE62" i="70"/>
  <c r="V62" i="70"/>
  <c r="O62" i="70"/>
  <c r="N62" i="70"/>
  <c r="Q62" i="70" s="1"/>
  <c r="M62" i="70"/>
  <c r="K62" i="70"/>
  <c r="G62" i="70"/>
  <c r="AD61" i="70"/>
  <c r="Z61" i="70"/>
  <c r="Y61" i="70"/>
  <c r="O61" i="70"/>
  <c r="K61" i="70"/>
  <c r="AF60" i="70"/>
  <c r="AE60" i="70"/>
  <c r="V60" i="70"/>
  <c r="U60" i="70"/>
  <c r="O60" i="70"/>
  <c r="N60" i="70"/>
  <c r="Q60" i="70" s="1"/>
  <c r="M60" i="70"/>
  <c r="K60" i="70"/>
  <c r="G60" i="70"/>
  <c r="AF59" i="70"/>
  <c r="AE59" i="70"/>
  <c r="X59" i="70"/>
  <c r="W59" i="70"/>
  <c r="V59" i="70"/>
  <c r="U59" i="70"/>
  <c r="O59" i="70"/>
  <c r="M59" i="70"/>
  <c r="N59" i="70" s="1"/>
  <c r="K59" i="70"/>
  <c r="G59" i="70"/>
  <c r="AF58" i="70"/>
  <c r="AE58" i="70"/>
  <c r="V58" i="70"/>
  <c r="U58" i="70"/>
  <c r="O58" i="70"/>
  <c r="N58" i="70"/>
  <c r="P58" i="70" s="1"/>
  <c r="M58" i="70"/>
  <c r="K58" i="70"/>
  <c r="G58" i="70"/>
  <c r="AF57" i="70"/>
  <c r="AE57" i="70"/>
  <c r="V57" i="70"/>
  <c r="U57" i="70"/>
  <c r="O57" i="70"/>
  <c r="M57" i="70"/>
  <c r="N57" i="70" s="1"/>
  <c r="K57" i="70"/>
  <c r="G57" i="70"/>
  <c r="AF56" i="70"/>
  <c r="AE56" i="70"/>
  <c r="V56" i="70"/>
  <c r="U56" i="70"/>
  <c r="O56" i="70"/>
  <c r="N56" i="70"/>
  <c r="Q56" i="70" s="1"/>
  <c r="M56" i="70"/>
  <c r="K56" i="70"/>
  <c r="G56" i="70"/>
  <c r="AF55" i="70"/>
  <c r="AE55" i="70"/>
  <c r="V55" i="70"/>
  <c r="U55" i="70"/>
  <c r="O55" i="70"/>
  <c r="N55" i="70"/>
  <c r="Q55" i="70" s="1"/>
  <c r="M55" i="70"/>
  <c r="K55" i="70"/>
  <c r="G55" i="70"/>
  <c r="V54" i="70"/>
  <c r="U54" i="70"/>
  <c r="O54" i="70"/>
  <c r="M54" i="70"/>
  <c r="M61" i="70" s="1"/>
  <c r="K54" i="70"/>
  <c r="G54" i="70"/>
  <c r="AF53" i="70"/>
  <c r="AE53" i="70"/>
  <c r="V53" i="70"/>
  <c r="O53" i="70"/>
  <c r="N53" i="70"/>
  <c r="Q53" i="70" s="1"/>
  <c r="M53" i="70"/>
  <c r="K53" i="70"/>
  <c r="G53" i="70"/>
  <c r="AD52" i="70"/>
  <c r="Z52" i="70"/>
  <c r="Y52" i="70"/>
  <c r="O52" i="70"/>
  <c r="K52" i="70"/>
  <c r="AF51" i="70"/>
  <c r="AE51" i="70"/>
  <c r="V51" i="70"/>
  <c r="U51" i="70"/>
  <c r="O51" i="70"/>
  <c r="N51" i="70"/>
  <c r="Q51" i="70" s="1"/>
  <c r="M51" i="70"/>
  <c r="K51" i="70"/>
  <c r="G51" i="70"/>
  <c r="AF50" i="70"/>
  <c r="AE50" i="70"/>
  <c r="V50" i="70"/>
  <c r="U50" i="70"/>
  <c r="Q50" i="70"/>
  <c r="P50" i="70"/>
  <c r="O50" i="70"/>
  <c r="N50" i="70"/>
  <c r="M50" i="70"/>
  <c r="M52" i="70" s="1"/>
  <c r="K50" i="70"/>
  <c r="G50" i="70"/>
  <c r="AF49" i="70"/>
  <c r="AE49" i="70"/>
  <c r="V49" i="70"/>
  <c r="U49" i="70"/>
  <c r="O49" i="70"/>
  <c r="N49" i="70"/>
  <c r="Q49" i="70" s="1"/>
  <c r="M49" i="70"/>
  <c r="K49" i="70"/>
  <c r="G49" i="70"/>
  <c r="AF48" i="70"/>
  <c r="AE48" i="70"/>
  <c r="V48" i="70"/>
  <c r="Q48" i="70"/>
  <c r="P48" i="70"/>
  <c r="O48" i="70"/>
  <c r="N48" i="70"/>
  <c r="M48" i="70"/>
  <c r="K48" i="70"/>
  <c r="G48" i="70"/>
  <c r="AD47" i="70"/>
  <c r="Z47" i="70"/>
  <c r="Y47" i="70"/>
  <c r="O47" i="70"/>
  <c r="K47" i="70"/>
  <c r="AF46" i="70"/>
  <c r="AE46" i="70"/>
  <c r="V46" i="70"/>
  <c r="U46" i="70"/>
  <c r="O46" i="70"/>
  <c r="N46" i="70"/>
  <c r="Q46" i="70" s="1"/>
  <c r="M46" i="70"/>
  <c r="K46" i="70"/>
  <c r="G46" i="70"/>
  <c r="V45" i="70"/>
  <c r="U45" i="70"/>
  <c r="O45" i="70"/>
  <c r="M45" i="70"/>
  <c r="AF45" i="70" s="1"/>
  <c r="K45" i="70"/>
  <c r="G45" i="70"/>
  <c r="AF44" i="70"/>
  <c r="AE44" i="70"/>
  <c r="X44" i="70"/>
  <c r="W44" i="70"/>
  <c r="V44" i="70"/>
  <c r="U44" i="70"/>
  <c r="O44" i="70"/>
  <c r="N44" i="70"/>
  <c r="Q44" i="70" s="1"/>
  <c r="M44" i="70"/>
  <c r="K44" i="70"/>
  <c r="G44" i="70"/>
  <c r="AF43" i="70"/>
  <c r="AE43" i="70"/>
  <c r="V43" i="70"/>
  <c r="U43" i="70"/>
  <c r="Q43" i="70"/>
  <c r="P43" i="70"/>
  <c r="O43" i="70"/>
  <c r="N43" i="70"/>
  <c r="M43" i="70"/>
  <c r="K43" i="70"/>
  <c r="G43" i="70"/>
  <c r="AF42" i="70"/>
  <c r="AE42" i="70"/>
  <c r="V42" i="70"/>
  <c r="U42" i="70"/>
  <c r="O42" i="70"/>
  <c r="N42" i="70"/>
  <c r="Q42" i="70" s="1"/>
  <c r="M42" i="70"/>
  <c r="K42" i="70"/>
  <c r="G42" i="70"/>
  <c r="AF41" i="70"/>
  <c r="AE41" i="70"/>
  <c r="V41" i="70"/>
  <c r="U41" i="70"/>
  <c r="O41" i="70"/>
  <c r="M41" i="70"/>
  <c r="N41" i="70" s="1"/>
  <c r="K41" i="70"/>
  <c r="G41" i="70"/>
  <c r="X40" i="70"/>
  <c r="W40" i="70"/>
  <c r="V40" i="70"/>
  <c r="O40" i="70"/>
  <c r="M40" i="70"/>
  <c r="AE40" i="70" s="1"/>
  <c r="K40" i="70"/>
  <c r="G40" i="70"/>
  <c r="AD39" i="70"/>
  <c r="Z39" i="70"/>
  <c r="Y39" i="70"/>
  <c r="O39" i="70"/>
  <c r="K39" i="70"/>
  <c r="AF38" i="70"/>
  <c r="AE38" i="70"/>
  <c r="V38" i="70"/>
  <c r="U38" i="70"/>
  <c r="Q38" i="70"/>
  <c r="P38" i="70"/>
  <c r="O38" i="70"/>
  <c r="N38" i="70"/>
  <c r="M38" i="70"/>
  <c r="K38" i="70"/>
  <c r="G38" i="70"/>
  <c r="AF37" i="70"/>
  <c r="AE37" i="70"/>
  <c r="V37" i="70"/>
  <c r="U37" i="70"/>
  <c r="O37" i="70"/>
  <c r="N37" i="70"/>
  <c r="Q37" i="70" s="1"/>
  <c r="M37" i="70"/>
  <c r="K37" i="70"/>
  <c r="G37" i="70"/>
  <c r="AF36" i="70"/>
  <c r="AE36" i="70"/>
  <c r="V36" i="70"/>
  <c r="U36" i="70"/>
  <c r="O36" i="70"/>
  <c r="M36" i="70"/>
  <c r="N36" i="70" s="1"/>
  <c r="K36" i="70"/>
  <c r="G36" i="70"/>
  <c r="AF35" i="70"/>
  <c r="AE35" i="70"/>
  <c r="X35" i="70"/>
  <c r="W35" i="70"/>
  <c r="V35" i="70"/>
  <c r="U35" i="70"/>
  <c r="O35" i="70"/>
  <c r="N35" i="70"/>
  <c r="Q35" i="70" s="1"/>
  <c r="M35" i="70"/>
  <c r="K35" i="70"/>
  <c r="G35" i="70"/>
  <c r="AF34" i="70"/>
  <c r="AE34" i="70"/>
  <c r="V34" i="70"/>
  <c r="U34" i="70"/>
  <c r="O34" i="70"/>
  <c r="N34" i="70"/>
  <c r="Q34" i="70" s="1"/>
  <c r="M34" i="70"/>
  <c r="K34" i="70"/>
  <c r="G34" i="70"/>
  <c r="V33" i="70"/>
  <c r="U33" i="70"/>
  <c r="O33" i="70"/>
  <c r="M33" i="70"/>
  <c r="M39" i="70" s="1"/>
  <c r="K33" i="70"/>
  <c r="G33" i="70"/>
  <c r="AF32" i="70"/>
  <c r="AE32" i="70"/>
  <c r="V32" i="70"/>
  <c r="U32" i="70"/>
  <c r="O32" i="70"/>
  <c r="N32" i="70"/>
  <c r="Q32" i="70" s="1"/>
  <c r="M32" i="70"/>
  <c r="K32" i="70"/>
  <c r="G32" i="70"/>
  <c r="AF31" i="70"/>
  <c r="AE31" i="70"/>
  <c r="X31" i="70"/>
  <c r="W31" i="70"/>
  <c r="V31" i="70"/>
  <c r="O31" i="70"/>
  <c r="M31" i="70"/>
  <c r="N31" i="70" s="1"/>
  <c r="K31" i="70"/>
  <c r="G31" i="70"/>
  <c r="AD30" i="70"/>
  <c r="Z30" i="70"/>
  <c r="Y30" i="70"/>
  <c r="O30" i="70"/>
  <c r="K30" i="70"/>
  <c r="AF29" i="70"/>
  <c r="AE29" i="70"/>
  <c r="V29" i="70"/>
  <c r="U29" i="70"/>
  <c r="O29" i="70"/>
  <c r="M29" i="70"/>
  <c r="N29" i="70" s="1"/>
  <c r="K29" i="70"/>
  <c r="G29" i="70"/>
  <c r="X28" i="70"/>
  <c r="W28" i="70"/>
  <c r="V28" i="70"/>
  <c r="U28" i="70"/>
  <c r="O28" i="70"/>
  <c r="M28" i="70"/>
  <c r="AF28" i="70" s="1"/>
  <c r="K28" i="70"/>
  <c r="G28" i="70"/>
  <c r="AF27" i="70"/>
  <c r="AE27" i="70"/>
  <c r="V27" i="70"/>
  <c r="U27" i="70"/>
  <c r="O27" i="70"/>
  <c r="N27" i="70"/>
  <c r="P27" i="70" s="1"/>
  <c r="M27" i="70"/>
  <c r="K27" i="70"/>
  <c r="G27" i="70"/>
  <c r="AF26" i="70"/>
  <c r="AE26" i="70"/>
  <c r="V26" i="70"/>
  <c r="U26" i="70"/>
  <c r="O26" i="70"/>
  <c r="N26" i="70"/>
  <c r="Q26" i="70" s="1"/>
  <c r="M26" i="70"/>
  <c r="K26" i="70"/>
  <c r="G26" i="70"/>
  <c r="AF25" i="70"/>
  <c r="AE25" i="70"/>
  <c r="V25" i="70"/>
  <c r="U25" i="70"/>
  <c r="O25" i="70"/>
  <c r="N25" i="70"/>
  <c r="P25" i="70" s="1"/>
  <c r="M25" i="70"/>
  <c r="K25" i="70"/>
  <c r="G25" i="70"/>
  <c r="AF24" i="70"/>
  <c r="AE24" i="70"/>
  <c r="V24" i="70"/>
  <c r="U24" i="70"/>
  <c r="O24" i="70"/>
  <c r="M24" i="70"/>
  <c r="N24" i="70" s="1"/>
  <c r="K24" i="70"/>
  <c r="G24" i="70"/>
  <c r="AF23" i="70"/>
  <c r="AE23" i="70"/>
  <c r="V23" i="70"/>
  <c r="U23" i="70"/>
  <c r="O23" i="70"/>
  <c r="N23" i="70"/>
  <c r="P23" i="70" s="1"/>
  <c r="M23" i="70"/>
  <c r="K23" i="70"/>
  <c r="G23" i="70"/>
  <c r="AF22" i="70"/>
  <c r="AE22" i="70"/>
  <c r="V22" i="70"/>
  <c r="O22" i="70"/>
  <c r="M22" i="70"/>
  <c r="N22" i="70" s="1"/>
  <c r="K22" i="70"/>
  <c r="G22" i="70"/>
  <c r="AD21" i="70"/>
  <c r="Z21" i="70"/>
  <c r="Y21" i="70"/>
  <c r="O21" i="70"/>
  <c r="M21" i="70"/>
  <c r="N21" i="70" s="1"/>
  <c r="K21" i="70"/>
  <c r="AF20" i="70"/>
  <c r="AE20" i="70"/>
  <c r="V20" i="70"/>
  <c r="U20" i="70"/>
  <c r="O20" i="70"/>
  <c r="N20" i="70"/>
  <c r="Q20" i="70" s="1"/>
  <c r="M20" i="70"/>
  <c r="K20" i="70"/>
  <c r="G20" i="70"/>
  <c r="AE19" i="70"/>
  <c r="X19" i="70"/>
  <c r="W19" i="70"/>
  <c r="V19" i="70"/>
  <c r="U19" i="70"/>
  <c r="O19" i="70"/>
  <c r="N19" i="70"/>
  <c r="Q19" i="70" s="1"/>
  <c r="M19" i="70"/>
  <c r="AF19" i="70" s="1"/>
  <c r="K19" i="70"/>
  <c r="G19" i="70"/>
  <c r="AF18" i="70"/>
  <c r="AE18" i="70"/>
  <c r="V18" i="70"/>
  <c r="U18" i="70"/>
  <c r="O18" i="70"/>
  <c r="N18" i="70"/>
  <c r="P18" i="70" s="1"/>
  <c r="M18" i="70"/>
  <c r="K18" i="70"/>
  <c r="G18" i="70"/>
  <c r="AF17" i="70"/>
  <c r="AE17" i="70"/>
  <c r="V17" i="70"/>
  <c r="U17" i="70"/>
  <c r="O17" i="70"/>
  <c r="M17" i="70"/>
  <c r="N17" i="70" s="1"/>
  <c r="K17" i="70"/>
  <c r="G17" i="70"/>
  <c r="AF16" i="70"/>
  <c r="AE16" i="70"/>
  <c r="V16" i="70"/>
  <c r="U16" i="70"/>
  <c r="O16" i="70"/>
  <c r="N16" i="70"/>
  <c r="P16" i="70" s="1"/>
  <c r="M16" i="70"/>
  <c r="K16" i="70"/>
  <c r="G16" i="70"/>
  <c r="AF15" i="70"/>
  <c r="AE15" i="70"/>
  <c r="V15" i="70"/>
  <c r="U15" i="70"/>
  <c r="O15" i="70"/>
  <c r="M15" i="70"/>
  <c r="N15" i="70" s="1"/>
  <c r="K15" i="70"/>
  <c r="G15" i="70"/>
  <c r="AF14" i="70"/>
  <c r="AE14" i="70"/>
  <c r="V14" i="70"/>
  <c r="U14" i="70"/>
  <c r="O14" i="70"/>
  <c r="N14" i="70"/>
  <c r="Q14" i="70" s="1"/>
  <c r="M14" i="70"/>
  <c r="K14" i="70"/>
  <c r="G14" i="70"/>
  <c r="AF13" i="70"/>
  <c r="AE13" i="70"/>
  <c r="V13" i="70"/>
  <c r="O13" i="70"/>
  <c r="N13" i="70"/>
  <c r="Q13" i="70" s="1"/>
  <c r="M13" i="70"/>
  <c r="K13" i="70"/>
  <c r="G13" i="70"/>
  <c r="AD12" i="70"/>
  <c r="Z12" i="70"/>
  <c r="Y12" i="70"/>
  <c r="O12" i="70"/>
  <c r="M12" i="70"/>
  <c r="AF12" i="70" s="1"/>
  <c r="AG10" i="70" s="1"/>
  <c r="K12" i="70"/>
  <c r="AF11" i="70"/>
  <c r="AE11" i="70"/>
  <c r="V11" i="70"/>
  <c r="U11" i="70"/>
  <c r="O11" i="70"/>
  <c r="N11" i="70"/>
  <c r="Q11" i="70" s="1"/>
  <c r="M11" i="70"/>
  <c r="K11" i="70"/>
  <c r="G11" i="70"/>
  <c r="AF10" i="70"/>
  <c r="AE10" i="70"/>
  <c r="X10" i="70"/>
  <c r="W10" i="70"/>
  <c r="V10" i="70"/>
  <c r="O10" i="70"/>
  <c r="M10" i="70"/>
  <c r="N10" i="70" s="1"/>
  <c r="K10" i="70"/>
  <c r="G10" i="70"/>
  <c r="AD9" i="70"/>
  <c r="Z9" i="70"/>
  <c r="Y9" i="70"/>
  <c r="O9" i="70"/>
  <c r="K9" i="70"/>
  <c r="AF8" i="70"/>
  <c r="AE8" i="70"/>
  <c r="V8" i="70"/>
  <c r="U8" i="70"/>
  <c r="O8" i="70"/>
  <c r="M8" i="70"/>
  <c r="N8" i="70" s="1"/>
  <c r="K8" i="70"/>
  <c r="G8" i="70"/>
  <c r="X7" i="70"/>
  <c r="W7" i="70"/>
  <c r="V7" i="70"/>
  <c r="U7" i="70"/>
  <c r="O7" i="70"/>
  <c r="M7" i="70"/>
  <c r="N7" i="70" s="1"/>
  <c r="K7" i="70"/>
  <c r="G7" i="70"/>
  <c r="AF6" i="70"/>
  <c r="AE6" i="70"/>
  <c r="V6" i="70"/>
  <c r="U6" i="70"/>
  <c r="O6" i="70"/>
  <c r="N6" i="70"/>
  <c r="Q6" i="70" s="1"/>
  <c r="M6" i="70"/>
  <c r="K6" i="70"/>
  <c r="G6" i="70"/>
  <c r="AF5" i="70"/>
  <c r="AE5" i="70"/>
  <c r="V5" i="70"/>
  <c r="Q5" i="70"/>
  <c r="P5" i="70"/>
  <c r="O5" i="70"/>
  <c r="N5" i="70"/>
  <c r="M5" i="70"/>
  <c r="K5" i="70"/>
  <c r="G5" i="70"/>
  <c r="AD2" i="70"/>
  <c r="Z2" i="70"/>
  <c r="L6" i="69" s="1"/>
  <c r="Y2" i="70"/>
  <c r="K6" i="69" s="1"/>
  <c r="H2" i="70"/>
  <c r="H1" i="70"/>
  <c r="F1" i="70"/>
  <c r="F2" i="70" s="1"/>
  <c r="D1" i="70"/>
  <c r="M22" i="69"/>
  <c r="L22" i="69"/>
  <c r="K22" i="69"/>
  <c r="J22" i="69"/>
  <c r="I22" i="69"/>
  <c r="H22" i="69"/>
  <c r="G22" i="69"/>
  <c r="F22" i="69"/>
  <c r="E22" i="69"/>
  <c r="D22" i="69"/>
  <c r="M21" i="69"/>
  <c r="L21" i="69"/>
  <c r="K21" i="69"/>
  <c r="J21" i="69"/>
  <c r="I21" i="69"/>
  <c r="H21" i="69"/>
  <c r="G21" i="69"/>
  <c r="F21" i="69"/>
  <c r="E21" i="69"/>
  <c r="D21" i="69"/>
  <c r="M20" i="69"/>
  <c r="L20" i="69"/>
  <c r="K20" i="69"/>
  <c r="J20" i="69"/>
  <c r="I20" i="69"/>
  <c r="H20" i="69"/>
  <c r="G20" i="69"/>
  <c r="F20" i="69"/>
  <c r="E20" i="69"/>
  <c r="D20" i="69"/>
  <c r="M19" i="69"/>
  <c r="L19" i="69"/>
  <c r="K19" i="69"/>
  <c r="J19" i="69"/>
  <c r="I19" i="69"/>
  <c r="H19" i="69"/>
  <c r="G19" i="69"/>
  <c r="F19" i="69"/>
  <c r="E19" i="69"/>
  <c r="D19" i="69"/>
  <c r="M18" i="69"/>
  <c r="L18" i="69"/>
  <c r="K18" i="69"/>
  <c r="J18" i="69"/>
  <c r="I18" i="69"/>
  <c r="H18" i="69"/>
  <c r="G18" i="69"/>
  <c r="F18" i="69"/>
  <c r="E18" i="69"/>
  <c r="D18" i="69"/>
  <c r="M17" i="69"/>
  <c r="L17" i="69"/>
  <c r="K17" i="69"/>
  <c r="J17" i="69"/>
  <c r="I17" i="69"/>
  <c r="H17" i="69"/>
  <c r="G17" i="69"/>
  <c r="F17" i="69"/>
  <c r="E17" i="69"/>
  <c r="D17" i="69"/>
  <c r="M16" i="69"/>
  <c r="L16" i="69"/>
  <c r="K16" i="69"/>
  <c r="J16" i="69"/>
  <c r="I16" i="69"/>
  <c r="H16" i="69"/>
  <c r="G16" i="69"/>
  <c r="F16" i="69"/>
  <c r="E16" i="69"/>
  <c r="D16" i="69"/>
  <c r="M13" i="69"/>
  <c r="L13" i="69"/>
  <c r="K13" i="69"/>
  <c r="I6" i="69" s="1"/>
  <c r="J13" i="69"/>
  <c r="I13" i="69"/>
  <c r="H13" i="69"/>
  <c r="G13" i="69"/>
  <c r="F13" i="69"/>
  <c r="E13" i="69"/>
  <c r="D13" i="69"/>
  <c r="F6" i="69" s="1"/>
  <c r="N6" i="69"/>
  <c r="M6" i="69"/>
  <c r="F3" i="69"/>
  <c r="C3" i="69"/>
  <c r="D15" i="75" l="1"/>
  <c r="G7" i="75"/>
  <c r="F7" i="75"/>
  <c r="E7" i="75"/>
  <c r="K15" i="75"/>
  <c r="I8" i="75" s="1"/>
  <c r="I7" i="75"/>
  <c r="Q64" i="74"/>
  <c r="R59" i="74" s="1"/>
  <c r="J14" i="73"/>
  <c r="J15" i="73" s="1"/>
  <c r="P64" i="74"/>
  <c r="Q38" i="74"/>
  <c r="R31" i="74" s="1"/>
  <c r="P38" i="74"/>
  <c r="K14" i="73"/>
  <c r="Q72" i="74"/>
  <c r="R65" i="74" s="1"/>
  <c r="P72" i="74"/>
  <c r="M14" i="73"/>
  <c r="M15" i="73" s="1"/>
  <c r="D2" i="74"/>
  <c r="Q9" i="74"/>
  <c r="R5" i="74" s="1"/>
  <c r="P9" i="74"/>
  <c r="D14" i="73"/>
  <c r="P21" i="74"/>
  <c r="F14" i="73"/>
  <c r="F15" i="73" s="1"/>
  <c r="Q21" i="74"/>
  <c r="R14" i="74" s="1"/>
  <c r="Q58" i="74"/>
  <c r="R52" i="74" s="1"/>
  <c r="P58" i="74"/>
  <c r="I14" i="73"/>
  <c r="I15" i="73" s="1"/>
  <c r="P30" i="74"/>
  <c r="G14" i="73"/>
  <c r="G15" i="73" s="1"/>
  <c r="Q30" i="74"/>
  <c r="R22" i="74" s="1"/>
  <c r="Q51" i="74"/>
  <c r="R47" i="74" s="1"/>
  <c r="P51" i="74"/>
  <c r="H14" i="73"/>
  <c r="H15" i="73" s="1"/>
  <c r="E14" i="73"/>
  <c r="E15" i="73" s="1"/>
  <c r="Q13" i="74"/>
  <c r="R10" i="74" s="1"/>
  <c r="P13" i="74"/>
  <c r="P46" i="74"/>
  <c r="L14" i="73"/>
  <c r="L15" i="73" s="1"/>
  <c r="Q46" i="74"/>
  <c r="R39" i="74" s="1"/>
  <c r="P6" i="72"/>
  <c r="Q6" i="72"/>
  <c r="P68" i="72"/>
  <c r="Q68" i="72"/>
  <c r="AF71" i="72"/>
  <c r="AG64" i="72" s="1"/>
  <c r="AE71" i="72"/>
  <c r="N71" i="72"/>
  <c r="Q65" i="72"/>
  <c r="P65" i="72"/>
  <c r="Q10" i="72"/>
  <c r="P10" i="72"/>
  <c r="Q62" i="72"/>
  <c r="P62" i="72"/>
  <c r="P48" i="72"/>
  <c r="Q48" i="72"/>
  <c r="Q54" i="72"/>
  <c r="P54" i="72"/>
  <c r="P11" i="72"/>
  <c r="Q11" i="72"/>
  <c r="AF57" i="72"/>
  <c r="AG50" i="72" s="1"/>
  <c r="AE57" i="72"/>
  <c r="N57" i="72"/>
  <c r="N63" i="72"/>
  <c r="AF63" i="72"/>
  <c r="AG58" i="72" s="1"/>
  <c r="AE63" i="72"/>
  <c r="Q59" i="72"/>
  <c r="P59" i="72"/>
  <c r="Q36" i="72"/>
  <c r="R29" i="72" s="1"/>
  <c r="P36" i="72"/>
  <c r="K14" i="71"/>
  <c r="Q7" i="72"/>
  <c r="P7" i="72"/>
  <c r="P70" i="72"/>
  <c r="Q70" i="72"/>
  <c r="P19" i="72"/>
  <c r="Q19" i="72"/>
  <c r="Q32" i="72"/>
  <c r="P32" i="72"/>
  <c r="P33" i="72"/>
  <c r="Q33" i="72"/>
  <c r="Q8" i="72"/>
  <c r="P8" i="72"/>
  <c r="Q53" i="72"/>
  <c r="P53" i="72"/>
  <c r="Q25" i="72"/>
  <c r="P25" i="72"/>
  <c r="P52" i="72"/>
  <c r="Q52" i="72"/>
  <c r="Q58" i="72"/>
  <c r="P58" i="72"/>
  <c r="AF9" i="72"/>
  <c r="AG5" i="72" s="1"/>
  <c r="AE9" i="72"/>
  <c r="N9" i="72"/>
  <c r="Q38" i="72"/>
  <c r="P38" i="72"/>
  <c r="P61" i="72"/>
  <c r="Q61" i="72"/>
  <c r="Q21" i="72"/>
  <c r="P21" i="72"/>
  <c r="P31" i="72"/>
  <c r="Q31" i="72"/>
  <c r="AE28" i="72"/>
  <c r="N28" i="72"/>
  <c r="AF28" i="72"/>
  <c r="AG21" i="72" s="1"/>
  <c r="Q66" i="72"/>
  <c r="P66" i="72"/>
  <c r="P29" i="72"/>
  <c r="Q29" i="72"/>
  <c r="P56" i="72"/>
  <c r="Q56" i="72"/>
  <c r="Q16" i="72"/>
  <c r="P16" i="72"/>
  <c r="P47" i="72"/>
  <c r="Q47" i="72"/>
  <c r="Q5" i="72"/>
  <c r="P5" i="72"/>
  <c r="P24" i="72"/>
  <c r="Q24" i="72"/>
  <c r="P15" i="72"/>
  <c r="Q15" i="72"/>
  <c r="Q22" i="72"/>
  <c r="P22" i="72"/>
  <c r="P34" i="72"/>
  <c r="Q34" i="72"/>
  <c r="AF20" i="72"/>
  <c r="AG13" i="72" s="1"/>
  <c r="AE20" i="72"/>
  <c r="N20" i="72"/>
  <c r="P26" i="72"/>
  <c r="Q26" i="72"/>
  <c r="P40" i="72"/>
  <c r="Q40" i="72"/>
  <c r="AF44" i="72"/>
  <c r="AG37" i="72" s="1"/>
  <c r="AE44" i="72"/>
  <c r="N44" i="72"/>
  <c r="N49" i="72"/>
  <c r="AF49" i="72"/>
  <c r="AG45" i="72" s="1"/>
  <c r="AE49" i="72"/>
  <c r="P42" i="72"/>
  <c r="Q42" i="72"/>
  <c r="Q43" i="72"/>
  <c r="P43" i="72"/>
  <c r="Q45" i="72"/>
  <c r="P45" i="72"/>
  <c r="N12" i="72"/>
  <c r="AF12" i="72"/>
  <c r="AG10" i="72" s="1"/>
  <c r="AE12" i="72"/>
  <c r="P37" i="72"/>
  <c r="Q37" i="72"/>
  <c r="Q17" i="72"/>
  <c r="P17" i="72"/>
  <c r="P17" i="70"/>
  <c r="Q17" i="70"/>
  <c r="P7" i="70"/>
  <c r="Q7" i="70"/>
  <c r="Q29" i="70"/>
  <c r="P29" i="70"/>
  <c r="P10" i="70"/>
  <c r="Q10" i="70"/>
  <c r="Q22" i="70"/>
  <c r="P22" i="70"/>
  <c r="P66" i="70"/>
  <c r="Q66" i="70"/>
  <c r="Q8" i="70"/>
  <c r="P8" i="70"/>
  <c r="AF61" i="70"/>
  <c r="AG53" i="70" s="1"/>
  <c r="AE61" i="70"/>
  <c r="N61" i="70"/>
  <c r="P59" i="70"/>
  <c r="Q59" i="70"/>
  <c r="Q64" i="70"/>
  <c r="P64" i="70"/>
  <c r="P31" i="70"/>
  <c r="Q31" i="70"/>
  <c r="J14" i="69"/>
  <c r="J15" i="69" s="1"/>
  <c r="P67" i="70"/>
  <c r="Q67" i="70"/>
  <c r="R62" i="70" s="1"/>
  <c r="N52" i="70"/>
  <c r="AF52" i="70"/>
  <c r="AG48" i="70" s="1"/>
  <c r="AE52" i="70"/>
  <c r="Q15" i="70"/>
  <c r="P15" i="70"/>
  <c r="N39" i="70"/>
  <c r="AF39" i="70"/>
  <c r="AG31" i="70" s="1"/>
  <c r="AE39" i="70"/>
  <c r="Q71" i="70"/>
  <c r="P71" i="70"/>
  <c r="Q57" i="70"/>
  <c r="P57" i="70"/>
  <c r="F14" i="69"/>
  <c r="F15" i="69" s="1"/>
  <c r="Q21" i="70"/>
  <c r="R13" i="70" s="1"/>
  <c r="P21" i="70"/>
  <c r="P24" i="70"/>
  <c r="Q24" i="70"/>
  <c r="P36" i="70"/>
  <c r="Q36" i="70"/>
  <c r="Q41" i="70"/>
  <c r="P41" i="70"/>
  <c r="N12" i="70"/>
  <c r="N40" i="70"/>
  <c r="Q72" i="70"/>
  <c r="Q18" i="70"/>
  <c r="Q25" i="70"/>
  <c r="P53" i="70"/>
  <c r="P60" i="70"/>
  <c r="P74" i="70"/>
  <c r="G6" i="69"/>
  <c r="P6" i="70"/>
  <c r="P11" i="70"/>
  <c r="P32" i="70"/>
  <c r="Q27" i="70"/>
  <c r="P46" i="70"/>
  <c r="P62" i="70"/>
  <c r="AE67" i="70"/>
  <c r="N45" i="70"/>
  <c r="M47" i="70"/>
  <c r="N75" i="70"/>
  <c r="P35" i="70"/>
  <c r="P56" i="70"/>
  <c r="P63" i="70"/>
  <c r="AE7" i="70"/>
  <c r="Q16" i="70"/>
  <c r="AE21" i="70"/>
  <c r="Q23" i="70"/>
  <c r="AE28" i="70"/>
  <c r="P37" i="70"/>
  <c r="AF40" i="70"/>
  <c r="P44" i="70"/>
  <c r="P51" i="70"/>
  <c r="M76" i="70"/>
  <c r="E6" i="69"/>
  <c r="P13" i="70"/>
  <c r="P20" i="70"/>
  <c r="P34" i="70"/>
  <c r="P55" i="70"/>
  <c r="AF67" i="70"/>
  <c r="AG62" i="70" s="1"/>
  <c r="P69" i="70"/>
  <c r="P19" i="70"/>
  <c r="N28" i="70"/>
  <c r="N33" i="70"/>
  <c r="N54" i="70"/>
  <c r="M9" i="70"/>
  <c r="M30" i="70"/>
  <c r="P14" i="70"/>
  <c r="AE45" i="70"/>
  <c r="Q70" i="70"/>
  <c r="AE75" i="70"/>
  <c r="AF33" i="70"/>
  <c r="Q58" i="70"/>
  <c r="I3" i="69"/>
  <c r="AF7" i="70"/>
  <c r="AF21" i="70"/>
  <c r="AG13" i="70" s="1"/>
  <c r="P26" i="70"/>
  <c r="AE12" i="70"/>
  <c r="AE33" i="70"/>
  <c r="P42" i="70"/>
  <c r="P49" i="70"/>
  <c r="AE54" i="70"/>
  <c r="P65" i="70"/>
  <c r="AF54" i="70"/>
  <c r="AD67" i="68"/>
  <c r="Z67" i="68"/>
  <c r="Y67" i="68"/>
  <c r="O67" i="68"/>
  <c r="K67" i="68"/>
  <c r="AF66" i="68"/>
  <c r="V66" i="68"/>
  <c r="U66" i="68"/>
  <c r="O66" i="68"/>
  <c r="N66" i="68"/>
  <c r="Q66" i="68" s="1"/>
  <c r="M66" i="68"/>
  <c r="AE66" i="68" s="1"/>
  <c r="K66" i="68"/>
  <c r="G66" i="68"/>
  <c r="V65" i="68"/>
  <c r="U65" i="68"/>
  <c r="O65" i="68"/>
  <c r="N65" i="68"/>
  <c r="M65" i="68"/>
  <c r="AF65" i="68" s="1"/>
  <c r="K65" i="68"/>
  <c r="G65" i="68"/>
  <c r="V64" i="68"/>
  <c r="M64" i="68" s="1"/>
  <c r="N64" i="68" s="1"/>
  <c r="Q64" i="68" s="1"/>
  <c r="U64" i="68"/>
  <c r="O64" i="68"/>
  <c r="K64" i="68"/>
  <c r="G64" i="68"/>
  <c r="V63" i="68"/>
  <c r="U63" i="68"/>
  <c r="O63" i="68"/>
  <c r="M63" i="68"/>
  <c r="K63" i="68"/>
  <c r="G63" i="68"/>
  <c r="AF62" i="68"/>
  <c r="AE62" i="68"/>
  <c r="X62" i="68"/>
  <c r="W62" i="68"/>
  <c r="V62" i="68"/>
  <c r="O62" i="68"/>
  <c r="N62" i="68"/>
  <c r="Q62" i="68" s="1"/>
  <c r="M62" i="68"/>
  <c r="K62" i="68"/>
  <c r="G62" i="68"/>
  <c r="AD61" i="68"/>
  <c r="Z61" i="68"/>
  <c r="Y61" i="68"/>
  <c r="O61" i="68"/>
  <c r="M61" i="68"/>
  <c r="AE61" i="68" s="1"/>
  <c r="K61" i="68"/>
  <c r="J13" i="67" s="1"/>
  <c r="V60" i="68"/>
  <c r="U60" i="68"/>
  <c r="O60" i="68"/>
  <c r="M60" i="68"/>
  <c r="AF60" i="68" s="1"/>
  <c r="K60" i="68"/>
  <c r="G60" i="68"/>
  <c r="V59" i="68"/>
  <c r="U59" i="68"/>
  <c r="O59" i="68"/>
  <c r="M59" i="68"/>
  <c r="AF59" i="68" s="1"/>
  <c r="K59" i="68"/>
  <c r="G59" i="68"/>
  <c r="V58" i="68"/>
  <c r="U58" i="68"/>
  <c r="O58" i="68"/>
  <c r="N58" i="68"/>
  <c r="Q58" i="68" s="1"/>
  <c r="M58" i="68"/>
  <c r="AF58" i="68" s="1"/>
  <c r="K58" i="68"/>
  <c r="G58" i="68"/>
  <c r="AF57" i="68"/>
  <c r="AE57" i="68"/>
  <c r="V57" i="68"/>
  <c r="M57" i="68" s="1"/>
  <c r="N57" i="68" s="1"/>
  <c r="Q57" i="68" s="1"/>
  <c r="U57" i="68"/>
  <c r="O57" i="68"/>
  <c r="K57" i="68"/>
  <c r="G57" i="68"/>
  <c r="V56" i="68"/>
  <c r="U56" i="68"/>
  <c r="O56" i="68"/>
  <c r="N56" i="68"/>
  <c r="M56" i="68"/>
  <c r="K56" i="68"/>
  <c r="G56" i="68"/>
  <c r="V55" i="68"/>
  <c r="M55" i="68" s="1"/>
  <c r="N55" i="68" s="1"/>
  <c r="O55" i="68"/>
  <c r="K55" i="68"/>
  <c r="G55" i="68"/>
  <c r="AD54" i="68"/>
  <c r="I21" i="67" s="1"/>
  <c r="Z54" i="68"/>
  <c r="I19" i="67" s="1"/>
  <c r="Y54" i="68"/>
  <c r="O54" i="68"/>
  <c r="M54" i="68"/>
  <c r="K54" i="68"/>
  <c r="AF53" i="68"/>
  <c r="AE53" i="68"/>
  <c r="V53" i="68"/>
  <c r="U53" i="68"/>
  <c r="O53" i="68"/>
  <c r="N53" i="68"/>
  <c r="Q53" i="68" s="1"/>
  <c r="M53" i="68"/>
  <c r="K53" i="68"/>
  <c r="G53" i="68"/>
  <c r="AF52" i="68"/>
  <c r="AE52" i="68"/>
  <c r="V52" i="68"/>
  <c r="U52" i="68"/>
  <c r="O52" i="68"/>
  <c r="N52" i="68"/>
  <c r="Q52" i="68" s="1"/>
  <c r="M52" i="68"/>
  <c r="K52" i="68"/>
  <c r="P52" i="68" s="1"/>
  <c r="G52" i="68"/>
  <c r="V51" i="68"/>
  <c r="U51" i="68"/>
  <c r="O51" i="68"/>
  <c r="M51" i="68"/>
  <c r="AF51" i="68" s="1"/>
  <c r="K51" i="68"/>
  <c r="G51" i="68"/>
  <c r="V50" i="68"/>
  <c r="U50" i="68"/>
  <c r="O50" i="68"/>
  <c r="M50" i="68"/>
  <c r="AE50" i="68" s="1"/>
  <c r="K50" i="68"/>
  <c r="G50" i="68"/>
  <c r="V49" i="68"/>
  <c r="U49" i="68"/>
  <c r="O49" i="68"/>
  <c r="N49" i="68"/>
  <c r="Q49" i="68" s="1"/>
  <c r="M49" i="68"/>
  <c r="AF49" i="68" s="1"/>
  <c r="K49" i="68"/>
  <c r="G49" i="68"/>
  <c r="V48" i="68"/>
  <c r="M48" i="68" s="1"/>
  <c r="N48" i="68" s="1"/>
  <c r="U48" i="68"/>
  <c r="Q48" i="68"/>
  <c r="P48" i="68"/>
  <c r="O48" i="68"/>
  <c r="K48" i="68"/>
  <c r="G48" i="68"/>
  <c r="V47" i="68"/>
  <c r="O47" i="68"/>
  <c r="N47" i="68"/>
  <c r="M47" i="68"/>
  <c r="K47" i="68"/>
  <c r="G47" i="68"/>
  <c r="AD46" i="68"/>
  <c r="H21" i="67" s="1"/>
  <c r="Z46" i="68"/>
  <c r="H19" i="67" s="1"/>
  <c r="Y46" i="68"/>
  <c r="O46" i="68"/>
  <c r="K46" i="68"/>
  <c r="V45" i="68"/>
  <c r="M45" i="68" s="1"/>
  <c r="U45" i="68"/>
  <c r="O45" i="68"/>
  <c r="K45" i="68"/>
  <c r="G45" i="68"/>
  <c r="AF44" i="68"/>
  <c r="AE44" i="68"/>
  <c r="V44" i="68"/>
  <c r="U44" i="68"/>
  <c r="O44" i="68"/>
  <c r="N44" i="68"/>
  <c r="Q44" i="68" s="1"/>
  <c r="M44" i="68"/>
  <c r="K44" i="68"/>
  <c r="G44" i="68"/>
  <c r="V43" i="68"/>
  <c r="Q43" i="68"/>
  <c r="P43" i="68"/>
  <c r="O43" i="68"/>
  <c r="N43" i="68"/>
  <c r="M43" i="68"/>
  <c r="K43" i="68"/>
  <c r="G43" i="68"/>
  <c r="AD42" i="68"/>
  <c r="Z42" i="68"/>
  <c r="Y42" i="68"/>
  <c r="O42" i="68"/>
  <c r="K42" i="68"/>
  <c r="AF41" i="68"/>
  <c r="AE41" i="68"/>
  <c r="V41" i="68"/>
  <c r="U41" i="68"/>
  <c r="O41" i="68"/>
  <c r="N41" i="68"/>
  <c r="Q41" i="68" s="1"/>
  <c r="M41" i="68"/>
  <c r="K41" i="68"/>
  <c r="G41" i="68"/>
  <c r="X40" i="68"/>
  <c r="W40" i="68"/>
  <c r="V40" i="68"/>
  <c r="U40" i="68"/>
  <c r="O40" i="68"/>
  <c r="M40" i="68"/>
  <c r="N40" i="68" s="1"/>
  <c r="K40" i="68"/>
  <c r="G40" i="68"/>
  <c r="V39" i="68"/>
  <c r="M39" i="68" s="1"/>
  <c r="N39" i="68" s="1"/>
  <c r="U39" i="68"/>
  <c r="O39" i="68"/>
  <c r="K39" i="68"/>
  <c r="G39" i="68"/>
  <c r="V38" i="68"/>
  <c r="U38" i="68"/>
  <c r="O38" i="68"/>
  <c r="M38" i="68"/>
  <c r="K38" i="68"/>
  <c r="G38" i="68"/>
  <c r="AF37" i="68"/>
  <c r="AE37" i="68"/>
  <c r="V37" i="68"/>
  <c r="U37" i="68"/>
  <c r="O37" i="68"/>
  <c r="N37" i="68"/>
  <c r="Q37" i="68" s="1"/>
  <c r="M37" i="68"/>
  <c r="K37" i="68"/>
  <c r="G37" i="68"/>
  <c r="AF36" i="68"/>
  <c r="AE36" i="68"/>
  <c r="X36" i="68"/>
  <c r="W36" i="68"/>
  <c r="V36" i="68"/>
  <c r="O36" i="68"/>
  <c r="N36" i="68"/>
  <c r="Q36" i="68" s="1"/>
  <c r="M36" i="68"/>
  <c r="K36" i="68"/>
  <c r="G36" i="68"/>
  <c r="AD35" i="68"/>
  <c r="Z35" i="68"/>
  <c r="Y35" i="68"/>
  <c r="O35" i="68"/>
  <c r="K35" i="68"/>
  <c r="V34" i="68"/>
  <c r="M34" i="68" s="1"/>
  <c r="N34" i="68" s="1"/>
  <c r="Q34" i="68" s="1"/>
  <c r="U34" i="68"/>
  <c r="O34" i="68"/>
  <c r="K34" i="68"/>
  <c r="G34" i="68"/>
  <c r="X33" i="68"/>
  <c r="W33" i="68"/>
  <c r="V33" i="68"/>
  <c r="U33" i="68"/>
  <c r="O33" i="68"/>
  <c r="M33" i="68"/>
  <c r="K33" i="68"/>
  <c r="G33" i="68"/>
  <c r="AF32" i="68"/>
  <c r="AE32" i="68"/>
  <c r="V32" i="68"/>
  <c r="U32" i="68"/>
  <c r="O32" i="68"/>
  <c r="N32" i="68"/>
  <c r="Q32" i="68" s="1"/>
  <c r="M32" i="68"/>
  <c r="K32" i="68"/>
  <c r="G32" i="68"/>
  <c r="AF31" i="68"/>
  <c r="AE31" i="68"/>
  <c r="V31" i="68"/>
  <c r="U31" i="68"/>
  <c r="O31" i="68"/>
  <c r="N31" i="68"/>
  <c r="Q31" i="68" s="1"/>
  <c r="M31" i="68"/>
  <c r="K31" i="68"/>
  <c r="G31" i="68"/>
  <c r="V30" i="68"/>
  <c r="U30" i="68"/>
  <c r="O30" i="68"/>
  <c r="M30" i="68"/>
  <c r="AF30" i="68" s="1"/>
  <c r="K30" i="68"/>
  <c r="G30" i="68"/>
  <c r="X29" i="68"/>
  <c r="W29" i="68"/>
  <c r="V29" i="68"/>
  <c r="M29" i="68" s="1"/>
  <c r="N29" i="68" s="1"/>
  <c r="Q29" i="68"/>
  <c r="P29" i="68"/>
  <c r="O29" i="68"/>
  <c r="K29" i="68"/>
  <c r="G29" i="68"/>
  <c r="AD28" i="68"/>
  <c r="G21" i="67" s="1"/>
  <c r="Z28" i="68"/>
  <c r="G19" i="67" s="1"/>
  <c r="Y28" i="68"/>
  <c r="O28" i="68"/>
  <c r="K28" i="68"/>
  <c r="G13" i="67" s="1"/>
  <c r="V27" i="68"/>
  <c r="M27" i="68" s="1"/>
  <c r="N27" i="68" s="1"/>
  <c r="U27" i="68"/>
  <c r="O27" i="68"/>
  <c r="K27" i="68"/>
  <c r="G27" i="68"/>
  <c r="V26" i="68"/>
  <c r="M26" i="68" s="1"/>
  <c r="U26" i="68"/>
  <c r="O26" i="68"/>
  <c r="K26" i="68"/>
  <c r="G26" i="68"/>
  <c r="AF25" i="68"/>
  <c r="AE25" i="68"/>
  <c r="V25" i="68"/>
  <c r="U25" i="68"/>
  <c r="O25" i="68"/>
  <c r="N25" i="68"/>
  <c r="Q25" i="68" s="1"/>
  <c r="M25" i="68"/>
  <c r="K25" i="68"/>
  <c r="G25" i="68"/>
  <c r="AF24" i="68"/>
  <c r="AE24" i="68"/>
  <c r="V24" i="68"/>
  <c r="U24" i="68"/>
  <c r="Q24" i="68"/>
  <c r="P24" i="68"/>
  <c r="O24" i="68"/>
  <c r="N24" i="68"/>
  <c r="M24" i="68"/>
  <c r="K24" i="68"/>
  <c r="G24" i="68"/>
  <c r="V23" i="68"/>
  <c r="U23" i="68"/>
  <c r="O23" i="68"/>
  <c r="M23" i="68"/>
  <c r="AF23" i="68" s="1"/>
  <c r="K23" i="68"/>
  <c r="G23" i="68"/>
  <c r="V22" i="68"/>
  <c r="U22" i="68"/>
  <c r="O22" i="68"/>
  <c r="M22" i="68"/>
  <c r="N22" i="68" s="1"/>
  <c r="K22" i="68"/>
  <c r="G22" i="68"/>
  <c r="V21" i="68"/>
  <c r="O21" i="68"/>
  <c r="M21" i="68"/>
  <c r="K21" i="68"/>
  <c r="G21" i="68"/>
  <c r="AD20" i="68"/>
  <c r="F21" i="67" s="1"/>
  <c r="Z20" i="68"/>
  <c r="Y20" i="68"/>
  <c r="O20" i="68"/>
  <c r="K20" i="68"/>
  <c r="V19" i="68"/>
  <c r="U19" i="68"/>
  <c r="O19" i="68"/>
  <c r="M19" i="68"/>
  <c r="N19" i="68" s="1"/>
  <c r="K19" i="68"/>
  <c r="G19" i="68"/>
  <c r="AF18" i="68"/>
  <c r="V18" i="68"/>
  <c r="M18" i="68" s="1"/>
  <c r="N18" i="68" s="1"/>
  <c r="U18" i="68"/>
  <c r="O18" i="68"/>
  <c r="K18" i="68"/>
  <c r="G18" i="68"/>
  <c r="V17" i="68"/>
  <c r="U17" i="68"/>
  <c r="O17" i="68"/>
  <c r="M17" i="68"/>
  <c r="N17" i="68" s="1"/>
  <c r="K17" i="68"/>
  <c r="G17" i="68"/>
  <c r="AF16" i="68"/>
  <c r="AE16" i="68"/>
  <c r="V16" i="68"/>
  <c r="U16" i="68"/>
  <c r="O16" i="68"/>
  <c r="N16" i="68"/>
  <c r="Q16" i="68" s="1"/>
  <c r="M16" i="68"/>
  <c r="K16" i="68"/>
  <c r="G16" i="68"/>
  <c r="AF15" i="68"/>
  <c r="AE15" i="68"/>
  <c r="V15" i="68"/>
  <c r="U15" i="68"/>
  <c r="O15" i="68"/>
  <c r="N15" i="68"/>
  <c r="M15" i="68"/>
  <c r="K15" i="68"/>
  <c r="P15" i="68" s="1"/>
  <c r="G15" i="68"/>
  <c r="V14" i="68"/>
  <c r="U14" i="68"/>
  <c r="O14" i="68"/>
  <c r="M14" i="68"/>
  <c r="AF14" i="68" s="1"/>
  <c r="K14" i="68"/>
  <c r="G14" i="68"/>
  <c r="V13" i="68"/>
  <c r="M13" i="68" s="1"/>
  <c r="O13" i="68"/>
  <c r="N13" i="68"/>
  <c r="Q13" i="68" s="1"/>
  <c r="K13" i="68"/>
  <c r="G13" i="68"/>
  <c r="AD12" i="68"/>
  <c r="Z12" i="68"/>
  <c r="Y12" i="68"/>
  <c r="O12" i="68"/>
  <c r="K12" i="68"/>
  <c r="AF11" i="68"/>
  <c r="AE11" i="68"/>
  <c r="V11" i="68"/>
  <c r="M11" i="68" s="1"/>
  <c r="N11" i="68" s="1"/>
  <c r="U11" i="68"/>
  <c r="Q11" i="68"/>
  <c r="P11" i="68"/>
  <c r="O11" i="68"/>
  <c r="K11" i="68"/>
  <c r="G11" i="68"/>
  <c r="X10" i="68"/>
  <c r="W10" i="68"/>
  <c r="V10" i="68"/>
  <c r="M10" i="68" s="1"/>
  <c r="O10" i="68"/>
  <c r="K10" i="68"/>
  <c r="G10" i="68"/>
  <c r="AD9" i="68"/>
  <c r="Z9" i="68"/>
  <c r="Y9" i="68"/>
  <c r="O9" i="68"/>
  <c r="K9" i="68"/>
  <c r="D13" i="67" s="1"/>
  <c r="AF8" i="68"/>
  <c r="AE8" i="68"/>
  <c r="V8" i="68"/>
  <c r="U8" i="68"/>
  <c r="O8" i="68"/>
  <c r="N8" i="68"/>
  <c r="Q8" i="68" s="1"/>
  <c r="M8" i="68"/>
  <c r="K8" i="68"/>
  <c r="G8" i="68"/>
  <c r="X7" i="68"/>
  <c r="W7" i="68"/>
  <c r="V7" i="68"/>
  <c r="U7" i="68"/>
  <c r="O7" i="68"/>
  <c r="M7" i="68"/>
  <c r="K7" i="68"/>
  <c r="G7" i="68"/>
  <c r="V6" i="68"/>
  <c r="M6" i="68" s="1"/>
  <c r="N6" i="68" s="1"/>
  <c r="P6" i="68" s="1"/>
  <c r="U6" i="68"/>
  <c r="Q6" i="68"/>
  <c r="O6" i="68"/>
  <c r="K6" i="68"/>
  <c r="G6" i="68"/>
  <c r="V5" i="68"/>
  <c r="O5" i="68"/>
  <c r="M5" i="68"/>
  <c r="K5" i="68"/>
  <c r="G5" i="68"/>
  <c r="Y2" i="68"/>
  <c r="K6" i="67" s="1"/>
  <c r="H2" i="68"/>
  <c r="H1" i="68"/>
  <c r="D1" i="68"/>
  <c r="M22" i="67"/>
  <c r="L22" i="67"/>
  <c r="K22" i="67"/>
  <c r="J22" i="67"/>
  <c r="I22" i="67"/>
  <c r="H22" i="67"/>
  <c r="G22" i="67"/>
  <c r="F22" i="67"/>
  <c r="E22" i="67"/>
  <c r="D22" i="67"/>
  <c r="M21" i="67"/>
  <c r="L21" i="67"/>
  <c r="K21" i="67"/>
  <c r="J21" i="67"/>
  <c r="E21" i="67"/>
  <c r="D21" i="67"/>
  <c r="M20" i="67"/>
  <c r="L20" i="67"/>
  <c r="K20" i="67"/>
  <c r="J20" i="67"/>
  <c r="I20" i="67"/>
  <c r="H20" i="67"/>
  <c r="G20" i="67"/>
  <c r="F20" i="67"/>
  <c r="E20" i="67"/>
  <c r="D20" i="67"/>
  <c r="M19" i="67"/>
  <c r="L19" i="67"/>
  <c r="K19" i="67"/>
  <c r="J19" i="67"/>
  <c r="F19" i="67"/>
  <c r="E19" i="67"/>
  <c r="D19" i="67"/>
  <c r="M18" i="67"/>
  <c r="L18" i="67"/>
  <c r="K18" i="67"/>
  <c r="J18" i="67"/>
  <c r="I18" i="67"/>
  <c r="H18" i="67"/>
  <c r="G18" i="67"/>
  <c r="F18" i="67"/>
  <c r="E18" i="67"/>
  <c r="D18" i="67"/>
  <c r="M17" i="67"/>
  <c r="L17" i="67"/>
  <c r="K17" i="67"/>
  <c r="J17" i="67"/>
  <c r="I17" i="67"/>
  <c r="H17" i="67"/>
  <c r="G17" i="67"/>
  <c r="F17" i="67"/>
  <c r="E17" i="67"/>
  <c r="D17" i="67"/>
  <c r="M16" i="67"/>
  <c r="L16" i="67"/>
  <c r="K16" i="67"/>
  <c r="J16" i="67"/>
  <c r="I16" i="67"/>
  <c r="H16" i="67"/>
  <c r="G16" i="67"/>
  <c r="F16" i="67"/>
  <c r="E16" i="67"/>
  <c r="D16" i="67"/>
  <c r="M13" i="67"/>
  <c r="L13" i="67"/>
  <c r="K13" i="67"/>
  <c r="I6" i="67" s="1"/>
  <c r="I13" i="67"/>
  <c r="H13" i="67"/>
  <c r="F13" i="67"/>
  <c r="E13" i="67"/>
  <c r="M6" i="67"/>
  <c r="F3" i="67"/>
  <c r="C3" i="67"/>
  <c r="E8" i="75" l="1"/>
  <c r="G8" i="75"/>
  <c r="F8" i="75"/>
  <c r="F7" i="73"/>
  <c r="E7" i="73"/>
  <c r="G7" i="73"/>
  <c r="D15" i="73"/>
  <c r="I7" i="73"/>
  <c r="K15" i="73"/>
  <c r="I8" i="73" s="1"/>
  <c r="L14" i="71"/>
  <c r="L15" i="71" s="1"/>
  <c r="Q44" i="72"/>
  <c r="R37" i="72" s="1"/>
  <c r="P44" i="72"/>
  <c r="K15" i="71"/>
  <c r="Q49" i="72"/>
  <c r="R45" i="72" s="1"/>
  <c r="P49" i="72"/>
  <c r="H14" i="71"/>
  <c r="H15" i="71" s="1"/>
  <c r="Q20" i="72"/>
  <c r="R13" i="72" s="1"/>
  <c r="P20" i="72"/>
  <c r="F14" i="71"/>
  <c r="F15" i="71" s="1"/>
  <c r="Q71" i="72"/>
  <c r="R64" i="72" s="1"/>
  <c r="P71" i="72"/>
  <c r="M14" i="71"/>
  <c r="M15" i="71" s="1"/>
  <c r="E14" i="71"/>
  <c r="E15" i="71" s="1"/>
  <c r="Q12" i="72"/>
  <c r="R10" i="72" s="1"/>
  <c r="P12" i="72"/>
  <c r="D14" i="71"/>
  <c r="D2" i="72"/>
  <c r="Q9" i="72"/>
  <c r="R5" i="72" s="1"/>
  <c r="P9" i="72"/>
  <c r="P28" i="72"/>
  <c r="Q28" i="72"/>
  <c r="R21" i="72" s="1"/>
  <c r="G14" i="71"/>
  <c r="G15" i="71" s="1"/>
  <c r="Q63" i="72"/>
  <c r="R58" i="72" s="1"/>
  <c r="P63" i="72"/>
  <c r="J14" i="71"/>
  <c r="J15" i="71" s="1"/>
  <c r="Q57" i="72"/>
  <c r="R50" i="72" s="1"/>
  <c r="P57" i="72"/>
  <c r="I14" i="71"/>
  <c r="I15" i="71" s="1"/>
  <c r="Q61" i="70"/>
  <c r="R53" i="70" s="1"/>
  <c r="P61" i="70"/>
  <c r="I14" i="69"/>
  <c r="I15" i="69" s="1"/>
  <c r="P39" i="70"/>
  <c r="K14" i="69"/>
  <c r="Q39" i="70"/>
  <c r="R31" i="70" s="1"/>
  <c r="P54" i="70"/>
  <c r="Q54" i="70"/>
  <c r="E14" i="69"/>
  <c r="E15" i="69" s="1"/>
  <c r="P12" i="70"/>
  <c r="Q12" i="70"/>
  <c r="R10" i="70" s="1"/>
  <c r="AE47" i="70"/>
  <c r="N47" i="70"/>
  <c r="AF47" i="70"/>
  <c r="AG40" i="70" s="1"/>
  <c r="AF76" i="70"/>
  <c r="AG68" i="70" s="1"/>
  <c r="AE76" i="70"/>
  <c r="N76" i="70"/>
  <c r="AF9" i="70"/>
  <c r="AG5" i="70" s="1"/>
  <c r="N9" i="70"/>
  <c r="AE9" i="70"/>
  <c r="AF30" i="70"/>
  <c r="AG22" i="70" s="1"/>
  <c r="N30" i="70"/>
  <c r="AE30" i="70"/>
  <c r="P33" i="70"/>
  <c r="Q33" i="70"/>
  <c r="P40" i="70"/>
  <c r="Q40" i="70"/>
  <c r="P28" i="70"/>
  <c r="Q28" i="70"/>
  <c r="P52" i="70"/>
  <c r="Q52" i="70"/>
  <c r="R48" i="70" s="1"/>
  <c r="H14" i="69"/>
  <c r="H15" i="69" s="1"/>
  <c r="P75" i="70"/>
  <c r="Q75" i="70"/>
  <c r="P45" i="70"/>
  <c r="Q45" i="70"/>
  <c r="Q17" i="68"/>
  <c r="P17" i="68"/>
  <c r="AE26" i="68"/>
  <c r="AF26" i="68"/>
  <c r="N26" i="68"/>
  <c r="M28" i="68"/>
  <c r="G6" i="67"/>
  <c r="Q22" i="68"/>
  <c r="P22" i="68"/>
  <c r="AF10" i="68"/>
  <c r="AE10" i="68"/>
  <c r="N10" i="68"/>
  <c r="M12" i="68"/>
  <c r="Q19" i="68"/>
  <c r="P19" i="68"/>
  <c r="Q40" i="68"/>
  <c r="P40" i="68"/>
  <c r="AF45" i="68"/>
  <c r="AE45" i="68"/>
  <c r="N45" i="68"/>
  <c r="P8" i="68"/>
  <c r="AF39" i="68"/>
  <c r="AF56" i="68"/>
  <c r="AE56" i="68"/>
  <c r="N61" i="68"/>
  <c r="AE6" i="68"/>
  <c r="P13" i="68"/>
  <c r="AE47" i="68"/>
  <c r="AF47" i="68"/>
  <c r="N59" i="68"/>
  <c r="Q47" i="68"/>
  <c r="P47" i="68"/>
  <c r="AD2" i="68"/>
  <c r="N6" i="67" s="1"/>
  <c r="M20" i="68"/>
  <c r="AE29" i="68"/>
  <c r="AE38" i="68"/>
  <c r="AF38" i="68"/>
  <c r="M42" i="68"/>
  <c r="N50" i="68"/>
  <c r="AF61" i="68"/>
  <c r="AG55" i="68" s="1"/>
  <c r="P66" i="68"/>
  <c r="AE33" i="68"/>
  <c r="AF33" i="68"/>
  <c r="Q15" i="68"/>
  <c r="AF6" i="68"/>
  <c r="AE22" i="68"/>
  <c r="Z2" i="68"/>
  <c r="L6" i="67" s="1"/>
  <c r="AE27" i="68"/>
  <c r="F1" i="68"/>
  <c r="AF7" i="68"/>
  <c r="AE7" i="68"/>
  <c r="AE13" i="68"/>
  <c r="AF27" i="68"/>
  <c r="AF29" i="68"/>
  <c r="P36" i="68"/>
  <c r="N38" i="68"/>
  <c r="P57" i="68"/>
  <c r="N7" i="68"/>
  <c r="AF13" i="68"/>
  <c r="M46" i="68"/>
  <c r="AF43" i="68"/>
  <c r="P64" i="68"/>
  <c r="Q18" i="68"/>
  <c r="P18" i="68"/>
  <c r="P34" i="68"/>
  <c r="AE59" i="68"/>
  <c r="Q39" i="68"/>
  <c r="P39" i="68"/>
  <c r="P31" i="68"/>
  <c r="Q56" i="68"/>
  <c r="P56" i="68"/>
  <c r="AF63" i="68"/>
  <c r="AE63" i="68"/>
  <c r="M67" i="68"/>
  <c r="AE54" i="68"/>
  <c r="AF54" i="68"/>
  <c r="AG47" i="68" s="1"/>
  <c r="F6" i="67"/>
  <c r="E6" i="67"/>
  <c r="AF22" i="68"/>
  <c r="Q27" i="68"/>
  <c r="P27" i="68"/>
  <c r="AF5" i="68"/>
  <c r="AE5" i="68"/>
  <c r="M9" i="68"/>
  <c r="N5" i="68"/>
  <c r="AE18" i="68"/>
  <c r="Q65" i="68"/>
  <c r="P65" i="68"/>
  <c r="AE39" i="68"/>
  <c r="AF40" i="68"/>
  <c r="AE40" i="68"/>
  <c r="N54" i="68"/>
  <c r="AF21" i="68"/>
  <c r="AE21" i="68"/>
  <c r="N21" i="68"/>
  <c r="AE64" i="68"/>
  <c r="AE34" i="68"/>
  <c r="AF50" i="68"/>
  <c r="Q55" i="68"/>
  <c r="P55" i="68"/>
  <c r="AF64" i="68"/>
  <c r="AF34" i="68"/>
  <c r="AE55" i="68"/>
  <c r="P41" i="68"/>
  <c r="AE43" i="68"/>
  <c r="AF48" i="68"/>
  <c r="AF55" i="68"/>
  <c r="AE17" i="68"/>
  <c r="AF17" i="68"/>
  <c r="N33" i="68"/>
  <c r="N63" i="68"/>
  <c r="AE19" i="68"/>
  <c r="AF19" i="68"/>
  <c r="AE48" i="68"/>
  <c r="M35" i="68"/>
  <c r="N30" i="68"/>
  <c r="P49" i="68"/>
  <c r="N51" i="68"/>
  <c r="P58" i="68"/>
  <c r="N60" i="68"/>
  <c r="P16" i="68"/>
  <c r="P25" i="68"/>
  <c r="P32" i="68"/>
  <c r="P37" i="68"/>
  <c r="P44" i="68"/>
  <c r="AE49" i="68"/>
  <c r="P53" i="68"/>
  <c r="AE58" i="68"/>
  <c r="P62" i="68"/>
  <c r="AE65" i="68"/>
  <c r="AE14" i="68"/>
  <c r="AE23" i="68"/>
  <c r="AE30" i="68"/>
  <c r="AE51" i="68"/>
  <c r="AE60" i="68"/>
  <c r="N14" i="68"/>
  <c r="N23" i="68"/>
  <c r="AD65" i="66"/>
  <c r="Z65" i="66"/>
  <c r="Y65" i="66"/>
  <c r="O65" i="66"/>
  <c r="M65" i="66"/>
  <c r="AF65" i="66" s="1"/>
  <c r="AG60" i="66" s="1"/>
  <c r="K65" i="66"/>
  <c r="AF64" i="66"/>
  <c r="AE64" i="66"/>
  <c r="V64" i="66"/>
  <c r="U64" i="66"/>
  <c r="O64" i="66"/>
  <c r="N64" i="66"/>
  <c r="Q64" i="66" s="1"/>
  <c r="M64" i="66"/>
  <c r="K64" i="66"/>
  <c r="G64" i="66"/>
  <c r="AF63" i="66"/>
  <c r="AE63" i="66"/>
  <c r="V63" i="66"/>
  <c r="U63" i="66"/>
  <c r="O63" i="66"/>
  <c r="N63" i="66"/>
  <c r="Q63" i="66" s="1"/>
  <c r="M63" i="66"/>
  <c r="K63" i="66"/>
  <c r="G63" i="66"/>
  <c r="AF62" i="66"/>
  <c r="AE62" i="66"/>
  <c r="V62" i="66"/>
  <c r="U62" i="66"/>
  <c r="O62" i="66"/>
  <c r="M62" i="66"/>
  <c r="N62" i="66" s="1"/>
  <c r="K62" i="66"/>
  <c r="G62" i="66"/>
  <c r="AF61" i="66"/>
  <c r="AE61" i="66"/>
  <c r="V61" i="66"/>
  <c r="U61" i="66"/>
  <c r="O61" i="66"/>
  <c r="M61" i="66"/>
  <c r="N61" i="66" s="1"/>
  <c r="K61" i="66"/>
  <c r="G61" i="66"/>
  <c r="AF60" i="66"/>
  <c r="AE60" i="66"/>
  <c r="X60" i="66"/>
  <c r="W60" i="66"/>
  <c r="V60" i="66"/>
  <c r="O60" i="66"/>
  <c r="N60" i="66"/>
  <c r="Q60" i="66" s="1"/>
  <c r="M60" i="66"/>
  <c r="K60" i="66"/>
  <c r="G60" i="66"/>
  <c r="AF59" i="66"/>
  <c r="AG53" i="66" s="1"/>
  <c r="AE59" i="66"/>
  <c r="AD59" i="66"/>
  <c r="Z59" i="66"/>
  <c r="Y59" i="66"/>
  <c r="O59" i="66"/>
  <c r="M59" i="66"/>
  <c r="N59" i="66" s="1"/>
  <c r="K59" i="66"/>
  <c r="AF58" i="66"/>
  <c r="AE58" i="66"/>
  <c r="V58" i="66"/>
  <c r="U58" i="66"/>
  <c r="O58" i="66"/>
  <c r="M58" i="66"/>
  <c r="N58" i="66" s="1"/>
  <c r="K58" i="66"/>
  <c r="G58" i="66"/>
  <c r="AF57" i="66"/>
  <c r="AE57" i="66"/>
  <c r="V57" i="66"/>
  <c r="U57" i="66"/>
  <c r="O57" i="66"/>
  <c r="M57" i="66"/>
  <c r="N57" i="66" s="1"/>
  <c r="K57" i="66"/>
  <c r="G57" i="66"/>
  <c r="AF56" i="66"/>
  <c r="AE56" i="66"/>
  <c r="V56" i="66"/>
  <c r="U56" i="66"/>
  <c r="O56" i="66"/>
  <c r="M56" i="66"/>
  <c r="N56" i="66" s="1"/>
  <c r="K56" i="66"/>
  <c r="G56" i="66"/>
  <c r="AF55" i="66"/>
  <c r="AE55" i="66"/>
  <c r="V55" i="66"/>
  <c r="U55" i="66"/>
  <c r="O55" i="66"/>
  <c r="M55" i="66"/>
  <c r="N55" i="66" s="1"/>
  <c r="K55" i="66"/>
  <c r="G55" i="66"/>
  <c r="AF54" i="66"/>
  <c r="AE54" i="66"/>
  <c r="V54" i="66"/>
  <c r="U54" i="66"/>
  <c r="Q54" i="66"/>
  <c r="P54" i="66"/>
  <c r="O54" i="66"/>
  <c r="N54" i="66"/>
  <c r="M54" i="66"/>
  <c r="K54" i="66"/>
  <c r="G54" i="66"/>
  <c r="AF53" i="66"/>
  <c r="AE53" i="66"/>
  <c r="V53" i="66"/>
  <c r="Q53" i="66"/>
  <c r="P53" i="66"/>
  <c r="O53" i="66"/>
  <c r="N53" i="66"/>
  <c r="M53" i="66"/>
  <c r="K53" i="66"/>
  <c r="G53" i="66"/>
  <c r="AD52" i="66"/>
  <c r="Z52" i="66"/>
  <c r="Y52" i="66"/>
  <c r="O52" i="66"/>
  <c r="K52" i="66"/>
  <c r="AF51" i="66"/>
  <c r="AE51" i="66"/>
  <c r="V51" i="66"/>
  <c r="U51" i="66"/>
  <c r="O51" i="66"/>
  <c r="N51" i="66"/>
  <c r="Q51" i="66" s="1"/>
  <c r="M51" i="66"/>
  <c r="K51" i="66"/>
  <c r="G51" i="66"/>
  <c r="AF50" i="66"/>
  <c r="AE50" i="66"/>
  <c r="V50" i="66"/>
  <c r="U50" i="66"/>
  <c r="O50" i="66"/>
  <c r="N50" i="66"/>
  <c r="P50" i="66" s="1"/>
  <c r="M50" i="66"/>
  <c r="K50" i="66"/>
  <c r="G50" i="66"/>
  <c r="AF49" i="66"/>
  <c r="AE49" i="66"/>
  <c r="V49" i="66"/>
  <c r="U49" i="66"/>
  <c r="O49" i="66"/>
  <c r="N49" i="66"/>
  <c r="P49" i="66" s="1"/>
  <c r="M49" i="66"/>
  <c r="K49" i="66"/>
  <c r="G49" i="66"/>
  <c r="AF48" i="66"/>
  <c r="AE48" i="66"/>
  <c r="V48" i="66"/>
  <c r="U48" i="66"/>
  <c r="O48" i="66"/>
  <c r="N48" i="66"/>
  <c r="Q48" i="66" s="1"/>
  <c r="M48" i="66"/>
  <c r="K48" i="66"/>
  <c r="G48" i="66"/>
  <c r="AF47" i="66"/>
  <c r="AE47" i="66"/>
  <c r="V47" i="66"/>
  <c r="U47" i="66"/>
  <c r="O47" i="66"/>
  <c r="N47" i="66"/>
  <c r="Q47" i="66" s="1"/>
  <c r="M47" i="66"/>
  <c r="K47" i="66"/>
  <c r="G47" i="66"/>
  <c r="AF46" i="66"/>
  <c r="AE46" i="66"/>
  <c r="V46" i="66"/>
  <c r="U46" i="66"/>
  <c r="O46" i="66"/>
  <c r="M46" i="66"/>
  <c r="N46" i="66" s="1"/>
  <c r="K46" i="66"/>
  <c r="G46" i="66"/>
  <c r="AF45" i="66"/>
  <c r="AE45" i="66"/>
  <c r="V45" i="66"/>
  <c r="O45" i="66"/>
  <c r="M45" i="66"/>
  <c r="M52" i="66" s="1"/>
  <c r="K45" i="66"/>
  <c r="G45" i="66"/>
  <c r="AF44" i="66"/>
  <c r="AG41" i="66" s="1"/>
  <c r="AE44" i="66"/>
  <c r="AD44" i="66"/>
  <c r="Z44" i="66"/>
  <c r="Y44" i="66"/>
  <c r="O44" i="66"/>
  <c r="M44" i="66"/>
  <c r="N44" i="66" s="1"/>
  <c r="K44" i="66"/>
  <c r="AF43" i="66"/>
  <c r="AE43" i="66"/>
  <c r="V43" i="66"/>
  <c r="U43" i="66"/>
  <c r="O43" i="66"/>
  <c r="M43" i="66"/>
  <c r="N43" i="66" s="1"/>
  <c r="K43" i="66"/>
  <c r="G43" i="66"/>
  <c r="AF42" i="66"/>
  <c r="AE42" i="66"/>
  <c r="V42" i="66"/>
  <c r="U42" i="66"/>
  <c r="O42" i="66"/>
  <c r="M42" i="66"/>
  <c r="N42" i="66" s="1"/>
  <c r="K42" i="66"/>
  <c r="G42" i="66"/>
  <c r="AF41" i="66"/>
  <c r="AE41" i="66"/>
  <c r="V41" i="66"/>
  <c r="O41" i="66"/>
  <c r="M41" i="66"/>
  <c r="N41" i="66" s="1"/>
  <c r="K41" i="66"/>
  <c r="G41" i="66"/>
  <c r="AD40" i="66"/>
  <c r="Z40" i="66"/>
  <c r="Y40" i="66"/>
  <c r="O40" i="66"/>
  <c r="K40" i="66"/>
  <c r="AF39" i="66"/>
  <c r="AE39" i="66"/>
  <c r="V39" i="66"/>
  <c r="U39" i="66"/>
  <c r="Q39" i="66"/>
  <c r="P39" i="66"/>
  <c r="O39" i="66"/>
  <c r="N39" i="66"/>
  <c r="M39" i="66"/>
  <c r="K39" i="66"/>
  <c r="G39" i="66"/>
  <c r="AF38" i="66"/>
  <c r="AE38" i="66"/>
  <c r="X38" i="66"/>
  <c r="W38" i="66"/>
  <c r="V38" i="66"/>
  <c r="U38" i="66"/>
  <c r="Q38" i="66"/>
  <c r="P38" i="66"/>
  <c r="O38" i="66"/>
  <c r="N38" i="66"/>
  <c r="M38" i="66"/>
  <c r="K38" i="66"/>
  <c r="G38" i="66"/>
  <c r="AF37" i="66"/>
  <c r="AE37" i="66"/>
  <c r="V37" i="66"/>
  <c r="U37" i="66"/>
  <c r="Q37" i="66"/>
  <c r="P37" i="66"/>
  <c r="O37" i="66"/>
  <c r="N37" i="66"/>
  <c r="M37" i="66"/>
  <c r="K37" i="66"/>
  <c r="G37" i="66"/>
  <c r="AF36" i="66"/>
  <c r="AE36" i="66"/>
  <c r="V36" i="66"/>
  <c r="U36" i="66"/>
  <c r="P36" i="66"/>
  <c r="O36" i="66"/>
  <c r="N36" i="66"/>
  <c r="Q36" i="66" s="1"/>
  <c r="M36" i="66"/>
  <c r="K36" i="66"/>
  <c r="G36" i="66"/>
  <c r="AF35" i="66"/>
  <c r="AE35" i="66"/>
  <c r="V35" i="66"/>
  <c r="U35" i="66"/>
  <c r="O35" i="66"/>
  <c r="N35" i="66"/>
  <c r="Q35" i="66" s="1"/>
  <c r="M35" i="66"/>
  <c r="K35" i="66"/>
  <c r="G35" i="66"/>
  <c r="AE34" i="66"/>
  <c r="X34" i="66"/>
  <c r="W34" i="66"/>
  <c r="V34" i="66"/>
  <c r="Q34" i="66"/>
  <c r="P34" i="66"/>
  <c r="O34" i="66"/>
  <c r="N34" i="66"/>
  <c r="M34" i="66"/>
  <c r="M40" i="66" s="1"/>
  <c r="K34" i="66"/>
  <c r="G34" i="66"/>
  <c r="AF33" i="66"/>
  <c r="AE33" i="66"/>
  <c r="AD33" i="66"/>
  <c r="Z33" i="66"/>
  <c r="Y33" i="66"/>
  <c r="Q33" i="66"/>
  <c r="R28" i="66" s="1"/>
  <c r="P33" i="66"/>
  <c r="O33" i="66"/>
  <c r="N33" i="66"/>
  <c r="K14" i="65" s="1"/>
  <c r="M33" i="66"/>
  <c r="K33" i="66"/>
  <c r="AF32" i="66"/>
  <c r="AE32" i="66"/>
  <c r="V32" i="66"/>
  <c r="U32" i="66"/>
  <c r="O32" i="66"/>
  <c r="N32" i="66"/>
  <c r="Q32" i="66" s="1"/>
  <c r="M32" i="66"/>
  <c r="K32" i="66"/>
  <c r="G32" i="66"/>
  <c r="AF31" i="66"/>
  <c r="AE31" i="66"/>
  <c r="V31" i="66"/>
  <c r="U31" i="66"/>
  <c r="O31" i="66"/>
  <c r="N31" i="66"/>
  <c r="P31" i="66" s="1"/>
  <c r="M31" i="66"/>
  <c r="K31" i="66"/>
  <c r="G31" i="66"/>
  <c r="AF30" i="66"/>
  <c r="AE30" i="66"/>
  <c r="V30" i="66"/>
  <c r="U30" i="66"/>
  <c r="O30" i="66"/>
  <c r="N30" i="66"/>
  <c r="P30" i="66" s="1"/>
  <c r="M30" i="66"/>
  <c r="K30" i="66"/>
  <c r="G30" i="66"/>
  <c r="AF29" i="66"/>
  <c r="AE29" i="66"/>
  <c r="V29" i="66"/>
  <c r="U29" i="66"/>
  <c r="O29" i="66"/>
  <c r="N29" i="66"/>
  <c r="Q29" i="66" s="1"/>
  <c r="M29" i="66"/>
  <c r="K29" i="66"/>
  <c r="G29" i="66"/>
  <c r="AG28" i="66"/>
  <c r="AF28" i="66"/>
  <c r="AE28" i="66"/>
  <c r="X28" i="66"/>
  <c r="W28" i="66"/>
  <c r="V28" i="66"/>
  <c r="O28" i="66"/>
  <c r="N28" i="66"/>
  <c r="Q28" i="66" s="1"/>
  <c r="M28" i="66"/>
  <c r="K28" i="66"/>
  <c r="G28" i="66"/>
  <c r="AD27" i="66"/>
  <c r="Z27" i="66"/>
  <c r="Y27" i="66"/>
  <c r="O27" i="66"/>
  <c r="M27" i="66"/>
  <c r="AF27" i="66" s="1"/>
  <c r="AG20" i="66" s="1"/>
  <c r="K27" i="66"/>
  <c r="AF26" i="66"/>
  <c r="AE26" i="66"/>
  <c r="V26" i="66"/>
  <c r="U26" i="66"/>
  <c r="O26" i="66"/>
  <c r="N26" i="66"/>
  <c r="Q26" i="66" s="1"/>
  <c r="M26" i="66"/>
  <c r="K26" i="66"/>
  <c r="G26" i="66"/>
  <c r="AF25" i="66"/>
  <c r="AE25" i="66"/>
  <c r="V25" i="66"/>
  <c r="U25" i="66"/>
  <c r="O25" i="66"/>
  <c r="N25" i="66"/>
  <c r="Q25" i="66" s="1"/>
  <c r="M25" i="66"/>
  <c r="K25" i="66"/>
  <c r="G25" i="66"/>
  <c r="AF24" i="66"/>
  <c r="AE24" i="66"/>
  <c r="V24" i="66"/>
  <c r="U24" i="66"/>
  <c r="O24" i="66"/>
  <c r="M24" i="66"/>
  <c r="N24" i="66" s="1"/>
  <c r="K24" i="66"/>
  <c r="G24" i="66"/>
  <c r="AF23" i="66"/>
  <c r="AE23" i="66"/>
  <c r="V23" i="66"/>
  <c r="U23" i="66"/>
  <c r="O23" i="66"/>
  <c r="M23" i="66"/>
  <c r="N23" i="66" s="1"/>
  <c r="K23" i="66"/>
  <c r="G23" i="66"/>
  <c r="AF22" i="66"/>
  <c r="AE22" i="66"/>
  <c r="V22" i="66"/>
  <c r="U22" i="66"/>
  <c r="O22" i="66"/>
  <c r="M22" i="66"/>
  <c r="N22" i="66" s="1"/>
  <c r="K22" i="66"/>
  <c r="G22" i="66"/>
  <c r="AF21" i="66"/>
  <c r="AE21" i="66"/>
  <c r="V21" i="66"/>
  <c r="U21" i="66"/>
  <c r="O21" i="66"/>
  <c r="M21" i="66"/>
  <c r="N21" i="66" s="1"/>
  <c r="K21" i="66"/>
  <c r="G21" i="66"/>
  <c r="AF20" i="66"/>
  <c r="AE20" i="66"/>
  <c r="V20" i="66"/>
  <c r="O20" i="66"/>
  <c r="M20" i="66"/>
  <c r="N20" i="66" s="1"/>
  <c r="K20" i="66"/>
  <c r="G20" i="66"/>
  <c r="AF19" i="66"/>
  <c r="AE19" i="66"/>
  <c r="AD19" i="66"/>
  <c r="Z19" i="66"/>
  <c r="Y19" i="66"/>
  <c r="O19" i="66"/>
  <c r="M19" i="66"/>
  <c r="N19" i="66" s="1"/>
  <c r="K19" i="66"/>
  <c r="AF18" i="66"/>
  <c r="AE18" i="66"/>
  <c r="V18" i="66"/>
  <c r="U18" i="66"/>
  <c r="Q18" i="66"/>
  <c r="P18" i="66"/>
  <c r="O18" i="66"/>
  <c r="N18" i="66"/>
  <c r="M18" i="66"/>
  <c r="K18" i="66"/>
  <c r="G18" i="66"/>
  <c r="AF17" i="66"/>
  <c r="AE17" i="66"/>
  <c r="V17" i="66"/>
  <c r="U17" i="66"/>
  <c r="P17" i="66"/>
  <c r="O17" i="66"/>
  <c r="N17" i="66"/>
  <c r="Q17" i="66" s="1"/>
  <c r="M17" i="66"/>
  <c r="K17" i="66"/>
  <c r="G17" i="66"/>
  <c r="AF16" i="66"/>
  <c r="AE16" i="66"/>
  <c r="V16" i="66"/>
  <c r="U16" i="66"/>
  <c r="O16" i="66"/>
  <c r="N16" i="66"/>
  <c r="Q16" i="66" s="1"/>
  <c r="M16" i="66"/>
  <c r="K16" i="66"/>
  <c r="G16" i="66"/>
  <c r="AF15" i="66"/>
  <c r="AE15" i="66"/>
  <c r="V15" i="66"/>
  <c r="U15" i="66"/>
  <c r="O15" i="66"/>
  <c r="N15" i="66"/>
  <c r="Q15" i="66" s="1"/>
  <c r="M15" i="66"/>
  <c r="K15" i="66"/>
  <c r="G15" i="66"/>
  <c r="AF14" i="66"/>
  <c r="AE14" i="66"/>
  <c r="V14" i="66"/>
  <c r="U14" i="66"/>
  <c r="O14" i="66"/>
  <c r="N14" i="66"/>
  <c r="P14" i="66" s="1"/>
  <c r="M14" i="66"/>
  <c r="K14" i="66"/>
  <c r="G14" i="66"/>
  <c r="AF13" i="66"/>
  <c r="AE13" i="66"/>
  <c r="V13" i="66"/>
  <c r="U13" i="66"/>
  <c r="O13" i="66"/>
  <c r="N13" i="66"/>
  <c r="Q13" i="66" s="1"/>
  <c r="M13" i="66"/>
  <c r="K13" i="66"/>
  <c r="G13" i="66"/>
  <c r="AG12" i="66"/>
  <c r="AF12" i="66"/>
  <c r="AE12" i="66"/>
  <c r="V12" i="66"/>
  <c r="O12" i="66"/>
  <c r="N12" i="66"/>
  <c r="Q12" i="66" s="1"/>
  <c r="M12" i="66"/>
  <c r="K12" i="66"/>
  <c r="G12" i="66"/>
  <c r="AF11" i="66"/>
  <c r="AD11" i="66"/>
  <c r="Z11" i="66"/>
  <c r="Y11" i="66"/>
  <c r="O11" i="66"/>
  <c r="N11" i="66"/>
  <c r="Q11" i="66" s="1"/>
  <c r="R9" i="66" s="1"/>
  <c r="M11" i="66"/>
  <c r="AE11" i="66" s="1"/>
  <c r="K11" i="66"/>
  <c r="AF10" i="66"/>
  <c r="AE10" i="66"/>
  <c r="V10" i="66"/>
  <c r="U10" i="66"/>
  <c r="O10" i="66"/>
  <c r="M10" i="66"/>
  <c r="N10" i="66" s="1"/>
  <c r="K10" i="66"/>
  <c r="G10" i="66"/>
  <c r="AG9" i="66"/>
  <c r="AF9" i="66"/>
  <c r="AE9" i="66"/>
  <c r="X9" i="66"/>
  <c r="W9" i="66"/>
  <c r="V9" i="66"/>
  <c r="O9" i="66"/>
  <c r="N9" i="66"/>
  <c r="Q9" i="66" s="1"/>
  <c r="M9" i="66"/>
  <c r="K9" i="66"/>
  <c r="G9" i="66"/>
  <c r="AF8" i="66"/>
  <c r="AG5" i="66" s="1"/>
  <c r="AD8" i="66"/>
  <c r="Z8" i="66"/>
  <c r="Y8" i="66"/>
  <c r="O8" i="66"/>
  <c r="N8" i="66"/>
  <c r="M8" i="66"/>
  <c r="AE8" i="66" s="1"/>
  <c r="K8" i="66"/>
  <c r="AF7" i="66"/>
  <c r="AE7" i="66"/>
  <c r="V7" i="66"/>
  <c r="U7" i="66"/>
  <c r="O7" i="66"/>
  <c r="M7" i="66"/>
  <c r="N7" i="66" s="1"/>
  <c r="K7" i="66"/>
  <c r="G7" i="66"/>
  <c r="AF6" i="66"/>
  <c r="AE6" i="66"/>
  <c r="V6" i="66"/>
  <c r="U6" i="66"/>
  <c r="O6" i="66"/>
  <c r="M6" i="66"/>
  <c r="N6" i="66" s="1"/>
  <c r="K6" i="66"/>
  <c r="G6" i="66"/>
  <c r="AF5" i="66"/>
  <c r="AE5" i="66"/>
  <c r="V5" i="66"/>
  <c r="O5" i="66"/>
  <c r="M5" i="66"/>
  <c r="N5" i="66" s="1"/>
  <c r="K5" i="66"/>
  <c r="G5" i="66"/>
  <c r="AD2" i="66"/>
  <c r="N6" i="65" s="1"/>
  <c r="Z2" i="66"/>
  <c r="L6" i="65" s="1"/>
  <c r="Y2" i="66"/>
  <c r="H2" i="66"/>
  <c r="F2" i="66"/>
  <c r="H1" i="66"/>
  <c r="F1" i="66"/>
  <c r="D1" i="66"/>
  <c r="M22" i="65"/>
  <c r="L22" i="65"/>
  <c r="K22" i="65"/>
  <c r="J22" i="65"/>
  <c r="I22" i="65"/>
  <c r="H22" i="65"/>
  <c r="G22" i="65"/>
  <c r="F22" i="65"/>
  <c r="E22" i="65"/>
  <c r="D22" i="65"/>
  <c r="M21" i="65"/>
  <c r="L21" i="65"/>
  <c r="K21" i="65"/>
  <c r="J21" i="65"/>
  <c r="I21" i="65"/>
  <c r="H21" i="65"/>
  <c r="G21" i="65"/>
  <c r="F21" i="65"/>
  <c r="E21" i="65"/>
  <c r="D21" i="65"/>
  <c r="M20" i="65"/>
  <c r="L20" i="65"/>
  <c r="K20" i="65"/>
  <c r="J20" i="65"/>
  <c r="I20" i="65"/>
  <c r="H20" i="65"/>
  <c r="G20" i="65"/>
  <c r="F20" i="65"/>
  <c r="E20" i="65"/>
  <c r="D20" i="65"/>
  <c r="M19" i="65"/>
  <c r="L19" i="65"/>
  <c r="K19" i="65"/>
  <c r="J19" i="65"/>
  <c r="I19" i="65"/>
  <c r="H19" i="65"/>
  <c r="G19" i="65"/>
  <c r="F19" i="65"/>
  <c r="E19" i="65"/>
  <c r="D19" i="65"/>
  <c r="M18" i="65"/>
  <c r="L18" i="65"/>
  <c r="K18" i="65"/>
  <c r="J18" i="65"/>
  <c r="I18" i="65"/>
  <c r="H18" i="65"/>
  <c r="G18" i="65"/>
  <c r="F18" i="65"/>
  <c r="E18" i="65"/>
  <c r="D18" i="65"/>
  <c r="M17" i="65"/>
  <c r="L17" i="65"/>
  <c r="K17" i="65"/>
  <c r="J17" i="65"/>
  <c r="I17" i="65"/>
  <c r="H17" i="65"/>
  <c r="G17" i="65"/>
  <c r="F17" i="65"/>
  <c r="E17" i="65"/>
  <c r="D17" i="65"/>
  <c r="M16" i="65"/>
  <c r="L16" i="65"/>
  <c r="K16" i="65"/>
  <c r="J16" i="65"/>
  <c r="I16" i="65"/>
  <c r="H16" i="65"/>
  <c r="G16" i="65"/>
  <c r="F16" i="65"/>
  <c r="E16" i="65"/>
  <c r="D16" i="65"/>
  <c r="E14" i="65"/>
  <c r="E15" i="65" s="1"/>
  <c r="D14" i="65"/>
  <c r="M13" i="65"/>
  <c r="L13" i="65"/>
  <c r="K13" i="65"/>
  <c r="J13" i="65"/>
  <c r="I13" i="65"/>
  <c r="H13" i="65"/>
  <c r="G13" i="65"/>
  <c r="F13" i="65"/>
  <c r="E13" i="65"/>
  <c r="D13" i="65"/>
  <c r="G6" i="65" s="1"/>
  <c r="M6" i="65"/>
  <c r="K6" i="65"/>
  <c r="I6" i="65"/>
  <c r="I3" i="65"/>
  <c r="F3" i="65"/>
  <c r="C3" i="65"/>
  <c r="E8" i="73" l="1"/>
  <c r="G8" i="73"/>
  <c r="F8" i="73"/>
  <c r="D15" i="71"/>
  <c r="G7" i="71"/>
  <c r="F7" i="71"/>
  <c r="E7" i="71"/>
  <c r="I7" i="71"/>
  <c r="I8" i="71"/>
  <c r="Q9" i="70"/>
  <c r="R5" i="70" s="1"/>
  <c r="D14" i="69"/>
  <c r="P9" i="70"/>
  <c r="D2" i="70"/>
  <c r="M14" i="69"/>
  <c r="M15" i="69" s="1"/>
  <c r="Q76" i="70"/>
  <c r="R68" i="70" s="1"/>
  <c r="P76" i="70"/>
  <c r="K15" i="69"/>
  <c r="Q30" i="70"/>
  <c r="R22" i="70" s="1"/>
  <c r="G14" i="69"/>
  <c r="G15" i="69" s="1"/>
  <c r="P30" i="70"/>
  <c r="P47" i="70"/>
  <c r="Q47" i="70"/>
  <c r="R40" i="70" s="1"/>
  <c r="L14" i="69"/>
  <c r="L15" i="69" s="1"/>
  <c r="N46" i="68"/>
  <c r="AF46" i="68"/>
  <c r="AG43" i="68" s="1"/>
  <c r="AE46" i="68"/>
  <c r="Q50" i="68"/>
  <c r="P50" i="68"/>
  <c r="Q51" i="68"/>
  <c r="P51" i="68"/>
  <c r="P7" i="68"/>
  <c r="Q7" i="68"/>
  <c r="Q23" i="68"/>
  <c r="P23" i="68"/>
  <c r="Q30" i="68"/>
  <c r="P30" i="68"/>
  <c r="N20" i="68"/>
  <c r="AF20" i="68"/>
  <c r="AG13" i="68" s="1"/>
  <c r="AE20" i="68"/>
  <c r="I14" i="67"/>
  <c r="I15" i="67" s="1"/>
  <c r="Q54" i="68"/>
  <c r="R47" i="68" s="1"/>
  <c r="P54" i="68"/>
  <c r="Q38" i="68"/>
  <c r="P38" i="68"/>
  <c r="Q60" i="68"/>
  <c r="P60" i="68"/>
  <c r="Q45" i="68"/>
  <c r="P45" i="68"/>
  <c r="AF42" i="68"/>
  <c r="AG36" i="68" s="1"/>
  <c r="AE42" i="68"/>
  <c r="N42" i="68"/>
  <c r="Q14" i="68"/>
  <c r="P14" i="68"/>
  <c r="AF35" i="68"/>
  <c r="AG29" i="68" s="1"/>
  <c r="AE35" i="68"/>
  <c r="N35" i="68"/>
  <c r="P21" i="68"/>
  <c r="Q21" i="68"/>
  <c r="AF67" i="68"/>
  <c r="AG62" i="68" s="1"/>
  <c r="AE67" i="68"/>
  <c r="N67" i="68"/>
  <c r="AF12" i="68"/>
  <c r="AG10" i="68" s="1"/>
  <c r="AE12" i="68"/>
  <c r="N12" i="68"/>
  <c r="P10" i="68"/>
  <c r="Q10" i="68"/>
  <c r="Q63" i="68"/>
  <c r="P63" i="68"/>
  <c r="Q33" i="68"/>
  <c r="P33" i="68"/>
  <c r="Q59" i="68"/>
  <c r="P59" i="68"/>
  <c r="F2" i="68"/>
  <c r="I3" i="67"/>
  <c r="AF28" i="68"/>
  <c r="AG21" i="68" s="1"/>
  <c r="AE28" i="68"/>
  <c r="N28" i="68"/>
  <c r="P5" i="68"/>
  <c r="Q5" i="68"/>
  <c r="J14" i="67"/>
  <c r="J15" i="67" s="1"/>
  <c r="Q61" i="68"/>
  <c r="R55" i="68" s="1"/>
  <c r="P61" i="68"/>
  <c r="Q26" i="68"/>
  <c r="P26" i="68"/>
  <c r="AE9" i="68"/>
  <c r="N9" i="68"/>
  <c r="AF9" i="68"/>
  <c r="AG5" i="68" s="1"/>
  <c r="Q5" i="66"/>
  <c r="P5" i="66"/>
  <c r="K15" i="65"/>
  <c r="P22" i="66"/>
  <c r="Q22" i="66"/>
  <c r="AF52" i="66"/>
  <c r="AG45" i="66" s="1"/>
  <c r="AE52" i="66"/>
  <c r="N52" i="66"/>
  <c r="D2" i="66" s="1"/>
  <c r="Q21" i="66"/>
  <c r="P21" i="66"/>
  <c r="Q55" i="66"/>
  <c r="P55" i="66"/>
  <c r="Q58" i="66"/>
  <c r="P58" i="66"/>
  <c r="Q20" i="66"/>
  <c r="P20" i="66"/>
  <c r="Q24" i="66"/>
  <c r="P24" i="66"/>
  <c r="Q44" i="66"/>
  <c r="R41" i="66" s="1"/>
  <c r="P44" i="66"/>
  <c r="H14" i="65"/>
  <c r="H15" i="65" s="1"/>
  <c r="P57" i="66"/>
  <c r="Q57" i="66"/>
  <c r="Q7" i="66"/>
  <c r="P7" i="66"/>
  <c r="Q62" i="66"/>
  <c r="P62" i="66"/>
  <c r="Q61" i="66"/>
  <c r="P61" i="66"/>
  <c r="N40" i="66"/>
  <c r="AF40" i="66"/>
  <c r="AG34" i="66" s="1"/>
  <c r="AE40" i="66"/>
  <c r="Q46" i="66"/>
  <c r="P46" i="66"/>
  <c r="P43" i="66"/>
  <c r="Q43" i="66"/>
  <c r="F14" i="65"/>
  <c r="F15" i="65" s="1"/>
  <c r="Q19" i="66"/>
  <c r="R12" i="66" s="1"/>
  <c r="P19" i="66"/>
  <c r="J14" i="65"/>
  <c r="J15" i="65" s="1"/>
  <c r="Q59" i="66"/>
  <c r="R53" i="66" s="1"/>
  <c r="P59" i="66"/>
  <c r="Q56" i="66"/>
  <c r="P56" i="66"/>
  <c r="Q10" i="66"/>
  <c r="P10" i="66"/>
  <c r="Q42" i="66"/>
  <c r="P42" i="66"/>
  <c r="Q6" i="66"/>
  <c r="P6" i="66"/>
  <c r="Q23" i="66"/>
  <c r="P23" i="66"/>
  <c r="Q41" i="66"/>
  <c r="P41" i="66"/>
  <c r="E6" i="65"/>
  <c r="D15" i="65"/>
  <c r="F6" i="65"/>
  <c r="P16" i="66"/>
  <c r="P32" i="66"/>
  <c r="P35" i="66"/>
  <c r="P51" i="66"/>
  <c r="P15" i="66"/>
  <c r="P28" i="66"/>
  <c r="P8" i="66"/>
  <c r="P9" i="66"/>
  <c r="P11" i="66"/>
  <c r="P12" i="66"/>
  <c r="P13" i="66"/>
  <c r="Q14" i="66"/>
  <c r="P26" i="66"/>
  <c r="P29" i="66"/>
  <c r="Q30" i="66"/>
  <c r="N45" i="66"/>
  <c r="P48" i="66"/>
  <c r="Q49" i="66"/>
  <c r="P64" i="66"/>
  <c r="N27" i="66"/>
  <c r="N65" i="66"/>
  <c r="Q31" i="66"/>
  <c r="Q8" i="66"/>
  <c r="R5" i="66" s="1"/>
  <c r="P25" i="66"/>
  <c r="P47" i="66"/>
  <c r="P60" i="66"/>
  <c r="P63" i="66"/>
  <c r="Q50" i="66"/>
  <c r="AF34" i="66"/>
  <c r="AE27" i="66"/>
  <c r="AE65" i="66"/>
  <c r="AD69" i="60"/>
  <c r="Z69" i="60"/>
  <c r="Y69" i="60"/>
  <c r="O69" i="60"/>
  <c r="K69" i="60"/>
  <c r="V68" i="60"/>
  <c r="U68" i="60"/>
  <c r="O68" i="60"/>
  <c r="M68" i="60"/>
  <c r="AF68" i="60" s="1"/>
  <c r="K68" i="60"/>
  <c r="G68" i="60"/>
  <c r="AF67" i="60"/>
  <c r="AE67" i="60"/>
  <c r="X67" i="60"/>
  <c r="W67" i="60"/>
  <c r="V67" i="60"/>
  <c r="U67" i="60"/>
  <c r="O67" i="60"/>
  <c r="N67" i="60"/>
  <c r="Q67" i="60" s="1"/>
  <c r="M67" i="60"/>
  <c r="K67" i="60"/>
  <c r="G67" i="60"/>
  <c r="AF66" i="60"/>
  <c r="AE66" i="60"/>
  <c r="V66" i="60"/>
  <c r="U66" i="60"/>
  <c r="O66" i="60"/>
  <c r="M66" i="60"/>
  <c r="N66" i="60" s="1"/>
  <c r="P66" i="60" s="1"/>
  <c r="K66" i="60"/>
  <c r="G66" i="60"/>
  <c r="V65" i="60"/>
  <c r="U65" i="60"/>
  <c r="O65" i="60"/>
  <c r="M65" i="60"/>
  <c r="N65" i="60" s="1"/>
  <c r="K65" i="60"/>
  <c r="G65" i="60"/>
  <c r="V64" i="60"/>
  <c r="M64" i="60" s="1"/>
  <c r="N64" i="60" s="1"/>
  <c r="U64" i="60"/>
  <c r="O64" i="60"/>
  <c r="K64" i="60"/>
  <c r="G64" i="60"/>
  <c r="X63" i="60"/>
  <c r="W63" i="60"/>
  <c r="V63" i="60"/>
  <c r="O63" i="60"/>
  <c r="M63" i="60"/>
  <c r="K63" i="60"/>
  <c r="G63" i="60"/>
  <c r="AD62" i="60"/>
  <c r="Z62" i="60"/>
  <c r="Y62" i="60"/>
  <c r="O62" i="60"/>
  <c r="K62" i="60"/>
  <c r="V61" i="60"/>
  <c r="M61" i="60" s="1"/>
  <c r="N61" i="60" s="1"/>
  <c r="Q61" i="60" s="1"/>
  <c r="U61" i="60"/>
  <c r="P61" i="60"/>
  <c r="O61" i="60"/>
  <c r="K61" i="60"/>
  <c r="G61" i="60"/>
  <c r="AF60" i="60"/>
  <c r="AE60" i="60"/>
  <c r="V60" i="60"/>
  <c r="U60" i="60"/>
  <c r="O60" i="60"/>
  <c r="N60" i="60"/>
  <c r="P60" i="60" s="1"/>
  <c r="M60" i="60"/>
  <c r="K60" i="60"/>
  <c r="G60" i="60"/>
  <c r="AF59" i="60"/>
  <c r="AE59" i="60"/>
  <c r="V59" i="60"/>
  <c r="U59" i="60"/>
  <c r="Q59" i="60"/>
  <c r="O59" i="60"/>
  <c r="M59" i="60"/>
  <c r="N59" i="60" s="1"/>
  <c r="P59" i="60" s="1"/>
  <c r="K59" i="60"/>
  <c r="G59" i="60"/>
  <c r="V58" i="60"/>
  <c r="U58" i="60"/>
  <c r="O58" i="60"/>
  <c r="M58" i="60"/>
  <c r="K58" i="60"/>
  <c r="G58" i="60"/>
  <c r="AF57" i="60"/>
  <c r="AE57" i="60"/>
  <c r="V57" i="60"/>
  <c r="M57" i="60" s="1"/>
  <c r="U57" i="60"/>
  <c r="O57" i="60"/>
  <c r="K57" i="60"/>
  <c r="G57" i="60"/>
  <c r="AF56" i="60"/>
  <c r="AE56" i="60"/>
  <c r="V56" i="60"/>
  <c r="O56" i="60"/>
  <c r="N56" i="60"/>
  <c r="P56" i="60" s="1"/>
  <c r="M56" i="60"/>
  <c r="K56" i="60"/>
  <c r="G56" i="60"/>
  <c r="AD55" i="60"/>
  <c r="Z55" i="60"/>
  <c r="Y55" i="60"/>
  <c r="O55" i="60"/>
  <c r="K55" i="60"/>
  <c r="V54" i="60"/>
  <c r="U54" i="60"/>
  <c r="O54" i="60"/>
  <c r="M54" i="60"/>
  <c r="AF54" i="60" s="1"/>
  <c r="K54" i="60"/>
  <c r="G54" i="60"/>
  <c r="AF53" i="60"/>
  <c r="AE53" i="60"/>
  <c r="V53" i="60"/>
  <c r="U53" i="60"/>
  <c r="O53" i="60"/>
  <c r="N53" i="60"/>
  <c r="Q53" i="60" s="1"/>
  <c r="M53" i="60"/>
  <c r="K53" i="60"/>
  <c r="G53" i="60"/>
  <c r="V52" i="60"/>
  <c r="M52" i="60" s="1"/>
  <c r="N52" i="60" s="1"/>
  <c r="U52" i="60"/>
  <c r="Q52" i="60"/>
  <c r="P52" i="60"/>
  <c r="O52" i="60"/>
  <c r="K52" i="60"/>
  <c r="G52" i="60"/>
  <c r="AF51" i="60"/>
  <c r="AE51" i="60"/>
  <c r="V51" i="60"/>
  <c r="U51" i="60"/>
  <c r="O51" i="60"/>
  <c r="N51" i="60"/>
  <c r="P51" i="60" s="1"/>
  <c r="M51" i="60"/>
  <c r="K51" i="60"/>
  <c r="G51" i="60"/>
  <c r="AF50" i="60"/>
  <c r="AE50" i="60"/>
  <c r="V50" i="60"/>
  <c r="U50" i="60"/>
  <c r="O50" i="60"/>
  <c r="M50" i="60"/>
  <c r="N50" i="60" s="1"/>
  <c r="P50" i="60" s="1"/>
  <c r="K50" i="60"/>
  <c r="G50" i="60"/>
  <c r="V49" i="60"/>
  <c r="U49" i="60"/>
  <c r="O49" i="60"/>
  <c r="M49" i="60"/>
  <c r="K49" i="60"/>
  <c r="G49" i="60"/>
  <c r="AF48" i="60"/>
  <c r="AE48" i="60"/>
  <c r="V48" i="60"/>
  <c r="O48" i="60"/>
  <c r="N48" i="60"/>
  <c r="Q48" i="60" s="1"/>
  <c r="M48" i="60"/>
  <c r="K48" i="60"/>
  <c r="G48" i="60"/>
  <c r="AD47" i="60"/>
  <c r="Z47" i="60"/>
  <c r="Y47" i="60"/>
  <c r="O47" i="60"/>
  <c r="K47" i="60"/>
  <c r="H13" i="59" s="1"/>
  <c r="AF46" i="60"/>
  <c r="AE46" i="60"/>
  <c r="V46" i="60"/>
  <c r="U46" i="60"/>
  <c r="Q46" i="60"/>
  <c r="P46" i="60"/>
  <c r="O46" i="60"/>
  <c r="N46" i="60"/>
  <c r="M46" i="60"/>
  <c r="K46" i="60"/>
  <c r="G46" i="60"/>
  <c r="V45" i="60"/>
  <c r="U45" i="60"/>
  <c r="O45" i="60"/>
  <c r="M45" i="60"/>
  <c r="AF45" i="60" s="1"/>
  <c r="K45" i="60"/>
  <c r="G45" i="60"/>
  <c r="AF44" i="60"/>
  <c r="AE44" i="60"/>
  <c r="V44" i="60"/>
  <c r="O44" i="60"/>
  <c r="N44" i="60"/>
  <c r="P44" i="60" s="1"/>
  <c r="M44" i="60"/>
  <c r="K44" i="60"/>
  <c r="G44" i="60"/>
  <c r="AD43" i="60"/>
  <c r="Z43" i="60"/>
  <c r="Y43" i="60"/>
  <c r="L18" i="59" s="1"/>
  <c r="O43" i="60"/>
  <c r="K43" i="60"/>
  <c r="AF42" i="60"/>
  <c r="AE42" i="60"/>
  <c r="V42" i="60"/>
  <c r="U42" i="60"/>
  <c r="O42" i="60"/>
  <c r="N42" i="60"/>
  <c r="M42" i="60"/>
  <c r="K42" i="60"/>
  <c r="G42" i="60"/>
  <c r="AF41" i="60"/>
  <c r="AE41" i="60"/>
  <c r="V41" i="60"/>
  <c r="M41" i="60" s="1"/>
  <c r="N41" i="60" s="1"/>
  <c r="U41" i="60"/>
  <c r="O41" i="60"/>
  <c r="K41" i="60"/>
  <c r="G41" i="60"/>
  <c r="AF40" i="60"/>
  <c r="AE40" i="60"/>
  <c r="X40" i="60"/>
  <c r="W40" i="60"/>
  <c r="V40" i="60"/>
  <c r="U40" i="60"/>
  <c r="O40" i="60"/>
  <c r="N40" i="60"/>
  <c r="Q40" i="60" s="1"/>
  <c r="M40" i="60"/>
  <c r="K40" i="60"/>
  <c r="G40" i="60"/>
  <c r="AF39" i="60"/>
  <c r="AE39" i="60"/>
  <c r="V39" i="60"/>
  <c r="U39" i="60"/>
  <c r="Q39" i="60"/>
  <c r="P39" i="60"/>
  <c r="O39" i="60"/>
  <c r="N39" i="60"/>
  <c r="M39" i="60"/>
  <c r="K39" i="60"/>
  <c r="G39" i="60"/>
  <c r="V38" i="60"/>
  <c r="U38" i="60"/>
  <c r="O38" i="60"/>
  <c r="M38" i="60"/>
  <c r="AF38" i="60" s="1"/>
  <c r="K38" i="60"/>
  <c r="G38" i="60"/>
  <c r="AF37" i="60"/>
  <c r="AE37" i="60"/>
  <c r="V37" i="60"/>
  <c r="U37" i="60"/>
  <c r="O37" i="60"/>
  <c r="N37" i="60"/>
  <c r="Q37" i="60" s="1"/>
  <c r="M37" i="60"/>
  <c r="K37" i="60"/>
  <c r="G37" i="60"/>
  <c r="X36" i="60"/>
  <c r="W36" i="60"/>
  <c r="V36" i="60"/>
  <c r="M36" i="60" s="1"/>
  <c r="AE36" i="60" s="1"/>
  <c r="O36" i="60"/>
  <c r="K36" i="60"/>
  <c r="G36" i="60"/>
  <c r="AD35" i="60"/>
  <c r="Z35" i="60"/>
  <c r="Y35" i="60"/>
  <c r="O35" i="60"/>
  <c r="M35" i="60"/>
  <c r="K35" i="60"/>
  <c r="AF34" i="60"/>
  <c r="AE34" i="60"/>
  <c r="V34" i="60"/>
  <c r="U34" i="60"/>
  <c r="O34" i="60"/>
  <c r="N34" i="60"/>
  <c r="Q34" i="60" s="1"/>
  <c r="M34" i="60"/>
  <c r="K34" i="60"/>
  <c r="G34" i="60"/>
  <c r="AF33" i="60"/>
  <c r="AE33" i="60"/>
  <c r="V33" i="60"/>
  <c r="U33" i="60"/>
  <c r="O33" i="60"/>
  <c r="N33" i="60"/>
  <c r="Q33" i="60" s="1"/>
  <c r="M33" i="60"/>
  <c r="K33" i="60"/>
  <c r="G33" i="60"/>
  <c r="AF32" i="60"/>
  <c r="AE32" i="60"/>
  <c r="X32" i="60"/>
  <c r="W32" i="60"/>
  <c r="V32" i="60"/>
  <c r="U32" i="60"/>
  <c r="O32" i="60"/>
  <c r="N32" i="60"/>
  <c r="Q32" i="60" s="1"/>
  <c r="M32" i="60"/>
  <c r="K32" i="60"/>
  <c r="G32" i="60"/>
  <c r="AF31" i="60"/>
  <c r="AE31" i="60"/>
  <c r="V31" i="60"/>
  <c r="M31" i="60" s="1"/>
  <c r="N31" i="60" s="1"/>
  <c r="U31" i="60"/>
  <c r="Q31" i="60"/>
  <c r="P31" i="60"/>
  <c r="O31" i="60"/>
  <c r="K31" i="60"/>
  <c r="G31" i="60"/>
  <c r="AF30" i="60"/>
  <c r="AE30" i="60"/>
  <c r="V30" i="60"/>
  <c r="U30" i="60"/>
  <c r="O30" i="60"/>
  <c r="N30" i="60"/>
  <c r="P30" i="60" s="1"/>
  <c r="M30" i="60"/>
  <c r="K30" i="60"/>
  <c r="G30" i="60"/>
  <c r="AF29" i="60"/>
  <c r="AE29" i="60"/>
  <c r="V29" i="60"/>
  <c r="U29" i="60"/>
  <c r="O29" i="60"/>
  <c r="M29" i="60"/>
  <c r="N29" i="60" s="1"/>
  <c r="P29" i="60" s="1"/>
  <c r="K29" i="60"/>
  <c r="G29" i="60"/>
  <c r="AF28" i="60"/>
  <c r="AE28" i="60"/>
  <c r="X28" i="60"/>
  <c r="W28" i="60"/>
  <c r="V28" i="60"/>
  <c r="O28" i="60"/>
  <c r="N28" i="60"/>
  <c r="Q28" i="60" s="1"/>
  <c r="M28" i="60"/>
  <c r="K28" i="60"/>
  <c r="G28" i="60"/>
  <c r="AD27" i="60"/>
  <c r="Z27" i="60"/>
  <c r="Y27" i="60"/>
  <c r="O27" i="60"/>
  <c r="K27" i="60"/>
  <c r="V26" i="60"/>
  <c r="U26" i="60"/>
  <c r="O26" i="60"/>
  <c r="M26" i="60"/>
  <c r="AF26" i="60" s="1"/>
  <c r="K26" i="60"/>
  <c r="G26" i="60"/>
  <c r="AF25" i="60"/>
  <c r="AE25" i="60"/>
  <c r="V25" i="60"/>
  <c r="U25" i="60"/>
  <c r="O25" i="60"/>
  <c r="N25" i="60"/>
  <c r="Q25" i="60" s="1"/>
  <c r="M25" i="60"/>
  <c r="K25" i="60"/>
  <c r="G25" i="60"/>
  <c r="V24" i="60"/>
  <c r="M24" i="60" s="1"/>
  <c r="N24" i="60" s="1"/>
  <c r="P24" i="60" s="1"/>
  <c r="U24" i="60"/>
  <c r="Q24" i="60"/>
  <c r="O24" i="60"/>
  <c r="K24" i="60"/>
  <c r="G24" i="60"/>
  <c r="AF23" i="60"/>
  <c r="AE23" i="60"/>
  <c r="V23" i="60"/>
  <c r="U23" i="60"/>
  <c r="O23" i="60"/>
  <c r="N23" i="60"/>
  <c r="P23" i="60" s="1"/>
  <c r="M23" i="60"/>
  <c r="K23" i="60"/>
  <c r="G23" i="60"/>
  <c r="AF22" i="60"/>
  <c r="AE22" i="60"/>
  <c r="V22" i="60"/>
  <c r="U22" i="60"/>
  <c r="O22" i="60"/>
  <c r="M22" i="60"/>
  <c r="N22" i="60" s="1"/>
  <c r="P22" i="60" s="1"/>
  <c r="K22" i="60"/>
  <c r="G22" i="60"/>
  <c r="V21" i="60"/>
  <c r="U21" i="60"/>
  <c r="O21" i="60"/>
  <c r="M21" i="60"/>
  <c r="K21" i="60"/>
  <c r="G21" i="60"/>
  <c r="AF20" i="60"/>
  <c r="AE20" i="60"/>
  <c r="V20" i="60"/>
  <c r="O20" i="60"/>
  <c r="N20" i="60"/>
  <c r="Q20" i="60" s="1"/>
  <c r="M20" i="60"/>
  <c r="K20" i="60"/>
  <c r="G20" i="60"/>
  <c r="AD19" i="60"/>
  <c r="Z19" i="60"/>
  <c r="Y19" i="60"/>
  <c r="O19" i="60"/>
  <c r="K19" i="60"/>
  <c r="F13" i="59" s="1"/>
  <c r="AF18" i="60"/>
  <c r="AE18" i="60"/>
  <c r="V18" i="60"/>
  <c r="U18" i="60"/>
  <c r="Q18" i="60"/>
  <c r="P18" i="60"/>
  <c r="O18" i="60"/>
  <c r="N18" i="60"/>
  <c r="M18" i="60"/>
  <c r="K18" i="60"/>
  <c r="G18" i="60"/>
  <c r="V17" i="60"/>
  <c r="U17" i="60"/>
  <c r="O17" i="60"/>
  <c r="M17" i="60"/>
  <c r="AF17" i="60" s="1"/>
  <c r="K17" i="60"/>
  <c r="G17" i="60"/>
  <c r="AF16" i="60"/>
  <c r="AE16" i="60"/>
  <c r="V16" i="60"/>
  <c r="U16" i="60"/>
  <c r="O16" i="60"/>
  <c r="N16" i="60"/>
  <c r="Q16" i="60" s="1"/>
  <c r="M16" i="60"/>
  <c r="K16" i="60"/>
  <c r="G16" i="60"/>
  <c r="V15" i="60"/>
  <c r="M15" i="60" s="1"/>
  <c r="N15" i="60" s="1"/>
  <c r="Q15" i="60" s="1"/>
  <c r="U15" i="60"/>
  <c r="P15" i="60"/>
  <c r="O15" i="60"/>
  <c r="K15" i="60"/>
  <c r="G15" i="60"/>
  <c r="AF14" i="60"/>
  <c r="AE14" i="60"/>
  <c r="V14" i="60"/>
  <c r="U14" i="60"/>
  <c r="O14" i="60"/>
  <c r="N14" i="60"/>
  <c r="P14" i="60" s="1"/>
  <c r="M14" i="60"/>
  <c r="K14" i="60"/>
  <c r="G14" i="60"/>
  <c r="AF13" i="60"/>
  <c r="AE13" i="60"/>
  <c r="V13" i="60"/>
  <c r="U13" i="60"/>
  <c r="Q13" i="60"/>
  <c r="O13" i="60"/>
  <c r="M13" i="60"/>
  <c r="N13" i="60" s="1"/>
  <c r="P13" i="60" s="1"/>
  <c r="K13" i="60"/>
  <c r="G13" i="60"/>
  <c r="V12" i="60"/>
  <c r="O12" i="60"/>
  <c r="M12" i="60"/>
  <c r="N12" i="60" s="1"/>
  <c r="K12" i="60"/>
  <c r="G12" i="60"/>
  <c r="AF11" i="60"/>
  <c r="AG9" i="60" s="1"/>
  <c r="AE11" i="60"/>
  <c r="AD11" i="60"/>
  <c r="Z11" i="60"/>
  <c r="Y11" i="60"/>
  <c r="O11" i="60"/>
  <c r="N11" i="60"/>
  <c r="Q11" i="60" s="1"/>
  <c r="R9" i="60" s="1"/>
  <c r="M11" i="60"/>
  <c r="K11" i="60"/>
  <c r="AF10" i="60"/>
  <c r="AE10" i="60"/>
  <c r="V10" i="60"/>
  <c r="U10" i="60"/>
  <c r="O10" i="60"/>
  <c r="N10" i="60"/>
  <c r="P10" i="60" s="1"/>
  <c r="M10" i="60"/>
  <c r="K10" i="60"/>
  <c r="G10" i="60"/>
  <c r="AF9" i="60"/>
  <c r="AE9" i="60"/>
  <c r="X9" i="60"/>
  <c r="W9" i="60"/>
  <c r="V9" i="60"/>
  <c r="O9" i="60"/>
  <c r="N9" i="60"/>
  <c r="P9" i="60" s="1"/>
  <c r="M9" i="60"/>
  <c r="K9" i="60"/>
  <c r="G9" i="60"/>
  <c r="AD8" i="60"/>
  <c r="D21" i="59" s="1"/>
  <c r="Z8" i="60"/>
  <c r="Y8" i="60"/>
  <c r="Y2" i="60" s="1"/>
  <c r="O8" i="60"/>
  <c r="K8" i="60"/>
  <c r="AF7" i="60"/>
  <c r="AE7" i="60"/>
  <c r="V7" i="60"/>
  <c r="U7" i="60"/>
  <c r="O7" i="60"/>
  <c r="N7" i="60"/>
  <c r="M7" i="60"/>
  <c r="K7" i="60"/>
  <c r="G7" i="60"/>
  <c r="AF6" i="60"/>
  <c r="AE6" i="60"/>
  <c r="V6" i="60"/>
  <c r="M6" i="60" s="1"/>
  <c r="N6" i="60" s="1"/>
  <c r="U6" i="60"/>
  <c r="O6" i="60"/>
  <c r="K6" i="60"/>
  <c r="G6" i="60"/>
  <c r="V5" i="60"/>
  <c r="O5" i="60"/>
  <c r="M5" i="60"/>
  <c r="N5" i="60" s="1"/>
  <c r="K5" i="60"/>
  <c r="G5" i="60"/>
  <c r="Z2" i="60"/>
  <c r="H2" i="60"/>
  <c r="H1" i="60"/>
  <c r="D1" i="60"/>
  <c r="M22" i="59"/>
  <c r="L22" i="59"/>
  <c r="K22" i="59"/>
  <c r="J22" i="59"/>
  <c r="I22" i="59"/>
  <c r="H22" i="59"/>
  <c r="G22" i="59"/>
  <c r="F22" i="59"/>
  <c r="E22" i="59"/>
  <c r="D22" i="59"/>
  <c r="M21" i="59"/>
  <c r="L21" i="59"/>
  <c r="K21" i="59"/>
  <c r="J21" i="59"/>
  <c r="I21" i="59"/>
  <c r="H21" i="59"/>
  <c r="G21" i="59"/>
  <c r="F21" i="59"/>
  <c r="E21" i="59"/>
  <c r="M20" i="59"/>
  <c r="L20" i="59"/>
  <c r="K20" i="59"/>
  <c r="J20" i="59"/>
  <c r="I20" i="59"/>
  <c r="H20" i="59"/>
  <c r="G20" i="59"/>
  <c r="F20" i="59"/>
  <c r="E20" i="59"/>
  <c r="D20" i="59"/>
  <c r="M19" i="59"/>
  <c r="L19" i="59"/>
  <c r="K19" i="59"/>
  <c r="J19" i="59"/>
  <c r="I19" i="59"/>
  <c r="H19" i="59"/>
  <c r="G19" i="59"/>
  <c r="F19" i="59"/>
  <c r="E19" i="59"/>
  <c r="D19" i="59"/>
  <c r="M18" i="59"/>
  <c r="K18" i="59"/>
  <c r="J18" i="59"/>
  <c r="I18" i="59"/>
  <c r="H18" i="59"/>
  <c r="G18" i="59"/>
  <c r="F18" i="59"/>
  <c r="E18" i="59"/>
  <c r="D18" i="59"/>
  <c r="M17" i="59"/>
  <c r="L17" i="59"/>
  <c r="K17" i="59"/>
  <c r="J17" i="59"/>
  <c r="I17" i="59"/>
  <c r="H17" i="59"/>
  <c r="G17" i="59"/>
  <c r="F17" i="59"/>
  <c r="E17" i="59"/>
  <c r="D17" i="59"/>
  <c r="M16" i="59"/>
  <c r="L16" i="59"/>
  <c r="K16" i="59"/>
  <c r="J16" i="59"/>
  <c r="I16" i="59"/>
  <c r="H16" i="59"/>
  <c r="G16" i="59"/>
  <c r="F16" i="59"/>
  <c r="E16" i="59"/>
  <c r="D16" i="59"/>
  <c r="E14" i="59"/>
  <c r="E15" i="59" s="1"/>
  <c r="M13" i="59"/>
  <c r="L13" i="59"/>
  <c r="I6" i="59" s="1"/>
  <c r="K13" i="59"/>
  <c r="J13" i="59"/>
  <c r="I13" i="59"/>
  <c r="G13" i="59"/>
  <c r="E13" i="59"/>
  <c r="D13" i="59"/>
  <c r="M6" i="59"/>
  <c r="L6" i="59"/>
  <c r="K6" i="59"/>
  <c r="F3" i="59"/>
  <c r="C3" i="59"/>
  <c r="G8" i="71" l="1"/>
  <c r="E8" i="71"/>
  <c r="F8" i="71"/>
  <c r="I7" i="69"/>
  <c r="E7" i="69"/>
  <c r="D15" i="69"/>
  <c r="G7" i="69"/>
  <c r="F7" i="69"/>
  <c r="I8" i="69"/>
  <c r="P28" i="68"/>
  <c r="Q28" i="68"/>
  <c r="R21" i="68" s="1"/>
  <c r="G14" i="67"/>
  <c r="G15" i="67" s="1"/>
  <c r="P20" i="68"/>
  <c r="F14" i="67"/>
  <c r="F15" i="67" s="1"/>
  <c r="Q20" i="68"/>
  <c r="R13" i="68" s="1"/>
  <c r="Q35" i="68"/>
  <c r="R29" i="68" s="1"/>
  <c r="P35" i="68"/>
  <c r="K14" i="67"/>
  <c r="Q42" i="68"/>
  <c r="R36" i="68" s="1"/>
  <c r="P42" i="68"/>
  <c r="L14" i="67"/>
  <c r="L15" i="67" s="1"/>
  <c r="Q9" i="68"/>
  <c r="R5" i="68" s="1"/>
  <c r="D2" i="68"/>
  <c r="P9" i="68"/>
  <c r="D14" i="67"/>
  <c r="Q12" i="68"/>
  <c r="R10" i="68" s="1"/>
  <c r="P12" i="68"/>
  <c r="E14" i="67"/>
  <c r="E15" i="67" s="1"/>
  <c r="Q46" i="68"/>
  <c r="R43" i="68" s="1"/>
  <c r="P46" i="68"/>
  <c r="H14" i="67"/>
  <c r="H15" i="67" s="1"/>
  <c r="Q67" i="68"/>
  <c r="R62" i="68" s="1"/>
  <c r="P67" i="68"/>
  <c r="M14" i="67"/>
  <c r="M15" i="67" s="1"/>
  <c r="L14" i="65"/>
  <c r="Q40" i="66"/>
  <c r="R34" i="66" s="1"/>
  <c r="P40" i="66"/>
  <c r="Q45" i="66"/>
  <c r="P45" i="66"/>
  <c r="M14" i="65"/>
  <c r="M15" i="65" s="1"/>
  <c r="Q65" i="66"/>
  <c r="R60" i="66" s="1"/>
  <c r="P65" i="66"/>
  <c r="P52" i="66"/>
  <c r="Q52" i="66"/>
  <c r="R45" i="66" s="1"/>
  <c r="I14" i="65"/>
  <c r="I15" i="65" s="1"/>
  <c r="P27" i="66"/>
  <c r="Q27" i="66"/>
  <c r="R20" i="66" s="1"/>
  <c r="G14" i="65"/>
  <c r="Q12" i="60"/>
  <c r="P12" i="60"/>
  <c r="Q65" i="60"/>
  <c r="P65" i="60"/>
  <c r="P5" i="60"/>
  <c r="Q5" i="60"/>
  <c r="M69" i="60"/>
  <c r="AF63" i="60"/>
  <c r="AE63" i="60"/>
  <c r="N38" i="60"/>
  <c r="AF58" i="60"/>
  <c r="AE58" i="60"/>
  <c r="N63" i="60"/>
  <c r="M19" i="60"/>
  <c r="P28" i="60"/>
  <c r="P40" i="60"/>
  <c r="M55" i="60"/>
  <c r="AF49" i="60"/>
  <c r="AE49" i="60"/>
  <c r="N26" i="60"/>
  <c r="AF36" i="60"/>
  <c r="AE38" i="60"/>
  <c r="N45" i="60"/>
  <c r="Q56" i="60"/>
  <c r="Q66" i="60"/>
  <c r="Q6" i="60"/>
  <c r="P6" i="60"/>
  <c r="N54" i="60"/>
  <c r="AE5" i="60"/>
  <c r="M8" i="60"/>
  <c r="AF5" i="60"/>
  <c r="AF65" i="60"/>
  <c r="AE65" i="60"/>
  <c r="Q42" i="60"/>
  <c r="P42" i="60"/>
  <c r="N58" i="60"/>
  <c r="Q10" i="60"/>
  <c r="N17" i="60"/>
  <c r="M47" i="60"/>
  <c r="N49" i="60"/>
  <c r="N68" i="60"/>
  <c r="AE15" i="60"/>
  <c r="AE35" i="60"/>
  <c r="AF35" i="60"/>
  <c r="AG28" i="60" s="1"/>
  <c r="AE61" i="60"/>
  <c r="AF15" i="60"/>
  <c r="Q22" i="60"/>
  <c r="N35" i="60"/>
  <c r="AF61" i="60"/>
  <c r="AE68" i="60"/>
  <c r="AE24" i="60"/>
  <c r="AE26" i="60"/>
  <c r="AE45" i="60"/>
  <c r="Q64" i="60"/>
  <c r="P64" i="60"/>
  <c r="AE12" i="60"/>
  <c r="AF12" i="60"/>
  <c r="G6" i="59"/>
  <c r="F6" i="59"/>
  <c r="E6" i="59"/>
  <c r="M27" i="60"/>
  <c r="AF21" i="60"/>
  <c r="AE21" i="60"/>
  <c r="M43" i="60"/>
  <c r="N36" i="60"/>
  <c r="N21" i="60"/>
  <c r="AE17" i="60"/>
  <c r="AF24" i="60"/>
  <c r="Q50" i="60"/>
  <c r="AE64" i="60"/>
  <c r="Q7" i="60"/>
  <c r="P7" i="60"/>
  <c r="P33" i="60"/>
  <c r="AE52" i="60"/>
  <c r="AE54" i="60"/>
  <c r="AF64" i="60"/>
  <c r="AD2" i="60"/>
  <c r="N6" i="59" s="1"/>
  <c r="Q29" i="60"/>
  <c r="Q41" i="60"/>
  <c r="P41" i="60"/>
  <c r="AF52" i="60"/>
  <c r="N57" i="60"/>
  <c r="M62" i="60"/>
  <c r="F1" i="60"/>
  <c r="Q9" i="60"/>
  <c r="P16" i="60"/>
  <c r="P25" i="60"/>
  <c r="P32" i="60"/>
  <c r="P37" i="60"/>
  <c r="Q44" i="60"/>
  <c r="P53" i="60"/>
  <c r="Q14" i="60"/>
  <c r="Q23" i="60"/>
  <c r="Q30" i="60"/>
  <c r="Q51" i="60"/>
  <c r="Q60" i="60"/>
  <c r="P11" i="60"/>
  <c r="P20" i="60"/>
  <c r="P34" i="60"/>
  <c r="P48" i="60"/>
  <c r="P67" i="60"/>
  <c r="AD72" i="56"/>
  <c r="Z72" i="56"/>
  <c r="Y72" i="56"/>
  <c r="O72" i="56"/>
  <c r="K72" i="56"/>
  <c r="V71" i="56"/>
  <c r="U71" i="56"/>
  <c r="O71" i="56"/>
  <c r="M71" i="56"/>
  <c r="N71" i="56" s="1"/>
  <c r="K71" i="56"/>
  <c r="G71" i="56"/>
  <c r="V70" i="56"/>
  <c r="U70" i="56"/>
  <c r="O70" i="56"/>
  <c r="N70" i="56"/>
  <c r="M70" i="56"/>
  <c r="K70" i="56"/>
  <c r="G70" i="56"/>
  <c r="AF69" i="56"/>
  <c r="AE69" i="56"/>
  <c r="X69" i="56"/>
  <c r="W69" i="56"/>
  <c r="V69" i="56"/>
  <c r="M69" i="56" s="1"/>
  <c r="N69" i="56" s="1"/>
  <c r="P69" i="56" s="1"/>
  <c r="U69" i="56"/>
  <c r="Q69" i="56"/>
  <c r="O69" i="56"/>
  <c r="K69" i="56"/>
  <c r="G69" i="56"/>
  <c r="V68" i="56"/>
  <c r="U68" i="56"/>
  <c r="O68" i="56"/>
  <c r="M68" i="56"/>
  <c r="N68" i="56" s="1"/>
  <c r="K68" i="56"/>
  <c r="G68" i="56"/>
  <c r="AF67" i="56"/>
  <c r="V67" i="56"/>
  <c r="M67" i="56" s="1"/>
  <c r="N67" i="56" s="1"/>
  <c r="U67" i="56"/>
  <c r="O67" i="56"/>
  <c r="K67" i="56"/>
  <c r="G67" i="56"/>
  <c r="V66" i="56"/>
  <c r="U66" i="56"/>
  <c r="O66" i="56"/>
  <c r="M66" i="56"/>
  <c r="N66" i="56" s="1"/>
  <c r="K66" i="56"/>
  <c r="G66" i="56"/>
  <c r="X65" i="56"/>
  <c r="W65" i="56"/>
  <c r="V65" i="56"/>
  <c r="O65" i="56"/>
  <c r="M65" i="56"/>
  <c r="K65" i="56"/>
  <c r="G65" i="56"/>
  <c r="AD64" i="56"/>
  <c r="Z64" i="56"/>
  <c r="Y64" i="56"/>
  <c r="J18" i="55" s="1"/>
  <c r="O64" i="56"/>
  <c r="K64" i="56"/>
  <c r="V63" i="56"/>
  <c r="U63" i="56"/>
  <c r="O63" i="56"/>
  <c r="M63" i="56"/>
  <c r="N63" i="56" s="1"/>
  <c r="K63" i="56"/>
  <c r="G63" i="56"/>
  <c r="AF62" i="56"/>
  <c r="V62" i="56"/>
  <c r="M62" i="56" s="1"/>
  <c r="N62" i="56" s="1"/>
  <c r="P62" i="56" s="1"/>
  <c r="U62" i="56"/>
  <c r="Q62" i="56"/>
  <c r="O62" i="56"/>
  <c r="K62" i="56"/>
  <c r="G62" i="56"/>
  <c r="V61" i="56"/>
  <c r="U61" i="56"/>
  <c r="O61" i="56"/>
  <c r="N61" i="56"/>
  <c r="Q61" i="56" s="1"/>
  <c r="M61" i="56"/>
  <c r="K61" i="56"/>
  <c r="G61" i="56"/>
  <c r="AF60" i="56"/>
  <c r="V60" i="56"/>
  <c r="M60" i="56" s="1"/>
  <c r="N60" i="56" s="1"/>
  <c r="U60" i="56"/>
  <c r="O60" i="56"/>
  <c r="K60" i="56"/>
  <c r="G60" i="56"/>
  <c r="V59" i="56"/>
  <c r="U59" i="56"/>
  <c r="O59" i="56"/>
  <c r="M59" i="56"/>
  <c r="N59" i="56" s="1"/>
  <c r="K59" i="56"/>
  <c r="G59" i="56"/>
  <c r="V58" i="56"/>
  <c r="O58" i="56"/>
  <c r="M58" i="56"/>
  <c r="AF58" i="56" s="1"/>
  <c r="K58" i="56"/>
  <c r="G58" i="56"/>
  <c r="AD57" i="56"/>
  <c r="Z57" i="56"/>
  <c r="Y57" i="56"/>
  <c r="I18" i="55" s="1"/>
  <c r="O57" i="56"/>
  <c r="K57" i="56"/>
  <c r="V56" i="56"/>
  <c r="U56" i="56"/>
  <c r="O56" i="56"/>
  <c r="M56" i="56"/>
  <c r="K56" i="56"/>
  <c r="G56" i="56"/>
  <c r="V55" i="56"/>
  <c r="M55" i="56" s="1"/>
  <c r="N55" i="56" s="1"/>
  <c r="Q55" i="56" s="1"/>
  <c r="U55" i="56"/>
  <c r="O55" i="56"/>
  <c r="K55" i="56"/>
  <c r="G55" i="56"/>
  <c r="V54" i="56"/>
  <c r="U54" i="56"/>
  <c r="O54" i="56"/>
  <c r="M54" i="56"/>
  <c r="N54" i="56" s="1"/>
  <c r="K54" i="56"/>
  <c r="G54" i="56"/>
  <c r="V53" i="56"/>
  <c r="M53" i="56" s="1"/>
  <c r="N53" i="56" s="1"/>
  <c r="P53" i="56" s="1"/>
  <c r="U53" i="56"/>
  <c r="Q53" i="56"/>
  <c r="O53" i="56"/>
  <c r="K53" i="56"/>
  <c r="G53" i="56"/>
  <c r="V52" i="56"/>
  <c r="U52" i="56"/>
  <c r="O52" i="56"/>
  <c r="N52" i="56"/>
  <c r="Q52" i="56" s="1"/>
  <c r="M52" i="56"/>
  <c r="K52" i="56"/>
  <c r="G52" i="56"/>
  <c r="V51" i="56"/>
  <c r="M51" i="56" s="1"/>
  <c r="N51" i="56" s="1"/>
  <c r="U51" i="56"/>
  <c r="O51" i="56"/>
  <c r="K51" i="56"/>
  <c r="G51" i="56"/>
  <c r="V50" i="56"/>
  <c r="M50" i="56" s="1"/>
  <c r="O50" i="56"/>
  <c r="K50" i="56"/>
  <c r="G50" i="56"/>
  <c r="AD49" i="56"/>
  <c r="Z49" i="56"/>
  <c r="Y49" i="56"/>
  <c r="O49" i="56"/>
  <c r="K49" i="56"/>
  <c r="V48" i="56"/>
  <c r="M48" i="56" s="1"/>
  <c r="U48" i="56"/>
  <c r="O48" i="56"/>
  <c r="K48" i="56"/>
  <c r="G48" i="56"/>
  <c r="V47" i="56"/>
  <c r="U47" i="56"/>
  <c r="O47" i="56"/>
  <c r="M47" i="56"/>
  <c r="K47" i="56"/>
  <c r="G47" i="56"/>
  <c r="V46" i="56"/>
  <c r="M46" i="56" s="1"/>
  <c r="AF46" i="56" s="1"/>
  <c r="O46" i="56"/>
  <c r="K46" i="56"/>
  <c r="G46" i="56"/>
  <c r="AD45" i="56"/>
  <c r="Z45" i="56"/>
  <c r="Y45" i="56"/>
  <c r="L18" i="55" s="1"/>
  <c r="O45" i="56"/>
  <c r="K45" i="56"/>
  <c r="V44" i="56"/>
  <c r="M44" i="56" s="1"/>
  <c r="N44" i="56" s="1"/>
  <c r="U44" i="56"/>
  <c r="O44" i="56"/>
  <c r="K44" i="56"/>
  <c r="G44" i="56"/>
  <c r="V43" i="56"/>
  <c r="U43" i="56"/>
  <c r="O43" i="56"/>
  <c r="M43" i="56"/>
  <c r="K43" i="56"/>
  <c r="G43" i="56"/>
  <c r="AF42" i="56"/>
  <c r="AE42" i="56"/>
  <c r="V42" i="56"/>
  <c r="U42" i="56"/>
  <c r="O42" i="56"/>
  <c r="M42" i="56"/>
  <c r="N42" i="56" s="1"/>
  <c r="K42" i="56"/>
  <c r="G42" i="56"/>
  <c r="X41" i="56"/>
  <c r="W41" i="56"/>
  <c r="V41" i="56"/>
  <c r="M41" i="56" s="1"/>
  <c r="U41" i="56"/>
  <c r="O41" i="56"/>
  <c r="K41" i="56"/>
  <c r="G41" i="56"/>
  <c r="V40" i="56"/>
  <c r="U40" i="56"/>
  <c r="O40" i="56"/>
  <c r="M40" i="56"/>
  <c r="K40" i="56"/>
  <c r="G40" i="56"/>
  <c r="V39" i="56"/>
  <c r="M39" i="56" s="1"/>
  <c r="N39" i="56" s="1"/>
  <c r="Q39" i="56" s="1"/>
  <c r="U39" i="56"/>
  <c r="P39" i="56"/>
  <c r="O39" i="56"/>
  <c r="K39" i="56"/>
  <c r="G39" i="56"/>
  <c r="V38" i="56"/>
  <c r="U38" i="56"/>
  <c r="O38" i="56"/>
  <c r="N38" i="56"/>
  <c r="M38" i="56"/>
  <c r="K38" i="56"/>
  <c r="G38" i="56"/>
  <c r="AF37" i="56"/>
  <c r="AE37" i="56"/>
  <c r="X37" i="56"/>
  <c r="W37" i="56"/>
  <c r="V37" i="56"/>
  <c r="O37" i="56"/>
  <c r="M37" i="56"/>
  <c r="N37" i="56" s="1"/>
  <c r="K37" i="56"/>
  <c r="G37" i="56"/>
  <c r="AD36" i="56"/>
  <c r="K21" i="55" s="1"/>
  <c r="Z36" i="56"/>
  <c r="K19" i="55" s="1"/>
  <c r="Y36" i="56"/>
  <c r="K18" i="55" s="1"/>
  <c r="O36" i="56"/>
  <c r="K36" i="56"/>
  <c r="V35" i="56"/>
  <c r="U35" i="56"/>
  <c r="O35" i="56"/>
  <c r="M35" i="56"/>
  <c r="AF35" i="56" s="1"/>
  <c r="K35" i="56"/>
  <c r="G35" i="56"/>
  <c r="V34" i="56"/>
  <c r="M34" i="56" s="1"/>
  <c r="U34" i="56"/>
  <c r="O34" i="56"/>
  <c r="K34" i="56"/>
  <c r="G34" i="56"/>
  <c r="X33" i="56"/>
  <c r="W33" i="56"/>
  <c r="V33" i="56"/>
  <c r="U33" i="56"/>
  <c r="O33" i="56"/>
  <c r="M33" i="56"/>
  <c r="K33" i="56"/>
  <c r="G33" i="56"/>
  <c r="AF32" i="56"/>
  <c r="AE32" i="56"/>
  <c r="V32" i="56"/>
  <c r="M32" i="56" s="1"/>
  <c r="N32" i="56" s="1"/>
  <c r="P32" i="56" s="1"/>
  <c r="U32" i="56"/>
  <c r="O32" i="56"/>
  <c r="K32" i="56"/>
  <c r="G32" i="56"/>
  <c r="V31" i="56"/>
  <c r="U31" i="56"/>
  <c r="O31" i="56"/>
  <c r="M31" i="56"/>
  <c r="N31" i="56" s="1"/>
  <c r="K31" i="56"/>
  <c r="G31" i="56"/>
  <c r="V30" i="56"/>
  <c r="M30" i="56" s="1"/>
  <c r="N30" i="56" s="1"/>
  <c r="U30" i="56"/>
  <c r="O30" i="56"/>
  <c r="K30" i="56"/>
  <c r="G30" i="56"/>
  <c r="X29" i="56"/>
  <c r="W29" i="56"/>
  <c r="V29" i="56"/>
  <c r="M29" i="56" s="1"/>
  <c r="O29" i="56"/>
  <c r="K29" i="56"/>
  <c r="G29" i="56"/>
  <c r="AD28" i="56"/>
  <c r="Z28" i="56"/>
  <c r="Y28" i="56"/>
  <c r="O28" i="56"/>
  <c r="K28" i="56"/>
  <c r="V27" i="56"/>
  <c r="M27" i="56" s="1"/>
  <c r="N27" i="56" s="1"/>
  <c r="P27" i="56" s="1"/>
  <c r="U27" i="56"/>
  <c r="Q27" i="56"/>
  <c r="O27" i="56"/>
  <c r="K27" i="56"/>
  <c r="G27" i="56"/>
  <c r="V26" i="56"/>
  <c r="U26" i="56"/>
  <c r="O26" i="56"/>
  <c r="M26" i="56"/>
  <c r="K26" i="56"/>
  <c r="G26" i="56"/>
  <c r="V25" i="56"/>
  <c r="M25" i="56" s="1"/>
  <c r="N25" i="56" s="1"/>
  <c r="P25" i="56" s="1"/>
  <c r="U25" i="56"/>
  <c r="Q25" i="56"/>
  <c r="O25" i="56"/>
  <c r="K25" i="56"/>
  <c r="G25" i="56"/>
  <c r="V24" i="56"/>
  <c r="U24" i="56"/>
  <c r="O24" i="56"/>
  <c r="M24" i="56"/>
  <c r="K24" i="56"/>
  <c r="G24" i="56"/>
  <c r="V23" i="56"/>
  <c r="M23" i="56" s="1"/>
  <c r="N23" i="56" s="1"/>
  <c r="U23" i="56"/>
  <c r="O23" i="56"/>
  <c r="K23" i="56"/>
  <c r="G23" i="56"/>
  <c r="V22" i="56"/>
  <c r="M22" i="56" s="1"/>
  <c r="U22" i="56"/>
  <c r="O22" i="56"/>
  <c r="K22" i="56"/>
  <c r="G22" i="56"/>
  <c r="V21" i="56"/>
  <c r="O21" i="56"/>
  <c r="M21" i="56"/>
  <c r="AF21" i="56" s="1"/>
  <c r="K21" i="56"/>
  <c r="G21" i="56"/>
  <c r="AD20" i="56"/>
  <c r="F21" i="55" s="1"/>
  <c r="Z20" i="56"/>
  <c r="F19" i="55" s="1"/>
  <c r="Y20" i="56"/>
  <c r="Y2" i="56" s="1"/>
  <c r="K6" i="55" s="1"/>
  <c r="O20" i="56"/>
  <c r="K20" i="56"/>
  <c r="V19" i="56"/>
  <c r="U19" i="56"/>
  <c r="O19" i="56"/>
  <c r="M19" i="56"/>
  <c r="K19" i="56"/>
  <c r="G19" i="56"/>
  <c r="AF18" i="56"/>
  <c r="V18" i="56"/>
  <c r="M18" i="56" s="1"/>
  <c r="N18" i="56" s="1"/>
  <c r="U18" i="56"/>
  <c r="Q18" i="56"/>
  <c r="P18" i="56"/>
  <c r="O18" i="56"/>
  <c r="K18" i="56"/>
  <c r="G18" i="56"/>
  <c r="V17" i="56"/>
  <c r="U17" i="56"/>
  <c r="O17" i="56"/>
  <c r="M17" i="56"/>
  <c r="N17" i="56" s="1"/>
  <c r="K17" i="56"/>
  <c r="G17" i="56"/>
  <c r="AF16" i="56"/>
  <c r="V16" i="56"/>
  <c r="M16" i="56" s="1"/>
  <c r="N16" i="56" s="1"/>
  <c r="P16" i="56" s="1"/>
  <c r="U16" i="56"/>
  <c r="Q16" i="56"/>
  <c r="O16" i="56"/>
  <c r="K16" i="56"/>
  <c r="G16" i="56"/>
  <c r="V15" i="56"/>
  <c r="U15" i="56"/>
  <c r="O15" i="56"/>
  <c r="N15" i="56"/>
  <c r="Q15" i="56" s="1"/>
  <c r="M15" i="56"/>
  <c r="K15" i="56"/>
  <c r="G15" i="56"/>
  <c r="AF14" i="56"/>
  <c r="V14" i="56"/>
  <c r="M14" i="56" s="1"/>
  <c r="N14" i="56" s="1"/>
  <c r="U14" i="56"/>
  <c r="O14" i="56"/>
  <c r="K14" i="56"/>
  <c r="G14" i="56"/>
  <c r="V13" i="56"/>
  <c r="O13" i="56"/>
  <c r="M13" i="56"/>
  <c r="AE13" i="56" s="1"/>
  <c r="K13" i="56"/>
  <c r="G13" i="56"/>
  <c r="AD12" i="56"/>
  <c r="Z12" i="56"/>
  <c r="E19" i="55" s="1"/>
  <c r="Y12" i="56"/>
  <c r="O12" i="56"/>
  <c r="K12" i="56"/>
  <c r="AE11" i="56"/>
  <c r="V11" i="56"/>
  <c r="U11" i="56"/>
  <c r="O11" i="56"/>
  <c r="M11" i="56"/>
  <c r="AF11" i="56" s="1"/>
  <c r="K11" i="56"/>
  <c r="G11" i="56"/>
  <c r="X10" i="56"/>
  <c r="W10" i="56"/>
  <c r="V10" i="56"/>
  <c r="O10" i="56"/>
  <c r="M10" i="56"/>
  <c r="N10" i="56" s="1"/>
  <c r="K10" i="56"/>
  <c r="G10" i="56"/>
  <c r="AD9" i="56"/>
  <c r="D21" i="55" s="1"/>
  <c r="Z9" i="56"/>
  <c r="D19" i="55" s="1"/>
  <c r="Y9" i="56"/>
  <c r="O9" i="56"/>
  <c r="K9" i="56"/>
  <c r="V8" i="56"/>
  <c r="U8" i="56"/>
  <c r="O8" i="56"/>
  <c r="M8" i="56"/>
  <c r="N8" i="56" s="1"/>
  <c r="K8" i="56"/>
  <c r="G8" i="56"/>
  <c r="AF7" i="56"/>
  <c r="AE7" i="56"/>
  <c r="X7" i="56"/>
  <c r="W7" i="56"/>
  <c r="V7" i="56"/>
  <c r="U7" i="56"/>
  <c r="O7" i="56"/>
  <c r="M7" i="56"/>
  <c r="N7" i="56" s="1"/>
  <c r="K7" i="56"/>
  <c r="G7" i="56"/>
  <c r="V6" i="56"/>
  <c r="M6" i="56" s="1"/>
  <c r="U6" i="56"/>
  <c r="O6" i="56"/>
  <c r="K6" i="56"/>
  <c r="G6" i="56"/>
  <c r="V5" i="56"/>
  <c r="O5" i="56"/>
  <c r="M5" i="56"/>
  <c r="K5" i="56"/>
  <c r="G5" i="56"/>
  <c r="H2" i="56"/>
  <c r="H1" i="56"/>
  <c r="D1" i="56"/>
  <c r="M22" i="55"/>
  <c r="L22" i="55"/>
  <c r="K22" i="55"/>
  <c r="J22" i="55"/>
  <c r="I22" i="55"/>
  <c r="H22" i="55"/>
  <c r="G22" i="55"/>
  <c r="F22" i="55"/>
  <c r="E22" i="55"/>
  <c r="D22" i="55"/>
  <c r="M21" i="55"/>
  <c r="L21" i="55"/>
  <c r="J21" i="55"/>
  <c r="I21" i="55"/>
  <c r="H21" i="55"/>
  <c r="G21" i="55"/>
  <c r="E21" i="55"/>
  <c r="M20" i="55"/>
  <c r="L20" i="55"/>
  <c r="K20" i="55"/>
  <c r="J20" i="55"/>
  <c r="I20" i="55"/>
  <c r="H20" i="55"/>
  <c r="G20" i="55"/>
  <c r="F20" i="55"/>
  <c r="E20" i="55"/>
  <c r="D20" i="55"/>
  <c r="M19" i="55"/>
  <c r="L19" i="55"/>
  <c r="J19" i="55"/>
  <c r="I19" i="55"/>
  <c r="H19" i="55"/>
  <c r="G19" i="55"/>
  <c r="M18" i="55"/>
  <c r="H18" i="55"/>
  <c r="G18" i="55"/>
  <c r="F18" i="55"/>
  <c r="E18" i="55"/>
  <c r="D18" i="55"/>
  <c r="M17" i="55"/>
  <c r="L17" i="55"/>
  <c r="K17" i="55"/>
  <c r="J17" i="55"/>
  <c r="I17" i="55"/>
  <c r="H17" i="55"/>
  <c r="G17" i="55"/>
  <c r="F17" i="55"/>
  <c r="E17" i="55"/>
  <c r="D17" i="55"/>
  <c r="M16" i="55"/>
  <c r="L16" i="55"/>
  <c r="K16" i="55"/>
  <c r="J16" i="55"/>
  <c r="I16" i="55"/>
  <c r="H16" i="55"/>
  <c r="G16" i="55"/>
  <c r="F16" i="55"/>
  <c r="E16" i="55"/>
  <c r="D16" i="55"/>
  <c r="M13" i="55"/>
  <c r="L13" i="55"/>
  <c r="K13" i="55"/>
  <c r="I6" i="55" s="1"/>
  <c r="J13" i="55"/>
  <c r="I13" i="55"/>
  <c r="H13" i="55"/>
  <c r="G13" i="55"/>
  <c r="F13" i="55"/>
  <c r="E13" i="55"/>
  <c r="D13" i="55"/>
  <c r="F6" i="55" s="1"/>
  <c r="M6" i="55"/>
  <c r="F3" i="55"/>
  <c r="C3" i="55"/>
  <c r="F8" i="69" l="1"/>
  <c r="E8" i="69"/>
  <c r="G8" i="69"/>
  <c r="K15" i="67"/>
  <c r="I8" i="67" s="1"/>
  <c r="I7" i="67"/>
  <c r="D15" i="67"/>
  <c r="G7" i="67"/>
  <c r="F7" i="67"/>
  <c r="E7" i="67"/>
  <c r="G15" i="65"/>
  <c r="E7" i="65"/>
  <c r="F7" i="65"/>
  <c r="L15" i="65"/>
  <c r="I8" i="65" s="1"/>
  <c r="I7" i="65"/>
  <c r="G7" i="65"/>
  <c r="Q49" i="60"/>
  <c r="P49" i="60"/>
  <c r="AF47" i="60"/>
  <c r="AG44" i="60" s="1"/>
  <c r="AE47" i="60"/>
  <c r="N47" i="60"/>
  <c r="Q17" i="60"/>
  <c r="P17" i="60"/>
  <c r="Q38" i="60"/>
  <c r="P38" i="60"/>
  <c r="K14" i="59"/>
  <c r="Q35" i="60"/>
  <c r="R28" i="60" s="1"/>
  <c r="P35" i="60"/>
  <c r="Q54" i="60"/>
  <c r="P54" i="60"/>
  <c r="AF69" i="60"/>
  <c r="AG63" i="60" s="1"/>
  <c r="AE69" i="60"/>
  <c r="N69" i="60"/>
  <c r="Q21" i="60"/>
  <c r="P21" i="60"/>
  <c r="Q58" i="60"/>
  <c r="P58" i="60"/>
  <c r="N8" i="60"/>
  <c r="AF8" i="60"/>
  <c r="AG5" i="60" s="1"/>
  <c r="AE8" i="60"/>
  <c r="Q36" i="60"/>
  <c r="P36" i="60"/>
  <c r="AF62" i="60"/>
  <c r="AG56" i="60" s="1"/>
  <c r="AE62" i="60"/>
  <c r="N62" i="60"/>
  <c r="Q57" i="60"/>
  <c r="P57" i="60"/>
  <c r="Q26" i="60"/>
  <c r="P26" i="60"/>
  <c r="AF55" i="60"/>
  <c r="AG48" i="60" s="1"/>
  <c r="AE55" i="60"/>
  <c r="N55" i="60"/>
  <c r="AF19" i="60"/>
  <c r="AG12" i="60" s="1"/>
  <c r="AE19" i="60"/>
  <c r="N19" i="60"/>
  <c r="Q63" i="60"/>
  <c r="P63" i="60"/>
  <c r="F2" i="60"/>
  <c r="I3" i="59"/>
  <c r="N43" i="60"/>
  <c r="AF43" i="60"/>
  <c r="AG36" i="60" s="1"/>
  <c r="AE43" i="60"/>
  <c r="Q45" i="60"/>
  <c r="P45" i="60"/>
  <c r="AF27" i="60"/>
  <c r="AG20" i="60" s="1"/>
  <c r="AE27" i="60"/>
  <c r="N27" i="60"/>
  <c r="Q68" i="60"/>
  <c r="P68" i="60"/>
  <c r="Q10" i="56"/>
  <c r="P10" i="56"/>
  <c r="M57" i="56"/>
  <c r="AF50" i="56"/>
  <c r="N50" i="56"/>
  <c r="AE50" i="56"/>
  <c r="P54" i="56"/>
  <c r="Q54" i="56"/>
  <c r="Q17" i="56"/>
  <c r="P17" i="56"/>
  <c r="Q31" i="56"/>
  <c r="P31" i="56"/>
  <c r="Q68" i="56"/>
  <c r="P68" i="56"/>
  <c r="AE34" i="56"/>
  <c r="N34" i="56"/>
  <c r="AF34" i="56"/>
  <c r="P71" i="56"/>
  <c r="Q71" i="56"/>
  <c r="P8" i="56"/>
  <c r="Q8" i="56"/>
  <c r="Q59" i="56"/>
  <c r="P59" i="56"/>
  <c r="Q63" i="56"/>
  <c r="P63" i="56"/>
  <c r="AF41" i="56"/>
  <c r="N41" i="56"/>
  <c r="AE41" i="56"/>
  <c r="N48" i="56"/>
  <c r="AE48" i="56"/>
  <c r="AF48" i="56"/>
  <c r="P66" i="56"/>
  <c r="Q66" i="56"/>
  <c r="AF29" i="56"/>
  <c r="M36" i="56"/>
  <c r="N29" i="56"/>
  <c r="AE29" i="56"/>
  <c r="N6" i="56"/>
  <c r="AF6" i="56"/>
  <c r="AE6" i="56"/>
  <c r="AF22" i="56"/>
  <c r="AE22" i="56"/>
  <c r="N22" i="56"/>
  <c r="M28" i="56"/>
  <c r="AE55" i="56"/>
  <c r="AF15" i="56"/>
  <c r="AE15" i="56"/>
  <c r="AE27" i="56"/>
  <c r="Q32" i="56"/>
  <c r="AE61" i="56"/>
  <c r="AF61" i="56"/>
  <c r="AE53" i="56"/>
  <c r="AF56" i="56"/>
  <c r="AE56" i="56"/>
  <c r="N56" i="56"/>
  <c r="AE23" i="56"/>
  <c r="AF30" i="56"/>
  <c r="AF33" i="56"/>
  <c r="AE33" i="56"/>
  <c r="Q42" i="56"/>
  <c r="P42" i="56"/>
  <c r="AE44" i="56"/>
  <c r="N11" i="56"/>
  <c r="AF23" i="56"/>
  <c r="AF26" i="56"/>
  <c r="AE26" i="56"/>
  <c r="N33" i="56"/>
  <c r="AF44" i="56"/>
  <c r="E6" i="55"/>
  <c r="AE18" i="56"/>
  <c r="N26" i="56"/>
  <c r="AF40" i="56"/>
  <c r="AE40" i="56"/>
  <c r="N40" i="56"/>
  <c r="AE52" i="56"/>
  <c r="AF52" i="56"/>
  <c r="Q37" i="56"/>
  <c r="P37" i="56"/>
  <c r="AE46" i="56"/>
  <c r="AE51" i="56"/>
  <c r="Q23" i="56"/>
  <c r="P23" i="56"/>
  <c r="AE8" i="56"/>
  <c r="AF8" i="56"/>
  <c r="AF27" i="56"/>
  <c r="AF66" i="56"/>
  <c r="AE66" i="56"/>
  <c r="AE25" i="56"/>
  <c r="Z2" i="56"/>
  <c r="L6" i="55" s="1"/>
  <c r="M45" i="56"/>
  <c r="AE24" i="56"/>
  <c r="AF24" i="56"/>
  <c r="AF71" i="56"/>
  <c r="F1" i="56"/>
  <c r="N24" i="56"/>
  <c r="P52" i="56"/>
  <c r="Q67" i="56"/>
  <c r="P67" i="56"/>
  <c r="AE31" i="56"/>
  <c r="AF31" i="56"/>
  <c r="AF47" i="56"/>
  <c r="AE47" i="56"/>
  <c r="N47" i="56"/>
  <c r="AE71" i="56"/>
  <c r="G6" i="55"/>
  <c r="AE16" i="56"/>
  <c r="AF19" i="56"/>
  <c r="AE19" i="56"/>
  <c r="N19" i="56"/>
  <c r="AF38" i="56"/>
  <c r="AE38" i="56"/>
  <c r="AE62" i="56"/>
  <c r="AF65" i="56"/>
  <c r="AE65" i="56"/>
  <c r="M72" i="56"/>
  <c r="N65" i="56"/>
  <c r="AE67" i="56"/>
  <c r="AF10" i="56"/>
  <c r="M12" i="56"/>
  <c r="AE10" i="56"/>
  <c r="AF17" i="56"/>
  <c r="AE17" i="56"/>
  <c r="AF55" i="56"/>
  <c r="M20" i="56"/>
  <c r="AF13" i="56"/>
  <c r="P15" i="56"/>
  <c r="AF53" i="56"/>
  <c r="P61" i="56"/>
  <c r="AE30" i="56"/>
  <c r="AF39" i="56"/>
  <c r="AF51" i="56"/>
  <c r="AF54" i="56"/>
  <c r="AE54" i="56"/>
  <c r="AF5" i="56"/>
  <c r="AE5" i="56"/>
  <c r="M9" i="56"/>
  <c r="Q38" i="56"/>
  <c r="P38" i="56"/>
  <c r="P55" i="56"/>
  <c r="AF63" i="56"/>
  <c r="AE63" i="56"/>
  <c r="AE68" i="56"/>
  <c r="AF68" i="56"/>
  <c r="P70" i="56"/>
  <c r="Q70" i="56"/>
  <c r="N13" i="56"/>
  <c r="N46" i="56"/>
  <c r="M49" i="56"/>
  <c r="Q51" i="56"/>
  <c r="P51" i="56"/>
  <c r="AF59" i="56"/>
  <c r="AE59" i="56"/>
  <c r="AF25" i="56"/>
  <c r="Q30" i="56"/>
  <c r="P30" i="56"/>
  <c r="AE39" i="56"/>
  <c r="Q44" i="56"/>
  <c r="P44" i="56"/>
  <c r="AD2" i="56"/>
  <c r="N6" i="55" s="1"/>
  <c r="Q7" i="56"/>
  <c r="P7" i="56"/>
  <c r="N5" i="56"/>
  <c r="Q14" i="56"/>
  <c r="P14" i="56"/>
  <c r="AF43" i="56"/>
  <c r="AE43" i="56"/>
  <c r="Q60" i="56"/>
  <c r="P60" i="56"/>
  <c r="AE14" i="56"/>
  <c r="N43" i="56"/>
  <c r="AE60" i="56"/>
  <c r="AF70" i="56"/>
  <c r="AE70" i="56"/>
  <c r="N21" i="56"/>
  <c r="N35" i="56"/>
  <c r="N58" i="56"/>
  <c r="M64" i="56"/>
  <c r="AE21" i="56"/>
  <c r="AE35" i="56"/>
  <c r="AE58" i="56"/>
  <c r="AD73" i="54"/>
  <c r="Z73" i="54"/>
  <c r="Y73" i="54"/>
  <c r="O73" i="54"/>
  <c r="K73" i="54"/>
  <c r="AF72" i="54"/>
  <c r="AE72" i="54"/>
  <c r="V72" i="54"/>
  <c r="U72" i="54"/>
  <c r="O72" i="54"/>
  <c r="N72" i="54"/>
  <c r="Q72" i="54" s="1"/>
  <c r="M72" i="54"/>
  <c r="K72" i="54"/>
  <c r="G72" i="54"/>
  <c r="AF71" i="54"/>
  <c r="AE71" i="54"/>
  <c r="V71" i="54"/>
  <c r="U71" i="54"/>
  <c r="Q71" i="54"/>
  <c r="P71" i="54"/>
  <c r="O71" i="54"/>
  <c r="N71" i="54"/>
  <c r="M71" i="54"/>
  <c r="K71" i="54"/>
  <c r="G71" i="54"/>
  <c r="X70" i="54"/>
  <c r="W70" i="54"/>
  <c r="V70" i="54"/>
  <c r="U70" i="54"/>
  <c r="O70" i="54"/>
  <c r="M70" i="54"/>
  <c r="AF70" i="54" s="1"/>
  <c r="K70" i="54"/>
  <c r="G70" i="54"/>
  <c r="AF69" i="54"/>
  <c r="AE69" i="54"/>
  <c r="V69" i="54"/>
  <c r="U69" i="54"/>
  <c r="O69" i="54"/>
  <c r="N69" i="54"/>
  <c r="P69" i="54" s="1"/>
  <c r="M69" i="54"/>
  <c r="K69" i="54"/>
  <c r="G69" i="54"/>
  <c r="V68" i="54"/>
  <c r="U68" i="54"/>
  <c r="O68" i="54"/>
  <c r="M68" i="54"/>
  <c r="N68" i="54" s="1"/>
  <c r="K68" i="54"/>
  <c r="G68" i="54"/>
  <c r="AF67" i="54"/>
  <c r="AE67" i="54"/>
  <c r="V67" i="54"/>
  <c r="U67" i="54"/>
  <c r="Q67" i="54"/>
  <c r="P67" i="54"/>
  <c r="O67" i="54"/>
  <c r="N67" i="54"/>
  <c r="M67" i="54"/>
  <c r="K67" i="54"/>
  <c r="G67" i="54"/>
  <c r="AF66" i="54"/>
  <c r="AE66" i="54"/>
  <c r="X66" i="54"/>
  <c r="W66" i="54"/>
  <c r="V66" i="54"/>
  <c r="Q66" i="54"/>
  <c r="P66" i="54"/>
  <c r="O66" i="54"/>
  <c r="N66" i="54"/>
  <c r="M66" i="54"/>
  <c r="K66" i="54"/>
  <c r="G66" i="54"/>
  <c r="AD65" i="54"/>
  <c r="Z65" i="54"/>
  <c r="Y65" i="54"/>
  <c r="O65" i="54"/>
  <c r="K65" i="54"/>
  <c r="AF64" i="54"/>
  <c r="AE64" i="54"/>
  <c r="V64" i="54"/>
  <c r="U64" i="54"/>
  <c r="O64" i="54"/>
  <c r="N64" i="54"/>
  <c r="Q64" i="54" s="1"/>
  <c r="M64" i="54"/>
  <c r="K64" i="54"/>
  <c r="G64" i="54"/>
  <c r="V63" i="54"/>
  <c r="U63" i="54"/>
  <c r="O63" i="54"/>
  <c r="M63" i="54"/>
  <c r="M65" i="54" s="1"/>
  <c r="K63" i="54"/>
  <c r="G63" i="54"/>
  <c r="AF62" i="54"/>
  <c r="AE62" i="54"/>
  <c r="V62" i="54"/>
  <c r="U62" i="54"/>
  <c r="O62" i="54"/>
  <c r="N62" i="54"/>
  <c r="P62" i="54" s="1"/>
  <c r="M62" i="54"/>
  <c r="K62" i="54"/>
  <c r="G62" i="54"/>
  <c r="AF61" i="54"/>
  <c r="AE61" i="54"/>
  <c r="V61" i="54"/>
  <c r="O61" i="54"/>
  <c r="N61" i="54"/>
  <c r="P61" i="54" s="1"/>
  <c r="M61" i="54"/>
  <c r="K61" i="54"/>
  <c r="G61" i="54"/>
  <c r="AD60" i="54"/>
  <c r="Z60" i="54"/>
  <c r="Y60" i="54"/>
  <c r="O60" i="54"/>
  <c r="K60" i="54"/>
  <c r="AF59" i="54"/>
  <c r="AE59" i="54"/>
  <c r="V59" i="54"/>
  <c r="U59" i="54"/>
  <c r="Q59" i="54"/>
  <c r="P59" i="54"/>
  <c r="O59" i="54"/>
  <c r="N59" i="54"/>
  <c r="M59" i="54"/>
  <c r="K59" i="54"/>
  <c r="G59" i="54"/>
  <c r="AF58" i="54"/>
  <c r="AE58" i="54"/>
  <c r="V58" i="54"/>
  <c r="U58" i="54"/>
  <c r="O58" i="54"/>
  <c r="N58" i="54"/>
  <c r="Q58" i="54" s="1"/>
  <c r="M58" i="54"/>
  <c r="K58" i="54"/>
  <c r="G58" i="54"/>
  <c r="AF57" i="54"/>
  <c r="AE57" i="54"/>
  <c r="V57" i="54"/>
  <c r="U57" i="54"/>
  <c r="Q57" i="54"/>
  <c r="P57" i="54"/>
  <c r="O57" i="54"/>
  <c r="N57" i="54"/>
  <c r="M57" i="54"/>
  <c r="K57" i="54"/>
  <c r="G57" i="54"/>
  <c r="V56" i="54"/>
  <c r="U56" i="54"/>
  <c r="O56" i="54"/>
  <c r="M56" i="54"/>
  <c r="N56" i="54" s="1"/>
  <c r="K56" i="54"/>
  <c r="G56" i="54"/>
  <c r="AF55" i="54"/>
  <c r="AE55" i="54"/>
  <c r="V55" i="54"/>
  <c r="U55" i="54"/>
  <c r="O55" i="54"/>
  <c r="N55" i="54"/>
  <c r="Q55" i="54" s="1"/>
  <c r="M55" i="54"/>
  <c r="K55" i="54"/>
  <c r="G55" i="54"/>
  <c r="V54" i="54"/>
  <c r="U54" i="54"/>
  <c r="O54" i="54"/>
  <c r="M54" i="54"/>
  <c r="N54" i="54" s="1"/>
  <c r="K54" i="54"/>
  <c r="G54" i="54"/>
  <c r="AF53" i="54"/>
  <c r="AE53" i="54"/>
  <c r="V53" i="54"/>
  <c r="Q53" i="54"/>
  <c r="P53" i="54"/>
  <c r="O53" i="54"/>
  <c r="N53" i="54"/>
  <c r="M53" i="54"/>
  <c r="K53" i="54"/>
  <c r="G53" i="54"/>
  <c r="AD52" i="54"/>
  <c r="Z52" i="54"/>
  <c r="Y52" i="54"/>
  <c r="O52" i="54"/>
  <c r="K52" i="54"/>
  <c r="AF51" i="54"/>
  <c r="AE51" i="54"/>
  <c r="V51" i="54"/>
  <c r="U51" i="54"/>
  <c r="Q51" i="54"/>
  <c r="P51" i="54"/>
  <c r="O51" i="54"/>
  <c r="N51" i="54"/>
  <c r="M51" i="54"/>
  <c r="K51" i="54"/>
  <c r="G51" i="54"/>
  <c r="AF50" i="54"/>
  <c r="AE50" i="54"/>
  <c r="V50" i="54"/>
  <c r="U50" i="54"/>
  <c r="Q50" i="54"/>
  <c r="P50" i="54"/>
  <c r="O50" i="54"/>
  <c r="N50" i="54"/>
  <c r="M50" i="54"/>
  <c r="K50" i="54"/>
  <c r="G50" i="54"/>
  <c r="AF49" i="54"/>
  <c r="AE49" i="54"/>
  <c r="V49" i="54"/>
  <c r="U49" i="54"/>
  <c r="O49" i="54"/>
  <c r="N49" i="54"/>
  <c r="Q49" i="54" s="1"/>
  <c r="M49" i="54"/>
  <c r="K49" i="54"/>
  <c r="G49" i="54"/>
  <c r="AF48" i="54"/>
  <c r="AE48" i="54"/>
  <c r="V48" i="54"/>
  <c r="U48" i="54"/>
  <c r="Q48" i="54"/>
  <c r="P48" i="54"/>
  <c r="O48" i="54"/>
  <c r="N48" i="54"/>
  <c r="M48" i="54"/>
  <c r="K48" i="54"/>
  <c r="G48" i="54"/>
  <c r="V47" i="54"/>
  <c r="O47" i="54"/>
  <c r="M47" i="54"/>
  <c r="N47" i="54" s="1"/>
  <c r="K47" i="54"/>
  <c r="G47" i="54"/>
  <c r="AD46" i="54"/>
  <c r="Z46" i="54"/>
  <c r="Y46" i="54"/>
  <c r="O46" i="54"/>
  <c r="K46" i="54"/>
  <c r="V45" i="54"/>
  <c r="U45" i="54"/>
  <c r="O45" i="54"/>
  <c r="N45" i="54"/>
  <c r="Q45" i="54" s="1"/>
  <c r="M45" i="54"/>
  <c r="AF45" i="54" s="1"/>
  <c r="K45" i="54"/>
  <c r="G45" i="54"/>
  <c r="AF44" i="54"/>
  <c r="AE44" i="54"/>
  <c r="V44" i="54"/>
  <c r="U44" i="54"/>
  <c r="Q44" i="54"/>
  <c r="P44" i="54"/>
  <c r="O44" i="54"/>
  <c r="N44" i="54"/>
  <c r="M44" i="54"/>
  <c r="K44" i="54"/>
  <c r="G44" i="54"/>
  <c r="AF43" i="54"/>
  <c r="AE43" i="54"/>
  <c r="V43" i="54"/>
  <c r="U43" i="54"/>
  <c r="O43" i="54"/>
  <c r="N43" i="54"/>
  <c r="P43" i="54" s="1"/>
  <c r="M43" i="54"/>
  <c r="K43" i="54"/>
  <c r="G43" i="54"/>
  <c r="AF42" i="54"/>
  <c r="AE42" i="54"/>
  <c r="X42" i="54"/>
  <c r="W42" i="54"/>
  <c r="V42" i="54"/>
  <c r="U42" i="54"/>
  <c r="O42" i="54"/>
  <c r="N42" i="54"/>
  <c r="Q42" i="54" s="1"/>
  <c r="M42" i="54"/>
  <c r="K42" i="54"/>
  <c r="G42" i="54"/>
  <c r="AF41" i="54"/>
  <c r="AE41" i="54"/>
  <c r="V41" i="54"/>
  <c r="U41" i="54"/>
  <c r="Q41" i="54"/>
  <c r="P41" i="54"/>
  <c r="O41" i="54"/>
  <c r="N41" i="54"/>
  <c r="M41" i="54"/>
  <c r="K41" i="54"/>
  <c r="G41" i="54"/>
  <c r="V40" i="54"/>
  <c r="U40" i="54"/>
  <c r="O40" i="54"/>
  <c r="M40" i="54"/>
  <c r="AF40" i="54" s="1"/>
  <c r="K40" i="54"/>
  <c r="G40" i="54"/>
  <c r="AF39" i="54"/>
  <c r="AE39" i="54"/>
  <c r="V39" i="54"/>
  <c r="U39" i="54"/>
  <c r="O39" i="54"/>
  <c r="N39" i="54"/>
  <c r="Q39" i="54" s="1"/>
  <c r="M39" i="54"/>
  <c r="K39" i="54"/>
  <c r="G39" i="54"/>
  <c r="AF38" i="54"/>
  <c r="AE38" i="54"/>
  <c r="X38" i="54"/>
  <c r="W38" i="54"/>
  <c r="V38" i="54"/>
  <c r="O38" i="54"/>
  <c r="N38" i="54"/>
  <c r="P38" i="54" s="1"/>
  <c r="M38" i="54"/>
  <c r="K38" i="54"/>
  <c r="G38" i="54"/>
  <c r="AD37" i="54"/>
  <c r="Z37" i="54"/>
  <c r="Y37" i="54"/>
  <c r="O37" i="54"/>
  <c r="K37" i="54"/>
  <c r="AF36" i="54"/>
  <c r="AE36" i="54"/>
  <c r="V36" i="54"/>
  <c r="U36" i="54"/>
  <c r="Q36" i="54"/>
  <c r="P36" i="54"/>
  <c r="O36" i="54"/>
  <c r="N36" i="54"/>
  <c r="M36" i="54"/>
  <c r="K36" i="54"/>
  <c r="G36" i="54"/>
  <c r="AF35" i="54"/>
  <c r="AE35" i="54"/>
  <c r="V35" i="54"/>
  <c r="U35" i="54"/>
  <c r="O35" i="54"/>
  <c r="N35" i="54"/>
  <c r="Q35" i="54" s="1"/>
  <c r="M35" i="54"/>
  <c r="K35" i="54"/>
  <c r="G35" i="54"/>
  <c r="AF34" i="54"/>
  <c r="AE34" i="54"/>
  <c r="V34" i="54"/>
  <c r="U34" i="54"/>
  <c r="Q34" i="54"/>
  <c r="P34" i="54"/>
  <c r="O34" i="54"/>
  <c r="N34" i="54"/>
  <c r="M34" i="54"/>
  <c r="K34" i="54"/>
  <c r="G34" i="54"/>
  <c r="X33" i="54"/>
  <c r="W33" i="54"/>
  <c r="V33" i="54"/>
  <c r="U33" i="54"/>
  <c r="O33" i="54"/>
  <c r="M33" i="54"/>
  <c r="AF33" i="54" s="1"/>
  <c r="K33" i="54"/>
  <c r="G33" i="54"/>
  <c r="AF32" i="54"/>
  <c r="AE32" i="54"/>
  <c r="V32" i="54"/>
  <c r="U32" i="54"/>
  <c r="O32" i="54"/>
  <c r="N32" i="54"/>
  <c r="P32" i="54" s="1"/>
  <c r="M32" i="54"/>
  <c r="K32" i="54"/>
  <c r="G32" i="54"/>
  <c r="V31" i="54"/>
  <c r="U31" i="54"/>
  <c r="O31" i="54"/>
  <c r="M31" i="54"/>
  <c r="N31" i="54" s="1"/>
  <c r="K31" i="54"/>
  <c r="G31" i="54"/>
  <c r="AF30" i="54"/>
  <c r="AE30" i="54"/>
  <c r="V30" i="54"/>
  <c r="U30" i="54"/>
  <c r="Q30" i="54"/>
  <c r="P30" i="54"/>
  <c r="O30" i="54"/>
  <c r="N30" i="54"/>
  <c r="M30" i="54"/>
  <c r="K30" i="54"/>
  <c r="G30" i="54"/>
  <c r="AF29" i="54"/>
  <c r="AE29" i="54"/>
  <c r="X29" i="54"/>
  <c r="W29" i="54"/>
  <c r="V29" i="54"/>
  <c r="Q29" i="54"/>
  <c r="P29" i="54"/>
  <c r="O29" i="54"/>
  <c r="N29" i="54"/>
  <c r="M29" i="54"/>
  <c r="K29" i="54"/>
  <c r="G29" i="54"/>
  <c r="AD28" i="54"/>
  <c r="Z28" i="54"/>
  <c r="Y28" i="54"/>
  <c r="O28" i="54"/>
  <c r="K28" i="54"/>
  <c r="AF27" i="54"/>
  <c r="AE27" i="54"/>
  <c r="V27" i="54"/>
  <c r="U27" i="54"/>
  <c r="O27" i="54"/>
  <c r="N27" i="54"/>
  <c r="Q27" i="54" s="1"/>
  <c r="M27" i="54"/>
  <c r="K27" i="54"/>
  <c r="G27" i="54"/>
  <c r="V26" i="54"/>
  <c r="U26" i="54"/>
  <c r="O26" i="54"/>
  <c r="M26" i="54"/>
  <c r="N26" i="54" s="1"/>
  <c r="K26" i="54"/>
  <c r="G26" i="54"/>
  <c r="AF25" i="54"/>
  <c r="AE25" i="54"/>
  <c r="V25" i="54"/>
  <c r="U25" i="54"/>
  <c r="O25" i="54"/>
  <c r="N25" i="54"/>
  <c r="P25" i="54" s="1"/>
  <c r="M25" i="54"/>
  <c r="K25" i="54"/>
  <c r="G25" i="54"/>
  <c r="V24" i="54"/>
  <c r="U24" i="54"/>
  <c r="O24" i="54"/>
  <c r="M24" i="54"/>
  <c r="N24" i="54" s="1"/>
  <c r="K24" i="54"/>
  <c r="G24" i="54"/>
  <c r="AF23" i="54"/>
  <c r="AE23" i="54"/>
  <c r="V23" i="54"/>
  <c r="U23" i="54"/>
  <c r="Q23" i="54"/>
  <c r="P23" i="54"/>
  <c r="O23" i="54"/>
  <c r="N23" i="54"/>
  <c r="M23" i="54"/>
  <c r="K23" i="54"/>
  <c r="G23" i="54"/>
  <c r="AF22" i="54"/>
  <c r="AE22" i="54"/>
  <c r="V22" i="54"/>
  <c r="U22" i="54"/>
  <c r="Q22" i="54"/>
  <c r="P22" i="54"/>
  <c r="O22" i="54"/>
  <c r="N22" i="54"/>
  <c r="M22" i="54"/>
  <c r="K22" i="54"/>
  <c r="G22" i="54"/>
  <c r="AF21" i="54"/>
  <c r="AE21" i="54"/>
  <c r="V21" i="54"/>
  <c r="O21" i="54"/>
  <c r="N21" i="54"/>
  <c r="Q21" i="54" s="1"/>
  <c r="M21" i="54"/>
  <c r="K21" i="54"/>
  <c r="G21" i="54"/>
  <c r="AD20" i="54"/>
  <c r="Z20" i="54"/>
  <c r="Y20" i="54"/>
  <c r="O20" i="54"/>
  <c r="K20" i="54"/>
  <c r="V19" i="54"/>
  <c r="U19" i="54"/>
  <c r="O19" i="54"/>
  <c r="M19" i="54"/>
  <c r="N19" i="54" s="1"/>
  <c r="K19" i="54"/>
  <c r="G19" i="54"/>
  <c r="AF18" i="54"/>
  <c r="AE18" i="54"/>
  <c r="V18" i="54"/>
  <c r="U18" i="54"/>
  <c r="O18" i="54"/>
  <c r="N18" i="54"/>
  <c r="Q18" i="54" s="1"/>
  <c r="M18" i="54"/>
  <c r="K18" i="54"/>
  <c r="G18" i="54"/>
  <c r="V17" i="54"/>
  <c r="U17" i="54"/>
  <c r="O17" i="54"/>
  <c r="M17" i="54"/>
  <c r="AF17" i="54" s="1"/>
  <c r="K17" i="54"/>
  <c r="G17" i="54"/>
  <c r="AF16" i="54"/>
  <c r="AE16" i="54"/>
  <c r="V16" i="54"/>
  <c r="U16" i="54"/>
  <c r="O16" i="54"/>
  <c r="N16" i="54"/>
  <c r="P16" i="54" s="1"/>
  <c r="M16" i="54"/>
  <c r="K16" i="54"/>
  <c r="G16" i="54"/>
  <c r="V15" i="54"/>
  <c r="U15" i="54"/>
  <c r="O15" i="54"/>
  <c r="M15" i="54"/>
  <c r="N15" i="54" s="1"/>
  <c r="K15" i="54"/>
  <c r="G15" i="54"/>
  <c r="AF14" i="54"/>
  <c r="AE14" i="54"/>
  <c r="V14" i="54"/>
  <c r="U14" i="54"/>
  <c r="Q14" i="54"/>
  <c r="P14" i="54"/>
  <c r="O14" i="54"/>
  <c r="N14" i="54"/>
  <c r="M14" i="54"/>
  <c r="K14" i="54"/>
  <c r="G14" i="54"/>
  <c r="AF13" i="54"/>
  <c r="AE13" i="54"/>
  <c r="V13" i="54"/>
  <c r="Q13" i="54"/>
  <c r="P13" i="54"/>
  <c r="O13" i="54"/>
  <c r="N13" i="54"/>
  <c r="M13" i="54"/>
  <c r="K13" i="54"/>
  <c r="G13" i="54"/>
  <c r="AD12" i="54"/>
  <c r="Z12" i="54"/>
  <c r="Y12" i="54"/>
  <c r="O12" i="54"/>
  <c r="K12" i="54"/>
  <c r="AF11" i="54"/>
  <c r="AE11" i="54"/>
  <c r="V11" i="54"/>
  <c r="U11" i="54"/>
  <c r="Q11" i="54"/>
  <c r="P11" i="54"/>
  <c r="O11" i="54"/>
  <c r="N11" i="54"/>
  <c r="M11" i="54"/>
  <c r="K11" i="54"/>
  <c r="G11" i="54"/>
  <c r="X10" i="54"/>
  <c r="W10" i="54"/>
  <c r="V10" i="54"/>
  <c r="O10" i="54"/>
  <c r="N10" i="54"/>
  <c r="P10" i="54" s="1"/>
  <c r="M10" i="54"/>
  <c r="M12" i="54" s="1"/>
  <c r="K10" i="54"/>
  <c r="G10" i="54"/>
  <c r="AD9" i="54"/>
  <c r="Z9" i="54"/>
  <c r="Y9" i="54"/>
  <c r="O9" i="54"/>
  <c r="K9" i="54"/>
  <c r="AF8" i="54"/>
  <c r="AE8" i="54"/>
  <c r="V8" i="54"/>
  <c r="U8" i="54"/>
  <c r="O8" i="54"/>
  <c r="N8" i="54"/>
  <c r="P8" i="54" s="1"/>
  <c r="M8" i="54"/>
  <c r="K8" i="54"/>
  <c r="G8" i="54"/>
  <c r="AF7" i="54"/>
  <c r="AE7" i="54"/>
  <c r="X7" i="54"/>
  <c r="W7" i="54"/>
  <c r="V7" i="54"/>
  <c r="U7" i="54"/>
  <c r="O7" i="54"/>
  <c r="N7" i="54"/>
  <c r="Q7" i="54" s="1"/>
  <c r="M7" i="54"/>
  <c r="K7" i="54"/>
  <c r="G7" i="54"/>
  <c r="AF6" i="54"/>
  <c r="AE6" i="54"/>
  <c r="V6" i="54"/>
  <c r="U6" i="54"/>
  <c r="Q6" i="54"/>
  <c r="P6" i="54"/>
  <c r="O6" i="54"/>
  <c r="N6" i="54"/>
  <c r="M6" i="54"/>
  <c r="K6" i="54"/>
  <c r="G6" i="54"/>
  <c r="V5" i="54"/>
  <c r="O5" i="54"/>
  <c r="M5" i="54"/>
  <c r="N5" i="54" s="1"/>
  <c r="K5" i="54"/>
  <c r="G5" i="54"/>
  <c r="AD2" i="54"/>
  <c r="N6" i="53" s="1"/>
  <c r="Z2" i="54"/>
  <c r="Y2" i="54"/>
  <c r="H2" i="54"/>
  <c r="H1" i="54"/>
  <c r="F1" i="54"/>
  <c r="F2" i="54" s="1"/>
  <c r="D1" i="54"/>
  <c r="M22" i="53"/>
  <c r="L22" i="53"/>
  <c r="K22" i="53"/>
  <c r="J22" i="53"/>
  <c r="I22" i="53"/>
  <c r="H22" i="53"/>
  <c r="G22" i="53"/>
  <c r="F22" i="53"/>
  <c r="E22" i="53"/>
  <c r="D22" i="53"/>
  <c r="M21" i="53"/>
  <c r="L21" i="53"/>
  <c r="K21" i="53"/>
  <c r="J21" i="53"/>
  <c r="I21" i="53"/>
  <c r="H21" i="53"/>
  <c r="G21" i="53"/>
  <c r="F21" i="53"/>
  <c r="E21" i="53"/>
  <c r="D21" i="53"/>
  <c r="M20" i="53"/>
  <c r="L20" i="53"/>
  <c r="K20" i="53"/>
  <c r="J20" i="53"/>
  <c r="I20" i="53"/>
  <c r="H20" i="53"/>
  <c r="G20" i="53"/>
  <c r="F20" i="53"/>
  <c r="E20" i="53"/>
  <c r="D20" i="53"/>
  <c r="M19" i="53"/>
  <c r="L19" i="53"/>
  <c r="K19" i="53"/>
  <c r="J19" i="53"/>
  <c r="I19" i="53"/>
  <c r="H19" i="53"/>
  <c r="G19" i="53"/>
  <c r="F19" i="53"/>
  <c r="E19" i="53"/>
  <c r="D19" i="53"/>
  <c r="M18" i="53"/>
  <c r="L18" i="53"/>
  <c r="K18" i="53"/>
  <c r="J18" i="53"/>
  <c r="I18" i="53"/>
  <c r="H18" i="53"/>
  <c r="G18" i="53"/>
  <c r="F18" i="53"/>
  <c r="E18" i="53"/>
  <c r="D18" i="53"/>
  <c r="M17" i="53"/>
  <c r="L17" i="53"/>
  <c r="K17" i="53"/>
  <c r="J17" i="53"/>
  <c r="I17" i="53"/>
  <c r="H17" i="53"/>
  <c r="G17" i="53"/>
  <c r="F17" i="53"/>
  <c r="E17" i="53"/>
  <c r="D17" i="53"/>
  <c r="M16" i="53"/>
  <c r="L16" i="53"/>
  <c r="K16" i="53"/>
  <c r="J16" i="53"/>
  <c r="I16" i="53"/>
  <c r="H16" i="53"/>
  <c r="G16" i="53"/>
  <c r="F16" i="53"/>
  <c r="E16" i="53"/>
  <c r="D16" i="53"/>
  <c r="M13" i="53"/>
  <c r="L13" i="53"/>
  <c r="K13" i="53"/>
  <c r="E6" i="53" s="1"/>
  <c r="J13" i="53"/>
  <c r="I13" i="53"/>
  <c r="H13" i="53"/>
  <c r="G13" i="53"/>
  <c r="F13" i="53"/>
  <c r="E13" i="53"/>
  <c r="D13" i="53"/>
  <c r="M6" i="53"/>
  <c r="L6" i="53"/>
  <c r="K6" i="53"/>
  <c r="G6" i="53"/>
  <c r="F6" i="53"/>
  <c r="F3" i="53"/>
  <c r="C3" i="53"/>
  <c r="G8" i="67" l="1"/>
  <c r="F8" i="67"/>
  <c r="E8" i="67"/>
  <c r="F8" i="65"/>
  <c r="G8" i="65"/>
  <c r="E8" i="65"/>
  <c r="K15" i="59"/>
  <c r="P69" i="60"/>
  <c r="M14" i="59"/>
  <c r="M15" i="59" s="1"/>
  <c r="Q69" i="60"/>
  <c r="R63" i="60" s="1"/>
  <c r="P27" i="60"/>
  <c r="Q27" i="60"/>
  <c r="R20" i="60" s="1"/>
  <c r="G14" i="59"/>
  <c r="G15" i="59" s="1"/>
  <c r="P62" i="60"/>
  <c r="Q62" i="60"/>
  <c r="R56" i="60" s="1"/>
  <c r="J14" i="59"/>
  <c r="J15" i="59" s="1"/>
  <c r="Q47" i="60"/>
  <c r="R44" i="60" s="1"/>
  <c r="H14" i="59"/>
  <c r="H15" i="59" s="1"/>
  <c r="P47" i="60"/>
  <c r="P43" i="60"/>
  <c r="L14" i="59"/>
  <c r="L15" i="59" s="1"/>
  <c r="Q43" i="60"/>
  <c r="R36" i="60" s="1"/>
  <c r="P19" i="60"/>
  <c r="F14" i="59"/>
  <c r="F15" i="59" s="1"/>
  <c r="Q19" i="60"/>
  <c r="R12" i="60" s="1"/>
  <c r="P55" i="60"/>
  <c r="Q55" i="60"/>
  <c r="R48" i="60" s="1"/>
  <c r="I14" i="59"/>
  <c r="I15" i="59" s="1"/>
  <c r="P8" i="60"/>
  <c r="D2" i="60"/>
  <c r="Q8" i="60"/>
  <c r="R5" i="60" s="1"/>
  <c r="D14" i="59"/>
  <c r="P46" i="56"/>
  <c r="Q46" i="56"/>
  <c r="AF12" i="56"/>
  <c r="AG10" i="56" s="1"/>
  <c r="AE12" i="56"/>
  <c r="N12" i="56"/>
  <c r="Q6" i="56"/>
  <c r="P6" i="56"/>
  <c r="N64" i="56"/>
  <c r="AF64" i="56"/>
  <c r="AG58" i="56" s="1"/>
  <c r="AE64" i="56"/>
  <c r="Q58" i="56"/>
  <c r="P58" i="56"/>
  <c r="N9" i="56"/>
  <c r="AF9" i="56"/>
  <c r="AG5" i="56" s="1"/>
  <c r="AE9" i="56"/>
  <c r="P65" i="56"/>
  <c r="Q65" i="56"/>
  <c r="Q29" i="56"/>
  <c r="P29" i="56"/>
  <c r="P34" i="56"/>
  <c r="Q34" i="56"/>
  <c r="Q35" i="56"/>
  <c r="P35" i="56"/>
  <c r="AF72" i="56"/>
  <c r="AG65" i="56" s="1"/>
  <c r="AE72" i="56"/>
  <c r="N72" i="56"/>
  <c r="Q24" i="56"/>
  <c r="P24" i="56"/>
  <c r="P56" i="56"/>
  <c r="Q56" i="56"/>
  <c r="AF36" i="56"/>
  <c r="AG29" i="56" s="1"/>
  <c r="N36" i="56"/>
  <c r="AE36" i="56"/>
  <c r="Q21" i="56"/>
  <c r="P21" i="56"/>
  <c r="I3" i="55"/>
  <c r="F2" i="56"/>
  <c r="P40" i="56"/>
  <c r="Q40" i="56"/>
  <c r="Q26" i="56"/>
  <c r="P26" i="56"/>
  <c r="Q43" i="56"/>
  <c r="P43" i="56"/>
  <c r="AF45" i="56"/>
  <c r="AG37" i="56" s="1"/>
  <c r="AE45" i="56"/>
  <c r="N45" i="56"/>
  <c r="P19" i="56"/>
  <c r="Q19" i="56"/>
  <c r="P48" i="56"/>
  <c r="Q48" i="56"/>
  <c r="AF49" i="56"/>
  <c r="AG46" i="56" s="1"/>
  <c r="AE49" i="56"/>
  <c r="N49" i="56"/>
  <c r="Q50" i="56"/>
  <c r="P50" i="56"/>
  <c r="Q33" i="56"/>
  <c r="P33" i="56"/>
  <c r="AE20" i="56"/>
  <c r="AF20" i="56"/>
  <c r="AG13" i="56" s="1"/>
  <c r="N20" i="56"/>
  <c r="AF28" i="56"/>
  <c r="AG21" i="56" s="1"/>
  <c r="AE28" i="56"/>
  <c r="N28" i="56"/>
  <c r="Q41" i="56"/>
  <c r="P41" i="56"/>
  <c r="P13" i="56"/>
  <c r="Q13" i="56"/>
  <c r="P47" i="56"/>
  <c r="Q47" i="56"/>
  <c r="Q11" i="56"/>
  <c r="P11" i="56"/>
  <c r="Q22" i="56"/>
  <c r="P22" i="56"/>
  <c r="AF57" i="56"/>
  <c r="AG50" i="56" s="1"/>
  <c r="AE57" i="56"/>
  <c r="N57" i="56"/>
  <c r="Q5" i="56"/>
  <c r="P5" i="56"/>
  <c r="Q5" i="54"/>
  <c r="P5" i="54"/>
  <c r="P26" i="54"/>
  <c r="Q26" i="54"/>
  <c r="Q31" i="54"/>
  <c r="P31" i="54"/>
  <c r="P54" i="54"/>
  <c r="Q54" i="54"/>
  <c r="Q19" i="54"/>
  <c r="P19" i="54"/>
  <c r="AE12" i="54"/>
  <c r="AF12" i="54"/>
  <c r="AG10" i="54" s="1"/>
  <c r="N12" i="54"/>
  <c r="Q15" i="54"/>
  <c r="P15" i="54"/>
  <c r="N65" i="54"/>
  <c r="AF65" i="54"/>
  <c r="AG61" i="54" s="1"/>
  <c r="AE65" i="54"/>
  <c r="Q56" i="54"/>
  <c r="P56" i="54"/>
  <c r="Q68" i="54"/>
  <c r="P68" i="54"/>
  <c r="Q47" i="54"/>
  <c r="P47" i="54"/>
  <c r="Q24" i="54"/>
  <c r="P24" i="54"/>
  <c r="N40" i="54"/>
  <c r="AE15" i="54"/>
  <c r="AE24" i="54"/>
  <c r="AE31" i="54"/>
  <c r="M37" i="54"/>
  <c r="M60" i="54"/>
  <c r="AE68" i="54"/>
  <c r="AF15" i="54"/>
  <c r="AF24" i="54"/>
  <c r="AF31" i="54"/>
  <c r="AE45" i="54"/>
  <c r="AF68" i="54"/>
  <c r="Q8" i="54"/>
  <c r="M28" i="54"/>
  <c r="Q43" i="54"/>
  <c r="N63" i="54"/>
  <c r="N70" i="54"/>
  <c r="Q10" i="54"/>
  <c r="P7" i="54"/>
  <c r="M9" i="54"/>
  <c r="AE17" i="54"/>
  <c r="P21" i="54"/>
  <c r="AE26" i="54"/>
  <c r="P35" i="54"/>
  <c r="P42" i="54"/>
  <c r="P49" i="54"/>
  <c r="AE54" i="54"/>
  <c r="P58" i="54"/>
  <c r="AE63" i="54"/>
  <c r="P72" i="54"/>
  <c r="N17" i="54"/>
  <c r="AE5" i="54"/>
  <c r="AE10" i="54"/>
  <c r="AF26" i="54"/>
  <c r="AE47" i="54"/>
  <c r="AF54" i="54"/>
  <c r="AF63" i="54"/>
  <c r="I6" i="53"/>
  <c r="AF5" i="54"/>
  <c r="AF10" i="54"/>
  <c r="AE19" i="54"/>
  <c r="AE33" i="54"/>
  <c r="AE40" i="54"/>
  <c r="M46" i="54"/>
  <c r="AF47" i="54"/>
  <c r="AE56" i="54"/>
  <c r="AE70" i="54"/>
  <c r="Q16" i="54"/>
  <c r="Q25" i="54"/>
  <c r="Q32" i="54"/>
  <c r="Q62" i="54"/>
  <c r="Q69" i="54"/>
  <c r="N33" i="54"/>
  <c r="Q38" i="54"/>
  <c r="Q61" i="54"/>
  <c r="AF19" i="54"/>
  <c r="AF56" i="54"/>
  <c r="M20" i="54"/>
  <c r="I3" i="53"/>
  <c r="P18" i="54"/>
  <c r="P27" i="54"/>
  <c r="P39" i="54"/>
  <c r="P55" i="54"/>
  <c r="P64" i="54"/>
  <c r="M73" i="54"/>
  <c r="M52" i="54"/>
  <c r="P45" i="54"/>
  <c r="AD68" i="52"/>
  <c r="Z68" i="52"/>
  <c r="Y68" i="52"/>
  <c r="O68" i="52"/>
  <c r="K68" i="52"/>
  <c r="V67" i="52"/>
  <c r="U67" i="52"/>
  <c r="O67" i="52"/>
  <c r="M67" i="52"/>
  <c r="K67" i="52"/>
  <c r="G67" i="52"/>
  <c r="V66" i="52"/>
  <c r="U66" i="52"/>
  <c r="O66" i="52"/>
  <c r="M66" i="52"/>
  <c r="AF66" i="52" s="1"/>
  <c r="K66" i="52"/>
  <c r="G66" i="52"/>
  <c r="AF65" i="52"/>
  <c r="X65" i="52"/>
  <c r="W65" i="52"/>
  <c r="V65" i="52"/>
  <c r="M65" i="52" s="1"/>
  <c r="N65" i="52" s="1"/>
  <c r="P65" i="52" s="1"/>
  <c r="U65" i="52"/>
  <c r="Q65" i="52"/>
  <c r="O65" i="52"/>
  <c r="K65" i="52"/>
  <c r="G65" i="52"/>
  <c r="V64" i="52"/>
  <c r="U64" i="52"/>
  <c r="O64" i="52"/>
  <c r="M64" i="52"/>
  <c r="N64" i="52" s="1"/>
  <c r="K64" i="52"/>
  <c r="G64" i="52"/>
  <c r="V63" i="52"/>
  <c r="M63" i="52" s="1"/>
  <c r="N63" i="52" s="1"/>
  <c r="U63" i="52"/>
  <c r="O63" i="52"/>
  <c r="K63" i="52"/>
  <c r="G63" i="52"/>
  <c r="V62" i="52"/>
  <c r="U62" i="52"/>
  <c r="O62" i="52"/>
  <c r="N62" i="52"/>
  <c r="M62" i="52"/>
  <c r="K62" i="52"/>
  <c r="G62" i="52"/>
  <c r="AF61" i="52"/>
  <c r="AE61" i="52"/>
  <c r="V61" i="52"/>
  <c r="U61" i="52"/>
  <c r="Q61" i="52"/>
  <c r="O61" i="52"/>
  <c r="N61" i="52"/>
  <c r="P61" i="52" s="1"/>
  <c r="M61" i="52"/>
  <c r="K61" i="52"/>
  <c r="G61" i="52"/>
  <c r="AF60" i="52"/>
  <c r="AE60" i="52"/>
  <c r="X60" i="52"/>
  <c r="W60" i="52"/>
  <c r="V60" i="52"/>
  <c r="Q60" i="52"/>
  <c r="P60" i="52"/>
  <c r="O60" i="52"/>
  <c r="N60" i="52"/>
  <c r="M60" i="52"/>
  <c r="K60" i="52"/>
  <c r="G60" i="52"/>
  <c r="AD59" i="52"/>
  <c r="Z59" i="52"/>
  <c r="Y59" i="52"/>
  <c r="O59" i="52"/>
  <c r="M59" i="52"/>
  <c r="K59" i="52"/>
  <c r="AF58" i="52"/>
  <c r="V58" i="52"/>
  <c r="M58" i="52" s="1"/>
  <c r="U58" i="52"/>
  <c r="O58" i="52"/>
  <c r="K58" i="52"/>
  <c r="G58" i="52"/>
  <c r="V57" i="52"/>
  <c r="U57" i="52"/>
  <c r="O57" i="52"/>
  <c r="M57" i="52"/>
  <c r="K57" i="52"/>
  <c r="G57" i="52"/>
  <c r="AE56" i="52"/>
  <c r="V56" i="52"/>
  <c r="M56" i="52" s="1"/>
  <c r="N56" i="52" s="1"/>
  <c r="U56" i="52"/>
  <c r="O56" i="52"/>
  <c r="K56" i="52"/>
  <c r="G56" i="52"/>
  <c r="V55" i="52"/>
  <c r="O55" i="52"/>
  <c r="M55" i="52"/>
  <c r="K55" i="52"/>
  <c r="G55" i="52"/>
  <c r="AD54" i="52"/>
  <c r="Z54" i="52"/>
  <c r="Y54" i="52"/>
  <c r="O54" i="52"/>
  <c r="K54" i="52"/>
  <c r="V53" i="52"/>
  <c r="U53" i="52"/>
  <c r="O53" i="52"/>
  <c r="M53" i="52"/>
  <c r="N53" i="52" s="1"/>
  <c r="K53" i="52"/>
  <c r="G53" i="52"/>
  <c r="V52" i="52"/>
  <c r="U52" i="52"/>
  <c r="O52" i="52"/>
  <c r="M52" i="52"/>
  <c r="AF52" i="52" s="1"/>
  <c r="K52" i="52"/>
  <c r="G52" i="52"/>
  <c r="AF51" i="52"/>
  <c r="AE51" i="52"/>
  <c r="V51" i="52"/>
  <c r="U51" i="52"/>
  <c r="Q51" i="52"/>
  <c r="P51" i="52"/>
  <c r="O51" i="52"/>
  <c r="N51" i="52"/>
  <c r="M51" i="52"/>
  <c r="K51" i="52"/>
  <c r="G51" i="52"/>
  <c r="V50" i="52"/>
  <c r="U50" i="52"/>
  <c r="O50" i="52"/>
  <c r="M50" i="52"/>
  <c r="AF50" i="52" s="1"/>
  <c r="K50" i="52"/>
  <c r="G50" i="52"/>
  <c r="V49" i="52"/>
  <c r="M49" i="52" s="1"/>
  <c r="U49" i="52"/>
  <c r="O49" i="52"/>
  <c r="K49" i="52"/>
  <c r="G49" i="52"/>
  <c r="V48" i="52"/>
  <c r="U48" i="52"/>
  <c r="O48" i="52"/>
  <c r="M48" i="52"/>
  <c r="K48" i="52"/>
  <c r="G48" i="52"/>
  <c r="AF47" i="52"/>
  <c r="AE47" i="52"/>
  <c r="V47" i="52"/>
  <c r="O47" i="52"/>
  <c r="M47" i="52"/>
  <c r="N47" i="52" s="1"/>
  <c r="K47" i="52"/>
  <c r="G47" i="52"/>
  <c r="AD46" i="52"/>
  <c r="Z46" i="52"/>
  <c r="Y46" i="52"/>
  <c r="H18" i="51" s="1"/>
  <c r="O46" i="52"/>
  <c r="M46" i="52"/>
  <c r="N46" i="52" s="1"/>
  <c r="K46" i="52"/>
  <c r="AF45" i="52"/>
  <c r="AE45" i="52"/>
  <c r="V45" i="52"/>
  <c r="U45" i="52"/>
  <c r="O45" i="52"/>
  <c r="N45" i="52"/>
  <c r="Q45" i="52" s="1"/>
  <c r="M45" i="52"/>
  <c r="K45" i="52"/>
  <c r="G45" i="52"/>
  <c r="V44" i="52"/>
  <c r="U44" i="52"/>
  <c r="O44" i="52"/>
  <c r="M44" i="52"/>
  <c r="K44" i="52"/>
  <c r="G44" i="52"/>
  <c r="V43" i="52"/>
  <c r="U43" i="52"/>
  <c r="O43" i="52"/>
  <c r="M43" i="52"/>
  <c r="AF43" i="52" s="1"/>
  <c r="K43" i="52"/>
  <c r="G43" i="52"/>
  <c r="AF42" i="52"/>
  <c r="AE42" i="52"/>
  <c r="V42" i="52"/>
  <c r="M42" i="52" s="1"/>
  <c r="N42" i="52" s="1"/>
  <c r="Q42" i="52"/>
  <c r="P42" i="52"/>
  <c r="O42" i="52"/>
  <c r="K42" i="52"/>
  <c r="G42" i="52"/>
  <c r="AD41" i="52"/>
  <c r="Z41" i="52"/>
  <c r="Y41" i="52"/>
  <c r="L18" i="51" s="1"/>
  <c r="O41" i="52"/>
  <c r="K41" i="52"/>
  <c r="AE40" i="52"/>
  <c r="V40" i="52"/>
  <c r="M40" i="52" s="1"/>
  <c r="U40" i="52"/>
  <c r="O40" i="52"/>
  <c r="K40" i="52"/>
  <c r="G40" i="52"/>
  <c r="V39" i="52"/>
  <c r="U39" i="52"/>
  <c r="O39" i="52"/>
  <c r="M39" i="52"/>
  <c r="K39" i="52"/>
  <c r="G39" i="52"/>
  <c r="AF38" i="52"/>
  <c r="AE38" i="52"/>
  <c r="X38" i="52"/>
  <c r="W38" i="52"/>
  <c r="V38" i="52"/>
  <c r="U38" i="52"/>
  <c r="O38" i="52"/>
  <c r="N38" i="52"/>
  <c r="Q38" i="52" s="1"/>
  <c r="M38" i="52"/>
  <c r="K38" i="52"/>
  <c r="G38" i="52"/>
  <c r="AE37" i="52"/>
  <c r="V37" i="52"/>
  <c r="U37" i="52"/>
  <c r="O37" i="52"/>
  <c r="M37" i="52"/>
  <c r="AF37" i="52" s="1"/>
  <c r="K37" i="52"/>
  <c r="G37" i="52"/>
  <c r="V36" i="52"/>
  <c r="U36" i="52"/>
  <c r="O36" i="52"/>
  <c r="M36" i="52"/>
  <c r="AF36" i="52" s="1"/>
  <c r="K36" i="52"/>
  <c r="G36" i="52"/>
  <c r="AF35" i="52"/>
  <c r="AE35" i="52"/>
  <c r="V35" i="52"/>
  <c r="U35" i="52"/>
  <c r="Q35" i="52"/>
  <c r="P35" i="52"/>
  <c r="O35" i="52"/>
  <c r="N35" i="52"/>
  <c r="M35" i="52"/>
  <c r="K35" i="52"/>
  <c r="G35" i="52"/>
  <c r="X34" i="52"/>
  <c r="W34" i="52"/>
  <c r="V34" i="52"/>
  <c r="O34" i="52"/>
  <c r="N34" i="52"/>
  <c r="Q34" i="52" s="1"/>
  <c r="M34" i="52"/>
  <c r="K34" i="52"/>
  <c r="G34" i="52"/>
  <c r="AD33" i="52"/>
  <c r="Z33" i="52"/>
  <c r="Y33" i="52"/>
  <c r="O33" i="52"/>
  <c r="K33" i="52"/>
  <c r="V32" i="52"/>
  <c r="U32" i="52"/>
  <c r="O32" i="52"/>
  <c r="M32" i="52"/>
  <c r="K32" i="52"/>
  <c r="G32" i="52"/>
  <c r="AF31" i="52"/>
  <c r="AE31" i="52"/>
  <c r="V31" i="52"/>
  <c r="U31" i="52"/>
  <c r="O31" i="52"/>
  <c r="N31" i="52"/>
  <c r="Q31" i="52" s="1"/>
  <c r="M31" i="52"/>
  <c r="K31" i="52"/>
  <c r="G31" i="52"/>
  <c r="AF30" i="52"/>
  <c r="AE30" i="52"/>
  <c r="X30" i="52"/>
  <c r="W30" i="52"/>
  <c r="V30" i="52"/>
  <c r="U30" i="52"/>
  <c r="Q30" i="52"/>
  <c r="P30" i="52"/>
  <c r="O30" i="52"/>
  <c r="N30" i="52"/>
  <c r="M30" i="52"/>
  <c r="K30" i="52"/>
  <c r="G30" i="52"/>
  <c r="V29" i="52"/>
  <c r="U29" i="52"/>
  <c r="O29" i="52"/>
  <c r="M29" i="52"/>
  <c r="K29" i="52"/>
  <c r="G29" i="52"/>
  <c r="AF28" i="52"/>
  <c r="AE28" i="52"/>
  <c r="X28" i="52"/>
  <c r="W28" i="52"/>
  <c r="V28" i="52"/>
  <c r="O28" i="52"/>
  <c r="M28" i="52"/>
  <c r="N28" i="52" s="1"/>
  <c r="K28" i="52"/>
  <c r="G28" i="52"/>
  <c r="AD27" i="52"/>
  <c r="Z27" i="52"/>
  <c r="Y27" i="52"/>
  <c r="G18" i="51" s="1"/>
  <c r="O27" i="52"/>
  <c r="K27" i="52"/>
  <c r="AF26" i="52"/>
  <c r="AE26" i="52"/>
  <c r="V26" i="52"/>
  <c r="U26" i="52"/>
  <c r="O26" i="52"/>
  <c r="N26" i="52"/>
  <c r="Q26" i="52" s="1"/>
  <c r="M26" i="52"/>
  <c r="K26" i="52"/>
  <c r="G26" i="52"/>
  <c r="V25" i="52"/>
  <c r="M25" i="52" s="1"/>
  <c r="U25" i="52"/>
  <c r="O25" i="52"/>
  <c r="K25" i="52"/>
  <c r="G25" i="52"/>
  <c r="V24" i="52"/>
  <c r="U24" i="52"/>
  <c r="O24" i="52"/>
  <c r="M24" i="52"/>
  <c r="AF24" i="52" s="1"/>
  <c r="K24" i="52"/>
  <c r="G24" i="52"/>
  <c r="AF23" i="52"/>
  <c r="AE23" i="52"/>
  <c r="V23" i="52"/>
  <c r="U23" i="52"/>
  <c r="Q23" i="52"/>
  <c r="P23" i="52"/>
  <c r="O23" i="52"/>
  <c r="N23" i="52"/>
  <c r="M23" i="52"/>
  <c r="K23" i="52"/>
  <c r="G23" i="52"/>
  <c r="V22" i="52"/>
  <c r="U22" i="52"/>
  <c r="O22" i="52"/>
  <c r="M22" i="52"/>
  <c r="K22" i="52"/>
  <c r="G22" i="52"/>
  <c r="V21" i="52"/>
  <c r="M21" i="52" s="1"/>
  <c r="O21" i="52"/>
  <c r="K21" i="52"/>
  <c r="G21" i="52"/>
  <c r="AD20" i="52"/>
  <c r="Z20" i="52"/>
  <c r="Y20" i="52"/>
  <c r="F18" i="51" s="1"/>
  <c r="O20" i="52"/>
  <c r="K20" i="52"/>
  <c r="AF19" i="52"/>
  <c r="AE19" i="52"/>
  <c r="V19" i="52"/>
  <c r="U19" i="52"/>
  <c r="O19" i="52"/>
  <c r="M19" i="52"/>
  <c r="N19" i="52" s="1"/>
  <c r="K19" i="52"/>
  <c r="G19" i="52"/>
  <c r="V18" i="52"/>
  <c r="U18" i="52"/>
  <c r="O18" i="52"/>
  <c r="M18" i="52"/>
  <c r="K18" i="52"/>
  <c r="G18" i="52"/>
  <c r="V17" i="52"/>
  <c r="U17" i="52"/>
  <c r="O17" i="52"/>
  <c r="M17" i="52"/>
  <c r="AF17" i="52" s="1"/>
  <c r="K17" i="52"/>
  <c r="G17" i="52"/>
  <c r="V16" i="52"/>
  <c r="M16" i="52" s="1"/>
  <c r="U16" i="52"/>
  <c r="O16" i="52"/>
  <c r="K16" i="52"/>
  <c r="G16" i="52"/>
  <c r="V15" i="52"/>
  <c r="U15" i="52"/>
  <c r="O15" i="52"/>
  <c r="M15" i="52"/>
  <c r="AF15" i="52" s="1"/>
  <c r="K15" i="52"/>
  <c r="G15" i="52"/>
  <c r="AF14" i="52"/>
  <c r="AE14" i="52"/>
  <c r="V14" i="52"/>
  <c r="U14" i="52"/>
  <c r="Q14" i="52"/>
  <c r="P14" i="52"/>
  <c r="O14" i="52"/>
  <c r="N14" i="52"/>
  <c r="M14" i="52"/>
  <c r="K14" i="52"/>
  <c r="G14" i="52"/>
  <c r="V13" i="52"/>
  <c r="O13" i="52"/>
  <c r="M13" i="52"/>
  <c r="K13" i="52"/>
  <c r="G13" i="52"/>
  <c r="AD12" i="52"/>
  <c r="AD2" i="52" s="1"/>
  <c r="N6" i="51" s="1"/>
  <c r="Z12" i="52"/>
  <c r="Z2" i="52" s="1"/>
  <c r="L6" i="51" s="1"/>
  <c r="Y12" i="52"/>
  <c r="O12" i="52"/>
  <c r="K12" i="52"/>
  <c r="V11" i="52"/>
  <c r="U11" i="52"/>
  <c r="O11" i="52"/>
  <c r="M11" i="52"/>
  <c r="K11" i="52"/>
  <c r="G11" i="52"/>
  <c r="F1" i="52" s="1"/>
  <c r="AF10" i="52"/>
  <c r="X10" i="52"/>
  <c r="W10" i="52"/>
  <c r="V10" i="52"/>
  <c r="O10" i="52"/>
  <c r="M10" i="52"/>
  <c r="AE10" i="52" s="1"/>
  <c r="K10" i="52"/>
  <c r="G10" i="52"/>
  <c r="AD9" i="52"/>
  <c r="Z9" i="52"/>
  <c r="Y9" i="52"/>
  <c r="D18" i="51" s="1"/>
  <c r="O9" i="52"/>
  <c r="K9" i="52"/>
  <c r="V8" i="52"/>
  <c r="U8" i="52"/>
  <c r="O8" i="52"/>
  <c r="M8" i="52"/>
  <c r="AF8" i="52" s="1"/>
  <c r="K8" i="52"/>
  <c r="G8" i="52"/>
  <c r="X7" i="52"/>
  <c r="W7" i="52"/>
  <c r="V7" i="52"/>
  <c r="M7" i="52" s="1"/>
  <c r="N7" i="52" s="1"/>
  <c r="U7" i="52"/>
  <c r="O7" i="52"/>
  <c r="K7" i="52"/>
  <c r="G7" i="52"/>
  <c r="V6" i="52"/>
  <c r="U6" i="52"/>
  <c r="O6" i="52"/>
  <c r="M6" i="52"/>
  <c r="K6" i="52"/>
  <c r="G6" i="52"/>
  <c r="AF5" i="52"/>
  <c r="AE5" i="52"/>
  <c r="V5" i="52"/>
  <c r="O5" i="52"/>
  <c r="N5" i="52"/>
  <c r="P5" i="52" s="1"/>
  <c r="M5" i="52"/>
  <c r="K5" i="52"/>
  <c r="Q5" i="52" s="1"/>
  <c r="G5" i="52"/>
  <c r="Y2" i="52"/>
  <c r="K6" i="51" s="1"/>
  <c r="H2" i="52"/>
  <c r="H1" i="52"/>
  <c r="D1" i="52"/>
  <c r="F3" i="51" s="1"/>
  <c r="M22" i="51"/>
  <c r="L22" i="51"/>
  <c r="K22" i="51"/>
  <c r="J22" i="51"/>
  <c r="I22" i="51"/>
  <c r="H22" i="51"/>
  <c r="G22" i="51"/>
  <c r="F22" i="51"/>
  <c r="E22" i="51"/>
  <c r="D22" i="51"/>
  <c r="M21" i="51"/>
  <c r="L21" i="51"/>
  <c r="K21" i="51"/>
  <c r="J21" i="51"/>
  <c r="I21" i="51"/>
  <c r="H21" i="51"/>
  <c r="G21" i="51"/>
  <c r="F21" i="51"/>
  <c r="E21" i="51"/>
  <c r="D21" i="51"/>
  <c r="M20" i="51"/>
  <c r="L20" i="51"/>
  <c r="K20" i="51"/>
  <c r="J20" i="51"/>
  <c r="I20" i="51"/>
  <c r="H20" i="51"/>
  <c r="G20" i="51"/>
  <c r="F20" i="51"/>
  <c r="E20" i="51"/>
  <c r="D20" i="51"/>
  <c r="M19" i="51"/>
  <c r="L19" i="51"/>
  <c r="K19" i="51"/>
  <c r="J19" i="51"/>
  <c r="I19" i="51"/>
  <c r="H19" i="51"/>
  <c r="G19" i="51"/>
  <c r="F19" i="51"/>
  <c r="E19" i="51"/>
  <c r="D19" i="51"/>
  <c r="M18" i="51"/>
  <c r="K18" i="51"/>
  <c r="J18" i="51"/>
  <c r="I18" i="51"/>
  <c r="E18" i="51"/>
  <c r="M17" i="51"/>
  <c r="L17" i="51"/>
  <c r="K17" i="51"/>
  <c r="J17" i="51"/>
  <c r="I17" i="51"/>
  <c r="H17" i="51"/>
  <c r="G17" i="51"/>
  <c r="F17" i="51"/>
  <c r="E17" i="51"/>
  <c r="D17" i="51"/>
  <c r="M16" i="51"/>
  <c r="L16" i="51"/>
  <c r="K16" i="51"/>
  <c r="J16" i="51"/>
  <c r="I16" i="51"/>
  <c r="H16" i="51"/>
  <c r="G16" i="51"/>
  <c r="F16" i="51"/>
  <c r="E16" i="51"/>
  <c r="D16" i="51"/>
  <c r="M13" i="51"/>
  <c r="L13" i="51"/>
  <c r="K13" i="51"/>
  <c r="I6" i="51" s="1"/>
  <c r="J13" i="51"/>
  <c r="I13" i="51"/>
  <c r="H13" i="51"/>
  <c r="G13" i="51"/>
  <c r="F13" i="51"/>
  <c r="E13" i="51"/>
  <c r="D13" i="51"/>
  <c r="F6" i="51" s="1"/>
  <c r="M6" i="51"/>
  <c r="C3" i="51"/>
  <c r="D15" i="59" l="1"/>
  <c r="F7" i="59"/>
  <c r="E7" i="59"/>
  <c r="G7" i="59"/>
  <c r="I8" i="59"/>
  <c r="I7" i="59"/>
  <c r="F14" i="55"/>
  <c r="F15" i="55" s="1"/>
  <c r="Q20" i="56"/>
  <c r="R13" i="56" s="1"/>
  <c r="P20" i="56"/>
  <c r="I14" i="55"/>
  <c r="I15" i="55" s="1"/>
  <c r="Q57" i="56"/>
  <c r="R50" i="56" s="1"/>
  <c r="P57" i="56"/>
  <c r="Q49" i="56"/>
  <c r="R46" i="56" s="1"/>
  <c r="P49" i="56"/>
  <c r="H14" i="55"/>
  <c r="H15" i="55" s="1"/>
  <c r="Q9" i="56"/>
  <c r="R5" i="56" s="1"/>
  <c r="P9" i="56"/>
  <c r="D2" i="56"/>
  <c r="D14" i="55"/>
  <c r="K14" i="55"/>
  <c r="Q36" i="56"/>
  <c r="R29" i="56" s="1"/>
  <c r="P36" i="56"/>
  <c r="J14" i="55"/>
  <c r="J15" i="55" s="1"/>
  <c r="P64" i="56"/>
  <c r="Q64" i="56"/>
  <c r="R58" i="56" s="1"/>
  <c r="L14" i="55"/>
  <c r="L15" i="55" s="1"/>
  <c r="Q45" i="56"/>
  <c r="R37" i="56" s="1"/>
  <c r="P45" i="56"/>
  <c r="M14" i="55"/>
  <c r="M15" i="55" s="1"/>
  <c r="Q72" i="56"/>
  <c r="R65" i="56" s="1"/>
  <c r="P72" i="56"/>
  <c r="Q12" i="56"/>
  <c r="R10" i="56" s="1"/>
  <c r="P12" i="56"/>
  <c r="E14" i="55"/>
  <c r="E15" i="55" s="1"/>
  <c r="Q28" i="56"/>
  <c r="R21" i="56" s="1"/>
  <c r="P28" i="56"/>
  <c r="G14" i="55"/>
  <c r="G15" i="55" s="1"/>
  <c r="N28" i="54"/>
  <c r="AF28" i="54"/>
  <c r="AG21" i="54" s="1"/>
  <c r="AE28" i="54"/>
  <c r="N52" i="54"/>
  <c r="AF52" i="54"/>
  <c r="AG47" i="54" s="1"/>
  <c r="AE52" i="54"/>
  <c r="AF60" i="54"/>
  <c r="AG53" i="54" s="1"/>
  <c r="AE60" i="54"/>
  <c r="N60" i="54"/>
  <c r="AF73" i="54"/>
  <c r="AG66" i="54" s="1"/>
  <c r="AE73" i="54"/>
  <c r="N73" i="54"/>
  <c r="Q40" i="54"/>
  <c r="P40" i="54"/>
  <c r="AE20" i="54"/>
  <c r="AF20" i="54"/>
  <c r="AG13" i="54" s="1"/>
  <c r="N20" i="54"/>
  <c r="P33" i="54"/>
  <c r="Q33" i="54"/>
  <c r="P17" i="54"/>
  <c r="Q17" i="54"/>
  <c r="P70" i="54"/>
  <c r="Q70" i="54"/>
  <c r="J14" i="53"/>
  <c r="J15" i="53" s="1"/>
  <c r="Q65" i="54"/>
  <c r="R61" i="54" s="1"/>
  <c r="P65" i="54"/>
  <c r="Q12" i="54"/>
  <c r="R10" i="54" s="1"/>
  <c r="E14" i="53"/>
  <c r="E15" i="53" s="1"/>
  <c r="P12" i="54"/>
  <c r="AF37" i="54"/>
  <c r="AG29" i="54" s="1"/>
  <c r="AE37" i="54"/>
  <c r="N37" i="54"/>
  <c r="P63" i="54"/>
  <c r="Q63" i="54"/>
  <c r="AE46" i="54"/>
  <c r="N46" i="54"/>
  <c r="AF46" i="54"/>
  <c r="AG38" i="54" s="1"/>
  <c r="AF9" i="54"/>
  <c r="AG5" i="54" s="1"/>
  <c r="AE9" i="54"/>
  <c r="N9" i="54"/>
  <c r="P53" i="52"/>
  <c r="Q53" i="52"/>
  <c r="I3" i="51"/>
  <c r="F2" i="52"/>
  <c r="H14" i="51"/>
  <c r="H15" i="51" s="1"/>
  <c r="Q46" i="52"/>
  <c r="R42" i="52" s="1"/>
  <c r="P46" i="52"/>
  <c r="P64" i="52"/>
  <c r="Q64" i="52"/>
  <c r="AF25" i="52"/>
  <c r="AE25" i="52"/>
  <c r="N25" i="52"/>
  <c r="AF16" i="52"/>
  <c r="AE16" i="52"/>
  <c r="N16" i="52"/>
  <c r="N40" i="52"/>
  <c r="AF40" i="52"/>
  <c r="Q56" i="52"/>
  <c r="P56" i="52"/>
  <c r="AF34" i="52"/>
  <c r="AE34" i="52"/>
  <c r="AE57" i="52"/>
  <c r="AF57" i="52"/>
  <c r="AF67" i="52"/>
  <c r="AE67" i="52"/>
  <c r="AF63" i="52"/>
  <c r="M41" i="52"/>
  <c r="AF32" i="52"/>
  <c r="AE32" i="52"/>
  <c r="N32" i="52"/>
  <c r="N57" i="52"/>
  <c r="N67" i="52"/>
  <c r="AF44" i="52"/>
  <c r="AE44" i="52"/>
  <c r="M68" i="52"/>
  <c r="N44" i="52"/>
  <c r="N21" i="52"/>
  <c r="AF21" i="52"/>
  <c r="M9" i="52"/>
  <c r="AF6" i="52"/>
  <c r="AE6" i="52"/>
  <c r="AE21" i="52"/>
  <c r="Q63" i="52"/>
  <c r="P63" i="52"/>
  <c r="N6" i="52"/>
  <c r="AF11" i="52"/>
  <c r="AE11" i="52"/>
  <c r="Q19" i="52"/>
  <c r="P19" i="52"/>
  <c r="AF53" i="52"/>
  <c r="AE53" i="52"/>
  <c r="AF59" i="52"/>
  <c r="AG55" i="52" s="1"/>
  <c r="N59" i="52"/>
  <c r="AE59" i="52"/>
  <c r="AE63" i="52"/>
  <c r="N11" i="52"/>
  <c r="AF22" i="52"/>
  <c r="N22" i="52"/>
  <c r="AE22" i="52"/>
  <c r="M27" i="52"/>
  <c r="AF29" i="52"/>
  <c r="N29" i="52"/>
  <c r="AE29" i="52"/>
  <c r="M33" i="52"/>
  <c r="AE48" i="52"/>
  <c r="M54" i="52"/>
  <c r="AF48" i="52"/>
  <c r="N48" i="52"/>
  <c r="AF56" i="52"/>
  <c r="AF64" i="52"/>
  <c r="AE64" i="52"/>
  <c r="AF46" i="52"/>
  <c r="AG42" i="52" s="1"/>
  <c r="AE46" i="52"/>
  <c r="Q7" i="52"/>
  <c r="P7" i="52"/>
  <c r="P34" i="52"/>
  <c r="N37" i="52"/>
  <c r="G6" i="51"/>
  <c r="Q47" i="52"/>
  <c r="P47" i="52"/>
  <c r="Q62" i="52"/>
  <c r="AE7" i="52"/>
  <c r="AE18" i="52"/>
  <c r="AF18" i="52"/>
  <c r="N18" i="52"/>
  <c r="AF39" i="52"/>
  <c r="AE39" i="52"/>
  <c r="P62" i="52"/>
  <c r="E6" i="51"/>
  <c r="AF7" i="52"/>
  <c r="Q28" i="52"/>
  <c r="P28" i="52"/>
  <c r="N39" i="52"/>
  <c r="N49" i="52"/>
  <c r="AE49" i="52"/>
  <c r="AF55" i="52"/>
  <c r="AE55" i="52"/>
  <c r="N55" i="52"/>
  <c r="AF13" i="52"/>
  <c r="AE13" i="52"/>
  <c r="M20" i="52"/>
  <c r="AF49" i="52"/>
  <c r="N13" i="52"/>
  <c r="N58" i="52"/>
  <c r="AE58" i="52"/>
  <c r="AE65" i="52"/>
  <c r="N66" i="52"/>
  <c r="N10" i="52"/>
  <c r="AF62" i="52"/>
  <c r="M12" i="52"/>
  <c r="P26" i="52"/>
  <c r="P31" i="52"/>
  <c r="P38" i="52"/>
  <c r="P45" i="52"/>
  <c r="AE50" i="52"/>
  <c r="N50" i="52"/>
  <c r="N8" i="52"/>
  <c r="N15" i="52"/>
  <c r="N36" i="52"/>
  <c r="N43" i="52"/>
  <c r="N52" i="52"/>
  <c r="AE62" i="52"/>
  <c r="N17" i="52"/>
  <c r="AE8" i="52"/>
  <c r="AE66" i="52"/>
  <c r="N24" i="52"/>
  <c r="AE15" i="52"/>
  <c r="AE24" i="52"/>
  <c r="AE36" i="52"/>
  <c r="AE43" i="52"/>
  <c r="AE52" i="52"/>
  <c r="AE17" i="52"/>
  <c r="AD71" i="50"/>
  <c r="Z71" i="50"/>
  <c r="Y71" i="50"/>
  <c r="O71" i="50"/>
  <c r="K71" i="50"/>
  <c r="AF70" i="50"/>
  <c r="V70" i="50"/>
  <c r="U70" i="50"/>
  <c r="O70" i="50"/>
  <c r="M70" i="50"/>
  <c r="AE70" i="50" s="1"/>
  <c r="K70" i="50"/>
  <c r="G70" i="50"/>
  <c r="AF69" i="50"/>
  <c r="AE69" i="50"/>
  <c r="V69" i="50"/>
  <c r="U69" i="50"/>
  <c r="O69" i="50"/>
  <c r="N69" i="50"/>
  <c r="Q69" i="50" s="1"/>
  <c r="M69" i="50"/>
  <c r="K69" i="50"/>
  <c r="G69" i="50"/>
  <c r="AF68" i="50"/>
  <c r="AE68" i="50"/>
  <c r="X68" i="50"/>
  <c r="W68" i="50"/>
  <c r="V68" i="50"/>
  <c r="U68" i="50"/>
  <c r="O68" i="50"/>
  <c r="M68" i="50"/>
  <c r="N68" i="50" s="1"/>
  <c r="K68" i="50"/>
  <c r="G68" i="50"/>
  <c r="AF67" i="50"/>
  <c r="AE67" i="50"/>
  <c r="V67" i="50"/>
  <c r="U67" i="50"/>
  <c r="O67" i="50"/>
  <c r="N67" i="50"/>
  <c r="Q67" i="50" s="1"/>
  <c r="M67" i="50"/>
  <c r="K67" i="50"/>
  <c r="G67" i="50"/>
  <c r="V66" i="50"/>
  <c r="M66" i="50" s="1"/>
  <c r="U66" i="50"/>
  <c r="O66" i="50"/>
  <c r="K66" i="50"/>
  <c r="G66" i="50"/>
  <c r="V65" i="50"/>
  <c r="M65" i="50" s="1"/>
  <c r="U65" i="50"/>
  <c r="O65" i="50"/>
  <c r="K65" i="50"/>
  <c r="G65" i="50"/>
  <c r="V64" i="50"/>
  <c r="M64" i="50" s="1"/>
  <c r="U64" i="50"/>
  <c r="O64" i="50"/>
  <c r="K64" i="50"/>
  <c r="G64" i="50"/>
  <c r="X63" i="50"/>
  <c r="W63" i="50"/>
  <c r="V63" i="50"/>
  <c r="M63" i="50" s="1"/>
  <c r="O63" i="50"/>
  <c r="K63" i="50"/>
  <c r="G63" i="50"/>
  <c r="AD62" i="50"/>
  <c r="Z62" i="50"/>
  <c r="Y62" i="50"/>
  <c r="O62" i="50"/>
  <c r="K62" i="50"/>
  <c r="V61" i="50"/>
  <c r="M61" i="50" s="1"/>
  <c r="U61" i="50"/>
  <c r="O61" i="50"/>
  <c r="K61" i="50"/>
  <c r="G61" i="50"/>
  <c r="V60" i="50"/>
  <c r="M60" i="50" s="1"/>
  <c r="U60" i="50"/>
  <c r="O60" i="50"/>
  <c r="K60" i="50"/>
  <c r="G60" i="50"/>
  <c r="V59" i="50"/>
  <c r="M59" i="50" s="1"/>
  <c r="U59" i="50"/>
  <c r="O59" i="50"/>
  <c r="K59" i="50"/>
  <c r="G59" i="50"/>
  <c r="V58" i="50"/>
  <c r="M58" i="50" s="1"/>
  <c r="O58" i="50"/>
  <c r="K58" i="50"/>
  <c r="G58" i="50"/>
  <c r="AD57" i="50"/>
  <c r="Z57" i="50"/>
  <c r="Y57" i="50"/>
  <c r="O57" i="50"/>
  <c r="K57" i="50"/>
  <c r="V56" i="50"/>
  <c r="M56" i="50" s="1"/>
  <c r="U56" i="50"/>
  <c r="O56" i="50"/>
  <c r="K56" i="50"/>
  <c r="G56" i="50"/>
  <c r="V55" i="50"/>
  <c r="U55" i="50"/>
  <c r="O55" i="50"/>
  <c r="M55" i="50"/>
  <c r="AF55" i="50" s="1"/>
  <c r="K55" i="50"/>
  <c r="G55" i="50"/>
  <c r="V54" i="50"/>
  <c r="U54" i="50"/>
  <c r="O54" i="50"/>
  <c r="M54" i="50"/>
  <c r="AF54" i="50" s="1"/>
  <c r="K54" i="50"/>
  <c r="G54" i="50"/>
  <c r="V53" i="50"/>
  <c r="U53" i="50"/>
  <c r="P53" i="50"/>
  <c r="O53" i="50"/>
  <c r="N53" i="50"/>
  <c r="M53" i="50"/>
  <c r="AF53" i="50" s="1"/>
  <c r="K53" i="50"/>
  <c r="Q53" i="50" s="1"/>
  <c r="G53" i="50"/>
  <c r="AF52" i="50"/>
  <c r="V52" i="50"/>
  <c r="U52" i="50"/>
  <c r="O52" i="50"/>
  <c r="N52" i="50"/>
  <c r="Q52" i="50" s="1"/>
  <c r="M52" i="50"/>
  <c r="AE52" i="50" s="1"/>
  <c r="K52" i="50"/>
  <c r="G52" i="50"/>
  <c r="AF51" i="50"/>
  <c r="AE51" i="50"/>
  <c r="V51" i="50"/>
  <c r="U51" i="50"/>
  <c r="O51" i="50"/>
  <c r="N51" i="50"/>
  <c r="Q51" i="50" s="1"/>
  <c r="M51" i="50"/>
  <c r="K51" i="50"/>
  <c r="G51" i="50"/>
  <c r="AF50" i="50"/>
  <c r="AE50" i="50"/>
  <c r="V50" i="50"/>
  <c r="O50" i="50"/>
  <c r="N50" i="50"/>
  <c r="Q50" i="50" s="1"/>
  <c r="M50" i="50"/>
  <c r="K50" i="50"/>
  <c r="G50" i="50"/>
  <c r="AD49" i="50"/>
  <c r="Z49" i="50"/>
  <c r="Y49" i="50"/>
  <c r="O49" i="50"/>
  <c r="K49" i="50"/>
  <c r="V48" i="50"/>
  <c r="M48" i="50" s="1"/>
  <c r="U48" i="50"/>
  <c r="O48" i="50"/>
  <c r="K48" i="50"/>
  <c r="G48" i="50"/>
  <c r="V47" i="50"/>
  <c r="M47" i="50" s="1"/>
  <c r="U47" i="50"/>
  <c r="O47" i="50"/>
  <c r="K47" i="50"/>
  <c r="G47" i="50"/>
  <c r="AF46" i="50"/>
  <c r="V46" i="50"/>
  <c r="U46" i="50"/>
  <c r="O46" i="50"/>
  <c r="M46" i="50"/>
  <c r="N46" i="50" s="1"/>
  <c r="K46" i="50"/>
  <c r="G46" i="50"/>
  <c r="AF45" i="50"/>
  <c r="V45" i="50"/>
  <c r="O45" i="50"/>
  <c r="M45" i="50"/>
  <c r="N45" i="50" s="1"/>
  <c r="K45" i="50"/>
  <c r="G45" i="50"/>
  <c r="AD44" i="50"/>
  <c r="Z44" i="50"/>
  <c r="Y44" i="50"/>
  <c r="O44" i="50"/>
  <c r="K44" i="50"/>
  <c r="V43" i="50"/>
  <c r="M43" i="50" s="1"/>
  <c r="U43" i="50"/>
  <c r="O43" i="50"/>
  <c r="K43" i="50"/>
  <c r="G43" i="50"/>
  <c r="V42" i="50"/>
  <c r="M42" i="50" s="1"/>
  <c r="U42" i="50"/>
  <c r="O42" i="50"/>
  <c r="K42" i="50"/>
  <c r="G42" i="50"/>
  <c r="X41" i="50"/>
  <c r="W41" i="50"/>
  <c r="V41" i="50"/>
  <c r="M41" i="50" s="1"/>
  <c r="U41" i="50"/>
  <c r="O41" i="50"/>
  <c r="K41" i="50"/>
  <c r="G41" i="50"/>
  <c r="V40" i="50"/>
  <c r="M40" i="50" s="1"/>
  <c r="U40" i="50"/>
  <c r="O40" i="50"/>
  <c r="K40" i="50"/>
  <c r="G40" i="50"/>
  <c r="V39" i="50"/>
  <c r="U39" i="50"/>
  <c r="O39" i="50"/>
  <c r="M39" i="50"/>
  <c r="AF39" i="50" s="1"/>
  <c r="K39" i="50"/>
  <c r="G39" i="50"/>
  <c r="V38" i="50"/>
  <c r="U38" i="50"/>
  <c r="O38" i="50"/>
  <c r="M38" i="50"/>
  <c r="AF38" i="50" s="1"/>
  <c r="K38" i="50"/>
  <c r="G38" i="50"/>
  <c r="X37" i="50"/>
  <c r="W37" i="50"/>
  <c r="V37" i="50"/>
  <c r="M37" i="50" s="1"/>
  <c r="O37" i="50"/>
  <c r="K37" i="50"/>
  <c r="G37" i="50"/>
  <c r="AD36" i="50"/>
  <c r="Z36" i="50"/>
  <c r="Y36" i="50"/>
  <c r="O36" i="50"/>
  <c r="K36" i="50"/>
  <c r="V35" i="50"/>
  <c r="U35" i="50"/>
  <c r="O35" i="50"/>
  <c r="M35" i="50"/>
  <c r="AF35" i="50" s="1"/>
  <c r="K35" i="50"/>
  <c r="G35" i="50"/>
  <c r="V34" i="50"/>
  <c r="M34" i="50" s="1"/>
  <c r="U34" i="50"/>
  <c r="O34" i="50"/>
  <c r="K34" i="50"/>
  <c r="G34" i="50"/>
  <c r="V33" i="50"/>
  <c r="M33" i="50" s="1"/>
  <c r="U33" i="50"/>
  <c r="O33" i="50"/>
  <c r="K33" i="50"/>
  <c r="G33" i="50"/>
  <c r="X32" i="50"/>
  <c r="W32" i="50"/>
  <c r="V32" i="50"/>
  <c r="M32" i="50" s="1"/>
  <c r="U32" i="50"/>
  <c r="O32" i="50"/>
  <c r="K32" i="50"/>
  <c r="G32" i="50"/>
  <c r="V31" i="50"/>
  <c r="M31" i="50" s="1"/>
  <c r="U31" i="50"/>
  <c r="O31" i="50"/>
  <c r="K31" i="50"/>
  <c r="G31" i="50"/>
  <c r="AE30" i="50"/>
  <c r="V30" i="50"/>
  <c r="U30" i="50"/>
  <c r="O30" i="50"/>
  <c r="N30" i="50"/>
  <c r="Q30" i="50" s="1"/>
  <c r="M30" i="50"/>
  <c r="AF30" i="50" s="1"/>
  <c r="K30" i="50"/>
  <c r="G30" i="50"/>
  <c r="X29" i="50"/>
  <c r="W29" i="50"/>
  <c r="V29" i="50"/>
  <c r="M29" i="50" s="1"/>
  <c r="O29" i="50"/>
  <c r="K29" i="50"/>
  <c r="G29" i="50"/>
  <c r="AD28" i="50"/>
  <c r="Z28" i="50"/>
  <c r="Y28" i="50"/>
  <c r="O28" i="50"/>
  <c r="K28" i="50"/>
  <c r="AE27" i="50"/>
  <c r="V27" i="50"/>
  <c r="U27" i="50"/>
  <c r="O27" i="50"/>
  <c r="N27" i="50"/>
  <c r="Q27" i="50" s="1"/>
  <c r="M27" i="50"/>
  <c r="AF27" i="50" s="1"/>
  <c r="K27" i="50"/>
  <c r="G27" i="50"/>
  <c r="X26" i="50"/>
  <c r="W26" i="50"/>
  <c r="V26" i="50"/>
  <c r="M26" i="50" s="1"/>
  <c r="U26" i="50"/>
  <c r="O26" i="50"/>
  <c r="K26" i="50"/>
  <c r="G26" i="50"/>
  <c r="AE25" i="50"/>
  <c r="V25" i="50"/>
  <c r="U25" i="50"/>
  <c r="O25" i="50"/>
  <c r="N25" i="50"/>
  <c r="Q25" i="50" s="1"/>
  <c r="M25" i="50"/>
  <c r="AF25" i="50" s="1"/>
  <c r="K25" i="50"/>
  <c r="G25" i="50"/>
  <c r="V24" i="50"/>
  <c r="U24" i="50"/>
  <c r="O24" i="50"/>
  <c r="M24" i="50"/>
  <c r="N24" i="50" s="1"/>
  <c r="K24" i="50"/>
  <c r="G24" i="50"/>
  <c r="V23" i="50"/>
  <c r="M23" i="50" s="1"/>
  <c r="U23" i="50"/>
  <c r="O23" i="50"/>
  <c r="K23" i="50"/>
  <c r="G23" i="50"/>
  <c r="V22" i="50"/>
  <c r="U22" i="50"/>
  <c r="Q22" i="50"/>
  <c r="P22" i="50"/>
  <c r="O22" i="50"/>
  <c r="N22" i="50"/>
  <c r="M22" i="50"/>
  <c r="AF22" i="50" s="1"/>
  <c r="K22" i="50"/>
  <c r="G22" i="50"/>
  <c r="V21" i="50"/>
  <c r="Q21" i="50"/>
  <c r="P21" i="50"/>
  <c r="O21" i="50"/>
  <c r="N21" i="50"/>
  <c r="M21" i="50"/>
  <c r="AF21" i="50" s="1"/>
  <c r="K21" i="50"/>
  <c r="G21" i="50"/>
  <c r="AD20" i="50"/>
  <c r="Z20" i="50"/>
  <c r="Y20" i="50"/>
  <c r="O20" i="50"/>
  <c r="K20" i="50"/>
  <c r="AF19" i="50"/>
  <c r="AE19" i="50"/>
  <c r="V19" i="50"/>
  <c r="U19" i="50"/>
  <c r="P19" i="50"/>
  <c r="O19" i="50"/>
  <c r="N19" i="50"/>
  <c r="Q19" i="50" s="1"/>
  <c r="M19" i="50"/>
  <c r="K19" i="50"/>
  <c r="G19" i="50"/>
  <c r="AE18" i="50"/>
  <c r="V18" i="50"/>
  <c r="U18" i="50"/>
  <c r="O18" i="50"/>
  <c r="N18" i="50"/>
  <c r="Q18" i="50" s="1"/>
  <c r="M18" i="50"/>
  <c r="AF18" i="50" s="1"/>
  <c r="K18" i="50"/>
  <c r="G18" i="50"/>
  <c r="V17" i="50"/>
  <c r="M17" i="50" s="1"/>
  <c r="U17" i="50"/>
  <c r="O17" i="50"/>
  <c r="K17" i="50"/>
  <c r="G17" i="50"/>
  <c r="V16" i="50"/>
  <c r="U16" i="50"/>
  <c r="O16" i="50"/>
  <c r="M16" i="50"/>
  <c r="AF16" i="50" s="1"/>
  <c r="K16" i="50"/>
  <c r="G16" i="50"/>
  <c r="V15" i="50"/>
  <c r="M15" i="50" s="1"/>
  <c r="U15" i="50"/>
  <c r="O15" i="50"/>
  <c r="K15" i="50"/>
  <c r="G15" i="50"/>
  <c r="V14" i="50"/>
  <c r="M14" i="50" s="1"/>
  <c r="U14" i="50"/>
  <c r="O14" i="50"/>
  <c r="K14" i="50"/>
  <c r="G14" i="50"/>
  <c r="AF13" i="50"/>
  <c r="V13" i="50"/>
  <c r="O13" i="50"/>
  <c r="M13" i="50"/>
  <c r="AE13" i="50" s="1"/>
  <c r="K13" i="50"/>
  <c r="G13" i="50"/>
  <c r="AD12" i="50"/>
  <c r="Z12" i="50"/>
  <c r="Y12" i="50"/>
  <c r="O12" i="50"/>
  <c r="K12" i="50"/>
  <c r="V11" i="50"/>
  <c r="U11" i="50"/>
  <c r="O11" i="50"/>
  <c r="N11" i="50"/>
  <c r="Q11" i="50" s="1"/>
  <c r="M11" i="50"/>
  <c r="AF11" i="50" s="1"/>
  <c r="K11" i="50"/>
  <c r="G11" i="50"/>
  <c r="AF10" i="50"/>
  <c r="AE10" i="50"/>
  <c r="X10" i="50"/>
  <c r="W10" i="50"/>
  <c r="V10" i="50"/>
  <c r="O10" i="50"/>
  <c r="M10" i="50"/>
  <c r="N10" i="50" s="1"/>
  <c r="K10" i="50"/>
  <c r="G10" i="50"/>
  <c r="AD9" i="50"/>
  <c r="AD2" i="50" s="1"/>
  <c r="N6" i="49" s="1"/>
  <c r="Z9" i="50"/>
  <c r="Y9" i="50"/>
  <c r="O9" i="50"/>
  <c r="K9" i="50"/>
  <c r="V8" i="50"/>
  <c r="U8" i="50"/>
  <c r="O8" i="50"/>
  <c r="N8" i="50"/>
  <c r="Q8" i="50" s="1"/>
  <c r="M8" i="50"/>
  <c r="AF8" i="50" s="1"/>
  <c r="K8" i="50"/>
  <c r="G8" i="50"/>
  <c r="X7" i="50"/>
  <c r="W7" i="50"/>
  <c r="V7" i="50"/>
  <c r="M7" i="50" s="1"/>
  <c r="U7" i="50"/>
  <c r="O7" i="50"/>
  <c r="K7" i="50"/>
  <c r="G7" i="50"/>
  <c r="V6" i="50"/>
  <c r="U6" i="50"/>
  <c r="O6" i="50"/>
  <c r="N6" i="50"/>
  <c r="Q6" i="50" s="1"/>
  <c r="M6" i="50"/>
  <c r="AF6" i="50" s="1"/>
  <c r="K6" i="50"/>
  <c r="G6" i="50"/>
  <c r="V5" i="50"/>
  <c r="O5" i="50"/>
  <c r="N5" i="50"/>
  <c r="Q5" i="50" s="1"/>
  <c r="M5" i="50"/>
  <c r="K5" i="50"/>
  <c r="G5" i="50"/>
  <c r="AC2" i="50"/>
  <c r="Z2" i="50"/>
  <c r="Y2" i="50"/>
  <c r="H2" i="50"/>
  <c r="H1" i="50"/>
  <c r="F1" i="50"/>
  <c r="F2" i="50" s="1"/>
  <c r="D1" i="50"/>
  <c r="M22" i="49"/>
  <c r="L22" i="49"/>
  <c r="K22" i="49"/>
  <c r="J22" i="49"/>
  <c r="I22" i="49"/>
  <c r="H22" i="49"/>
  <c r="G22" i="49"/>
  <c r="F22" i="49"/>
  <c r="E22" i="49"/>
  <c r="D22" i="49"/>
  <c r="M21" i="49"/>
  <c r="L21" i="49"/>
  <c r="K21" i="49"/>
  <c r="J21" i="49"/>
  <c r="I21" i="49"/>
  <c r="H21" i="49"/>
  <c r="G21" i="49"/>
  <c r="F21" i="49"/>
  <c r="E21" i="49"/>
  <c r="D21" i="49"/>
  <c r="M20" i="49"/>
  <c r="L20" i="49"/>
  <c r="K20" i="49"/>
  <c r="J20" i="49"/>
  <c r="I20" i="49"/>
  <c r="H20" i="49"/>
  <c r="G20" i="49"/>
  <c r="F20" i="49"/>
  <c r="E20" i="49"/>
  <c r="D20" i="49"/>
  <c r="M19" i="49"/>
  <c r="L19" i="49"/>
  <c r="K19" i="49"/>
  <c r="J19" i="49"/>
  <c r="I19" i="49"/>
  <c r="H19" i="49"/>
  <c r="G19" i="49"/>
  <c r="F19" i="49"/>
  <c r="E19" i="49"/>
  <c r="D19" i="49"/>
  <c r="M18" i="49"/>
  <c r="L18" i="49"/>
  <c r="K18" i="49"/>
  <c r="J18" i="49"/>
  <c r="I18" i="49"/>
  <c r="H18" i="49"/>
  <c r="G18" i="49"/>
  <c r="F18" i="49"/>
  <c r="E18" i="49"/>
  <c r="D18" i="49"/>
  <c r="M17" i="49"/>
  <c r="L17" i="49"/>
  <c r="K17" i="49"/>
  <c r="J17" i="49"/>
  <c r="I17" i="49"/>
  <c r="H17" i="49"/>
  <c r="G17" i="49"/>
  <c r="F17" i="49"/>
  <c r="E17" i="49"/>
  <c r="D17" i="49"/>
  <c r="M16" i="49"/>
  <c r="L16" i="49"/>
  <c r="K16" i="49"/>
  <c r="J16" i="49"/>
  <c r="I16" i="49"/>
  <c r="H16" i="49"/>
  <c r="G16" i="49"/>
  <c r="F16" i="49"/>
  <c r="E16" i="49"/>
  <c r="D16" i="49"/>
  <c r="M13" i="49"/>
  <c r="L13" i="49"/>
  <c r="K13" i="49"/>
  <c r="I6" i="49" s="1"/>
  <c r="J13" i="49"/>
  <c r="I13" i="49"/>
  <c r="H13" i="49"/>
  <c r="F6" i="49" s="1"/>
  <c r="G13" i="49"/>
  <c r="F13" i="49"/>
  <c r="E13" i="49"/>
  <c r="D13" i="49"/>
  <c r="M6" i="49"/>
  <c r="L6" i="49"/>
  <c r="K6" i="49"/>
  <c r="I3" i="49"/>
  <c r="F3" i="49"/>
  <c r="C3" i="49"/>
  <c r="E8" i="59" l="1"/>
  <c r="G8" i="59"/>
  <c r="F8" i="59"/>
  <c r="I7" i="55"/>
  <c r="K15" i="55"/>
  <c r="I8" i="55" s="1"/>
  <c r="G7" i="55"/>
  <c r="F7" i="55"/>
  <c r="E7" i="55"/>
  <c r="D15" i="55"/>
  <c r="Q9" i="54"/>
  <c r="R5" i="54" s="1"/>
  <c r="P9" i="54"/>
  <c r="D14" i="53"/>
  <c r="D2" i="54"/>
  <c r="P46" i="54"/>
  <c r="Q46" i="54"/>
  <c r="R38" i="54" s="1"/>
  <c r="L14" i="53"/>
  <c r="L15" i="53" s="1"/>
  <c r="Q73" i="54"/>
  <c r="R66" i="54" s="1"/>
  <c r="P73" i="54"/>
  <c r="M14" i="53"/>
  <c r="M15" i="53" s="1"/>
  <c r="Q20" i="54"/>
  <c r="R13" i="54" s="1"/>
  <c r="F14" i="53"/>
  <c r="F15" i="53" s="1"/>
  <c r="P20" i="54"/>
  <c r="Q37" i="54"/>
  <c r="R29" i="54" s="1"/>
  <c r="P37" i="54"/>
  <c r="K14" i="53"/>
  <c r="Q60" i="54"/>
  <c r="R53" i="54" s="1"/>
  <c r="P60" i="54"/>
  <c r="I14" i="53"/>
  <c r="I15" i="53" s="1"/>
  <c r="P52" i="54"/>
  <c r="Q52" i="54"/>
  <c r="R47" i="54" s="1"/>
  <c r="H14" i="53"/>
  <c r="H15" i="53" s="1"/>
  <c r="Q28" i="54"/>
  <c r="R21" i="54" s="1"/>
  <c r="G14" i="53"/>
  <c r="G15" i="53" s="1"/>
  <c r="P28" i="54"/>
  <c r="AE27" i="52"/>
  <c r="AF27" i="52"/>
  <c r="AG21" i="52" s="1"/>
  <c r="N27" i="52"/>
  <c r="Q55" i="52"/>
  <c r="P55" i="52"/>
  <c r="P22" i="52"/>
  <c r="Q22" i="52"/>
  <c r="Q8" i="52"/>
  <c r="P8" i="52"/>
  <c r="Q21" i="52"/>
  <c r="P21" i="52"/>
  <c r="P16" i="52"/>
  <c r="Q16" i="52"/>
  <c r="Q40" i="52"/>
  <c r="P40" i="52"/>
  <c r="P49" i="52"/>
  <c r="Q49" i="52"/>
  <c r="Q39" i="52"/>
  <c r="P39" i="52"/>
  <c r="Q10" i="52"/>
  <c r="P10" i="52"/>
  <c r="P66" i="52"/>
  <c r="Q66" i="52"/>
  <c r="Q24" i="52"/>
  <c r="P24" i="52"/>
  <c r="Q18" i="52"/>
  <c r="P18" i="52"/>
  <c r="P58" i="52"/>
  <c r="Q58" i="52"/>
  <c r="N33" i="52"/>
  <c r="AF33" i="52"/>
  <c r="AG28" i="52" s="1"/>
  <c r="AE33" i="52"/>
  <c r="Q43" i="52"/>
  <c r="P43" i="52"/>
  <c r="Q36" i="52"/>
  <c r="P36" i="52"/>
  <c r="N9" i="52"/>
  <c r="AF9" i="52"/>
  <c r="AG5" i="52" s="1"/>
  <c r="AE9" i="52"/>
  <c r="Q15" i="52"/>
  <c r="P15" i="52"/>
  <c r="P37" i="52"/>
  <c r="Q37" i="52"/>
  <c r="Q11" i="52"/>
  <c r="P11" i="52"/>
  <c r="AF68" i="52"/>
  <c r="AG60" i="52" s="1"/>
  <c r="AE68" i="52"/>
  <c r="N68" i="52"/>
  <c r="J14" i="51"/>
  <c r="J15" i="51" s="1"/>
  <c r="Q59" i="52"/>
  <c r="R55" i="52" s="1"/>
  <c r="P59" i="52"/>
  <c r="P25" i="52"/>
  <c r="Q25" i="52"/>
  <c r="N12" i="52"/>
  <c r="AF12" i="52"/>
  <c r="AG10" i="52" s="1"/>
  <c r="AE12" i="52"/>
  <c r="Q32" i="52"/>
  <c r="P32" i="52"/>
  <c r="P48" i="52"/>
  <c r="Q48" i="52"/>
  <c r="AF54" i="52"/>
  <c r="AG47" i="52" s="1"/>
  <c r="AE54" i="52"/>
  <c r="N54" i="52"/>
  <c r="Q6" i="52"/>
  <c r="P6" i="52"/>
  <c r="Q17" i="52"/>
  <c r="P17" i="52"/>
  <c r="Q13" i="52"/>
  <c r="P13" i="52"/>
  <c r="P50" i="52"/>
  <c r="Q50" i="52"/>
  <c r="P44" i="52"/>
  <c r="Q44" i="52"/>
  <c r="P67" i="52"/>
  <c r="Q67" i="52"/>
  <c r="P57" i="52"/>
  <c r="Q57" i="52"/>
  <c r="AF41" i="52"/>
  <c r="AG34" i="52" s="1"/>
  <c r="AE41" i="52"/>
  <c r="N41" i="52"/>
  <c r="P29" i="52"/>
  <c r="Q29" i="52"/>
  <c r="Q52" i="52"/>
  <c r="P52" i="52"/>
  <c r="AF20" i="52"/>
  <c r="AG13" i="52" s="1"/>
  <c r="AE20" i="52"/>
  <c r="N20" i="52"/>
  <c r="N26" i="50"/>
  <c r="AF26" i="50"/>
  <c r="AE26" i="50"/>
  <c r="N60" i="50"/>
  <c r="AF60" i="50"/>
  <c r="AE60" i="50"/>
  <c r="AF40" i="50"/>
  <c r="AE40" i="50"/>
  <c r="N40" i="50"/>
  <c r="AF42" i="50"/>
  <c r="AE42" i="50"/>
  <c r="N42" i="50"/>
  <c r="N65" i="50"/>
  <c r="AF65" i="50"/>
  <c r="AE65" i="50"/>
  <c r="Q45" i="50"/>
  <c r="P45" i="50"/>
  <c r="N58" i="50"/>
  <c r="M62" i="50"/>
  <c r="AF58" i="50"/>
  <c r="AE58" i="50"/>
  <c r="N63" i="50"/>
  <c r="AF63" i="50"/>
  <c r="AE63" i="50"/>
  <c r="M71" i="50"/>
  <c r="M9" i="50"/>
  <c r="N32" i="50"/>
  <c r="AF32" i="50"/>
  <c r="AE32" i="50"/>
  <c r="AF34" i="50"/>
  <c r="AE34" i="50"/>
  <c r="N34" i="50"/>
  <c r="N61" i="50"/>
  <c r="AF61" i="50"/>
  <c r="AE61" i="50"/>
  <c r="Q10" i="50"/>
  <c r="P10" i="50"/>
  <c r="AF14" i="50"/>
  <c r="AE14" i="50"/>
  <c r="N14" i="50"/>
  <c r="N23" i="50"/>
  <c r="AF23" i="50"/>
  <c r="AE23" i="50"/>
  <c r="AF41" i="50"/>
  <c r="AE41" i="50"/>
  <c r="N41" i="50"/>
  <c r="AF43" i="50"/>
  <c r="AE43" i="50"/>
  <c r="N43" i="50"/>
  <c r="M57" i="50"/>
  <c r="N47" i="50"/>
  <c r="M49" i="50"/>
  <c r="AF47" i="50"/>
  <c r="AE47" i="50"/>
  <c r="AF56" i="50"/>
  <c r="AE56" i="50"/>
  <c r="N56" i="50"/>
  <c r="N7" i="50"/>
  <c r="AF7" i="50"/>
  <c r="AE7" i="50"/>
  <c r="AF37" i="50"/>
  <c r="M44" i="50"/>
  <c r="AE37" i="50"/>
  <c r="N37" i="50"/>
  <c r="N29" i="50"/>
  <c r="AF29" i="50"/>
  <c r="M36" i="50"/>
  <c r="AE29" i="50"/>
  <c r="N59" i="50"/>
  <c r="AF59" i="50"/>
  <c r="AE59" i="50"/>
  <c r="N66" i="50"/>
  <c r="AF66" i="50"/>
  <c r="AE66" i="50"/>
  <c r="Q68" i="50"/>
  <c r="P68" i="50"/>
  <c r="Q24" i="50"/>
  <c r="P24" i="50"/>
  <c r="Q46" i="50"/>
  <c r="P46" i="50"/>
  <c r="AF17" i="50"/>
  <c r="AE17" i="50"/>
  <c r="N17" i="50"/>
  <c r="AF15" i="50"/>
  <c r="AE15" i="50"/>
  <c r="N15" i="50"/>
  <c r="N64" i="50"/>
  <c r="AF64" i="50"/>
  <c r="AE64" i="50"/>
  <c r="AE31" i="50"/>
  <c r="N31" i="50"/>
  <c r="AF31" i="50"/>
  <c r="AE33" i="50"/>
  <c r="N33" i="50"/>
  <c r="AF33" i="50"/>
  <c r="N48" i="50"/>
  <c r="AF48" i="50"/>
  <c r="AE48" i="50"/>
  <c r="AE5" i="50"/>
  <c r="AE6" i="50"/>
  <c r="AE8" i="50"/>
  <c r="AE11" i="50"/>
  <c r="AF5" i="50"/>
  <c r="AE24" i="50"/>
  <c r="N16" i="50"/>
  <c r="P18" i="50"/>
  <c r="AF24" i="50"/>
  <c r="N39" i="50"/>
  <c r="N55" i="50"/>
  <c r="E6" i="49"/>
  <c r="G6" i="49"/>
  <c r="M12" i="50"/>
  <c r="AE21" i="50"/>
  <c r="AE22" i="50"/>
  <c r="M28" i="50"/>
  <c r="N35" i="50"/>
  <c r="N38" i="50"/>
  <c r="N54" i="50"/>
  <c r="N13" i="50"/>
  <c r="AE45" i="50"/>
  <c r="AE46" i="50"/>
  <c r="N70" i="50"/>
  <c r="P52" i="50"/>
  <c r="P5" i="50"/>
  <c r="P6" i="50"/>
  <c r="P8" i="50"/>
  <c r="P11" i="50"/>
  <c r="AE16" i="50"/>
  <c r="M20" i="50"/>
  <c r="P25" i="50"/>
  <c r="P27" i="50"/>
  <c r="P30" i="50"/>
  <c r="AE39" i="50"/>
  <c r="P50" i="50"/>
  <c r="P51" i="50"/>
  <c r="AE55" i="50"/>
  <c r="P67" i="50"/>
  <c r="P69" i="50"/>
  <c r="AE35" i="50"/>
  <c r="AE38" i="50"/>
  <c r="AE54" i="50"/>
  <c r="AE53" i="50"/>
  <c r="AD66" i="48"/>
  <c r="Z66" i="48"/>
  <c r="Y66" i="48"/>
  <c r="O66" i="48"/>
  <c r="K66" i="48"/>
  <c r="AF65" i="48"/>
  <c r="V65" i="48"/>
  <c r="U65" i="48"/>
  <c r="O65" i="48"/>
  <c r="M65" i="48"/>
  <c r="AE65" i="48" s="1"/>
  <c r="K65" i="48"/>
  <c r="G65" i="48"/>
  <c r="AF64" i="48"/>
  <c r="AE64" i="48"/>
  <c r="V64" i="48"/>
  <c r="U64" i="48"/>
  <c r="O64" i="48"/>
  <c r="M64" i="48"/>
  <c r="N64" i="48" s="1"/>
  <c r="K64" i="48"/>
  <c r="G64" i="48"/>
  <c r="V63" i="48"/>
  <c r="M63" i="48" s="1"/>
  <c r="U63" i="48"/>
  <c r="O63" i="48"/>
  <c r="K63" i="48"/>
  <c r="G63" i="48"/>
  <c r="V62" i="48"/>
  <c r="M62" i="48" s="1"/>
  <c r="U62" i="48"/>
  <c r="O62" i="48"/>
  <c r="K62" i="48"/>
  <c r="G62" i="48"/>
  <c r="V61" i="48"/>
  <c r="M61" i="48" s="1"/>
  <c r="U61" i="48"/>
  <c r="O61" i="48"/>
  <c r="K61" i="48"/>
  <c r="G61" i="48"/>
  <c r="X60" i="48"/>
  <c r="W60" i="48"/>
  <c r="V60" i="48"/>
  <c r="M60" i="48" s="1"/>
  <c r="O60" i="48"/>
  <c r="K60" i="48"/>
  <c r="G60" i="48"/>
  <c r="AD59" i="48"/>
  <c r="Z59" i="48"/>
  <c r="J19" i="47" s="1"/>
  <c r="Y59" i="48"/>
  <c r="O59" i="48"/>
  <c r="K59" i="48"/>
  <c r="V58" i="48"/>
  <c r="M58" i="48" s="1"/>
  <c r="U58" i="48"/>
  <c r="O58" i="48"/>
  <c r="K58" i="48"/>
  <c r="G58" i="48"/>
  <c r="V57" i="48"/>
  <c r="M57" i="48" s="1"/>
  <c r="U57" i="48"/>
  <c r="O57" i="48"/>
  <c r="K57" i="48"/>
  <c r="G57" i="48"/>
  <c r="V56" i="48"/>
  <c r="M56" i="48" s="1"/>
  <c r="U56" i="48"/>
  <c r="O56" i="48"/>
  <c r="K56" i="48"/>
  <c r="G56" i="48"/>
  <c r="V55" i="48"/>
  <c r="M55" i="48" s="1"/>
  <c r="O55" i="48"/>
  <c r="K55" i="48"/>
  <c r="G55" i="48"/>
  <c r="AD54" i="48"/>
  <c r="Z54" i="48"/>
  <c r="Y54" i="48"/>
  <c r="O54" i="48"/>
  <c r="K54" i="48"/>
  <c r="V53" i="48"/>
  <c r="U53" i="48"/>
  <c r="O53" i="48"/>
  <c r="M53" i="48"/>
  <c r="AF53" i="48" s="1"/>
  <c r="K53" i="48"/>
  <c r="G53" i="48"/>
  <c r="V52" i="48"/>
  <c r="U52" i="48"/>
  <c r="O52" i="48"/>
  <c r="N52" i="48"/>
  <c r="P52" i="48" s="1"/>
  <c r="M52" i="48"/>
  <c r="AF52" i="48" s="1"/>
  <c r="K52" i="48"/>
  <c r="Q52" i="48" s="1"/>
  <c r="G52" i="48"/>
  <c r="V51" i="48"/>
  <c r="U51" i="48"/>
  <c r="O51" i="48"/>
  <c r="M51" i="48"/>
  <c r="AF51" i="48" s="1"/>
  <c r="K51" i="48"/>
  <c r="G51" i="48"/>
  <c r="V50" i="48"/>
  <c r="U50" i="48"/>
  <c r="O50" i="48"/>
  <c r="M50" i="48"/>
  <c r="AF50" i="48" s="1"/>
  <c r="K50" i="48"/>
  <c r="G50" i="48"/>
  <c r="AF49" i="48"/>
  <c r="V49" i="48"/>
  <c r="U49" i="48"/>
  <c r="O49" i="48"/>
  <c r="N49" i="48"/>
  <c r="Q49" i="48" s="1"/>
  <c r="M49" i="48"/>
  <c r="AE49" i="48" s="1"/>
  <c r="K49" i="48"/>
  <c r="G49" i="48"/>
  <c r="AE48" i="48"/>
  <c r="V48" i="48"/>
  <c r="U48" i="48"/>
  <c r="O48" i="48"/>
  <c r="N48" i="48"/>
  <c r="Q48" i="48" s="1"/>
  <c r="M48" i="48"/>
  <c r="AF48" i="48" s="1"/>
  <c r="K48" i="48"/>
  <c r="G48" i="48"/>
  <c r="AE47" i="48"/>
  <c r="V47" i="48"/>
  <c r="O47" i="48"/>
  <c r="N47" i="48"/>
  <c r="Q47" i="48" s="1"/>
  <c r="M47" i="48"/>
  <c r="M54" i="48" s="1"/>
  <c r="K47" i="48"/>
  <c r="G47" i="48"/>
  <c r="AD46" i="48"/>
  <c r="Z46" i="48"/>
  <c r="Y46" i="48"/>
  <c r="O46" i="48"/>
  <c r="M46" i="48"/>
  <c r="N46" i="48" s="1"/>
  <c r="K46" i="48"/>
  <c r="V45" i="48"/>
  <c r="U45" i="48"/>
  <c r="O45" i="48"/>
  <c r="M45" i="48"/>
  <c r="N45" i="48" s="1"/>
  <c r="K45" i="48"/>
  <c r="G45" i="48"/>
  <c r="V44" i="48"/>
  <c r="U44" i="48"/>
  <c r="O44" i="48"/>
  <c r="M44" i="48"/>
  <c r="N44" i="48" s="1"/>
  <c r="K44" i="48"/>
  <c r="G44" i="48"/>
  <c r="AF43" i="48"/>
  <c r="V43" i="48"/>
  <c r="U43" i="48"/>
  <c r="P43" i="48"/>
  <c r="O43" i="48"/>
  <c r="N43" i="48"/>
  <c r="Q43" i="48" s="1"/>
  <c r="M43" i="48"/>
  <c r="AE43" i="48" s="1"/>
  <c r="K43" i="48"/>
  <c r="G43" i="48"/>
  <c r="AF42" i="48"/>
  <c r="V42" i="48"/>
  <c r="P42" i="48"/>
  <c r="O42" i="48"/>
  <c r="N42" i="48"/>
  <c r="Q42" i="48" s="1"/>
  <c r="M42" i="48"/>
  <c r="AE42" i="48" s="1"/>
  <c r="K42" i="48"/>
  <c r="G42" i="48"/>
  <c r="AD41" i="48"/>
  <c r="Z41" i="48"/>
  <c r="Y41" i="48"/>
  <c r="O41" i="48"/>
  <c r="K41" i="48"/>
  <c r="V40" i="48"/>
  <c r="M40" i="48" s="1"/>
  <c r="U40" i="48"/>
  <c r="O40" i="48"/>
  <c r="K40" i="48"/>
  <c r="G40" i="48"/>
  <c r="X39" i="48"/>
  <c r="W39" i="48"/>
  <c r="V39" i="48"/>
  <c r="U39" i="48"/>
  <c r="O39" i="48"/>
  <c r="M39" i="48"/>
  <c r="N39" i="48" s="1"/>
  <c r="K39" i="48"/>
  <c r="G39" i="48"/>
  <c r="V38" i="48"/>
  <c r="M38" i="48" s="1"/>
  <c r="U38" i="48"/>
  <c r="O38" i="48"/>
  <c r="K38" i="48"/>
  <c r="G38" i="48"/>
  <c r="V37" i="48"/>
  <c r="U37" i="48"/>
  <c r="O37" i="48"/>
  <c r="M37" i="48"/>
  <c r="AF37" i="48" s="1"/>
  <c r="K37" i="48"/>
  <c r="G37" i="48"/>
  <c r="V36" i="48"/>
  <c r="M36" i="48" s="1"/>
  <c r="U36" i="48"/>
  <c r="O36" i="48"/>
  <c r="K36" i="48"/>
  <c r="G36" i="48"/>
  <c r="X35" i="48"/>
  <c r="W35" i="48"/>
  <c r="V35" i="48"/>
  <c r="M35" i="48" s="1"/>
  <c r="O35" i="48"/>
  <c r="K35" i="48"/>
  <c r="G35" i="48"/>
  <c r="AD34" i="48"/>
  <c r="Z34" i="48"/>
  <c r="Y34" i="48"/>
  <c r="O34" i="48"/>
  <c r="K34" i="48"/>
  <c r="V33" i="48"/>
  <c r="M33" i="48" s="1"/>
  <c r="U33" i="48"/>
  <c r="O33" i="48"/>
  <c r="K33" i="48"/>
  <c r="G33" i="48"/>
  <c r="V32" i="48"/>
  <c r="M32" i="48" s="1"/>
  <c r="U32" i="48"/>
  <c r="O32" i="48"/>
  <c r="K32" i="48"/>
  <c r="G32" i="48"/>
  <c r="V31" i="48"/>
  <c r="M31" i="48" s="1"/>
  <c r="U31" i="48"/>
  <c r="O31" i="48"/>
  <c r="K31" i="48"/>
  <c r="G31" i="48"/>
  <c r="X30" i="48"/>
  <c r="W30" i="48"/>
  <c r="V30" i="48"/>
  <c r="M30" i="48" s="1"/>
  <c r="O30" i="48"/>
  <c r="K30" i="48"/>
  <c r="G30" i="48"/>
  <c r="AD29" i="48"/>
  <c r="Z29" i="48"/>
  <c r="Y29" i="48"/>
  <c r="O29" i="48"/>
  <c r="K29" i="48"/>
  <c r="G13" i="47" s="1"/>
  <c r="V28" i="48"/>
  <c r="M28" i="48" s="1"/>
  <c r="U28" i="48"/>
  <c r="O28" i="48"/>
  <c r="K28" i="48"/>
  <c r="G28" i="48"/>
  <c r="X27" i="48"/>
  <c r="W27" i="48"/>
  <c r="V27" i="48"/>
  <c r="M27" i="48" s="1"/>
  <c r="U27" i="48"/>
  <c r="O27" i="48"/>
  <c r="K27" i="48"/>
  <c r="G27" i="48"/>
  <c r="V26" i="48"/>
  <c r="M26" i="48" s="1"/>
  <c r="U26" i="48"/>
  <c r="O26" i="48"/>
  <c r="K26" i="48"/>
  <c r="G26" i="48"/>
  <c r="V25" i="48"/>
  <c r="M25" i="48" s="1"/>
  <c r="U25" i="48"/>
  <c r="O25" i="48"/>
  <c r="K25" i="48"/>
  <c r="G25" i="48"/>
  <c r="AE24" i="48"/>
  <c r="V24" i="48"/>
  <c r="U24" i="48"/>
  <c r="O24" i="48"/>
  <c r="N24" i="48"/>
  <c r="Q24" i="48" s="1"/>
  <c r="M24" i="48"/>
  <c r="AF24" i="48" s="1"/>
  <c r="K24" i="48"/>
  <c r="G24" i="48"/>
  <c r="V23" i="48"/>
  <c r="M23" i="48" s="1"/>
  <c r="U23" i="48"/>
  <c r="O23" i="48"/>
  <c r="K23" i="48"/>
  <c r="G23" i="48"/>
  <c r="V22" i="48"/>
  <c r="M22" i="48" s="1"/>
  <c r="O22" i="48"/>
  <c r="K22" i="48"/>
  <c r="G22" i="48"/>
  <c r="AD21" i="48"/>
  <c r="Z21" i="48"/>
  <c r="F19" i="47" s="1"/>
  <c r="Y21" i="48"/>
  <c r="O21" i="48"/>
  <c r="K21" i="48"/>
  <c r="V20" i="48"/>
  <c r="U20" i="48"/>
  <c r="Q20" i="48"/>
  <c r="O20" i="48"/>
  <c r="N20" i="48"/>
  <c r="P20" i="48" s="1"/>
  <c r="M20" i="48"/>
  <c r="AF20" i="48" s="1"/>
  <c r="K20" i="48"/>
  <c r="G20" i="48"/>
  <c r="V19" i="48"/>
  <c r="U19" i="48"/>
  <c r="O19" i="48"/>
  <c r="M19" i="48"/>
  <c r="N19" i="48" s="1"/>
  <c r="K19" i="48"/>
  <c r="G19" i="48"/>
  <c r="AF18" i="48"/>
  <c r="AE18" i="48"/>
  <c r="V18" i="48"/>
  <c r="U18" i="48"/>
  <c r="O18" i="48"/>
  <c r="M18" i="48"/>
  <c r="N18" i="48" s="1"/>
  <c r="K18" i="48"/>
  <c r="G18" i="48"/>
  <c r="V17" i="48"/>
  <c r="M17" i="48" s="1"/>
  <c r="U17" i="48"/>
  <c r="O17" i="48"/>
  <c r="K17" i="48"/>
  <c r="G17" i="48"/>
  <c r="V16" i="48"/>
  <c r="U16" i="48"/>
  <c r="O16" i="48"/>
  <c r="M16" i="48"/>
  <c r="AF16" i="48" s="1"/>
  <c r="K16" i="48"/>
  <c r="G16" i="48"/>
  <c r="V15" i="48"/>
  <c r="M15" i="48" s="1"/>
  <c r="U15" i="48"/>
  <c r="O15" i="48"/>
  <c r="K15" i="48"/>
  <c r="G15" i="48"/>
  <c r="V14" i="48"/>
  <c r="M14" i="48" s="1"/>
  <c r="O14" i="48"/>
  <c r="K14" i="48"/>
  <c r="G14" i="48"/>
  <c r="AD13" i="48"/>
  <c r="Z13" i="48"/>
  <c r="Y13" i="48"/>
  <c r="Y2" i="48" s="1"/>
  <c r="K6" i="47" s="1"/>
  <c r="O13" i="48"/>
  <c r="K13" i="48"/>
  <c r="E13" i="47" s="1"/>
  <c r="V12" i="48"/>
  <c r="U12" i="48"/>
  <c r="O12" i="48"/>
  <c r="M12" i="48"/>
  <c r="AF12" i="48" s="1"/>
  <c r="K12" i="48"/>
  <c r="G12" i="48"/>
  <c r="V11" i="48"/>
  <c r="M11" i="48" s="1"/>
  <c r="U11" i="48"/>
  <c r="O11" i="48"/>
  <c r="K11" i="48"/>
  <c r="G11" i="48"/>
  <c r="X10" i="48"/>
  <c r="W10" i="48"/>
  <c r="V10" i="48"/>
  <c r="M10" i="48" s="1"/>
  <c r="O10" i="48"/>
  <c r="K10" i="48"/>
  <c r="G10" i="48"/>
  <c r="F1" i="48" s="1"/>
  <c r="AD9" i="48"/>
  <c r="AD2" i="48" s="1"/>
  <c r="N6" i="47" s="1"/>
  <c r="Z9" i="48"/>
  <c r="Z2" i="48" s="1"/>
  <c r="L6" i="47" s="1"/>
  <c r="Y9" i="48"/>
  <c r="O9" i="48"/>
  <c r="K9" i="48"/>
  <c r="V8" i="48"/>
  <c r="M8" i="48" s="1"/>
  <c r="U8" i="48"/>
  <c r="O8" i="48"/>
  <c r="K8" i="48"/>
  <c r="G8" i="48"/>
  <c r="X7" i="48"/>
  <c r="W7" i="48"/>
  <c r="V7" i="48"/>
  <c r="M7" i="48" s="1"/>
  <c r="U7" i="48"/>
  <c r="O7" i="48"/>
  <c r="K7" i="48"/>
  <c r="G7" i="48"/>
  <c r="V6" i="48"/>
  <c r="M6" i="48" s="1"/>
  <c r="U6" i="48"/>
  <c r="O6" i="48"/>
  <c r="K6" i="48"/>
  <c r="G6" i="48"/>
  <c r="V5" i="48"/>
  <c r="M5" i="48" s="1"/>
  <c r="O5" i="48"/>
  <c r="K5" i="48"/>
  <c r="G5" i="48"/>
  <c r="AC2" i="48"/>
  <c r="M6" i="47" s="1"/>
  <c r="H2" i="48"/>
  <c r="H1" i="48"/>
  <c r="D1" i="48"/>
  <c r="M22" i="47"/>
  <c r="L22" i="47"/>
  <c r="K22" i="47"/>
  <c r="J22" i="47"/>
  <c r="I22" i="47"/>
  <c r="H22" i="47"/>
  <c r="G22" i="47"/>
  <c r="F22" i="47"/>
  <c r="E22" i="47"/>
  <c r="D22" i="47"/>
  <c r="M21" i="47"/>
  <c r="L21" i="47"/>
  <c r="K21" i="47"/>
  <c r="J21" i="47"/>
  <c r="I21" i="47"/>
  <c r="H21" i="47"/>
  <c r="G21" i="47"/>
  <c r="F21" i="47"/>
  <c r="E21" i="47"/>
  <c r="D21" i="47"/>
  <c r="M20" i="47"/>
  <c r="L20" i="47"/>
  <c r="K20" i="47"/>
  <c r="J20" i="47"/>
  <c r="I20" i="47"/>
  <c r="H20" i="47"/>
  <c r="G20" i="47"/>
  <c r="F20" i="47"/>
  <c r="E20" i="47"/>
  <c r="D20" i="47"/>
  <c r="M19" i="47"/>
  <c r="L19" i="47"/>
  <c r="K19" i="47"/>
  <c r="I19" i="47"/>
  <c r="H19" i="47"/>
  <c r="G19" i="47"/>
  <c r="E19" i="47"/>
  <c r="D19" i="47"/>
  <c r="M18" i="47"/>
  <c r="L18" i="47"/>
  <c r="K18" i="47"/>
  <c r="J18" i="47"/>
  <c r="I18" i="47"/>
  <c r="H18" i="47"/>
  <c r="G18" i="47"/>
  <c r="F18" i="47"/>
  <c r="E18" i="47"/>
  <c r="D18" i="47"/>
  <c r="M17" i="47"/>
  <c r="L17" i="47"/>
  <c r="K17" i="47"/>
  <c r="J17" i="47"/>
  <c r="I17" i="47"/>
  <c r="H17" i="47"/>
  <c r="G17" i="47"/>
  <c r="F17" i="47"/>
  <c r="E17" i="47"/>
  <c r="D17" i="47"/>
  <c r="M16" i="47"/>
  <c r="L16" i="47"/>
  <c r="K16" i="47"/>
  <c r="J16" i="47"/>
  <c r="I16" i="47"/>
  <c r="H16" i="47"/>
  <c r="G16" i="47"/>
  <c r="F16" i="47"/>
  <c r="E16" i="47"/>
  <c r="D16" i="47"/>
  <c r="M13" i="47"/>
  <c r="L13" i="47"/>
  <c r="K13" i="47"/>
  <c r="I6" i="47" s="1"/>
  <c r="J13" i="47"/>
  <c r="I13" i="47"/>
  <c r="H13" i="47"/>
  <c r="F13" i="47"/>
  <c r="D13" i="47"/>
  <c r="F3" i="47"/>
  <c r="C3" i="47"/>
  <c r="E8" i="55" l="1"/>
  <c r="G8" i="55"/>
  <c r="F8" i="55"/>
  <c r="K15" i="53"/>
  <c r="I8" i="53" s="1"/>
  <c r="I7" i="53"/>
  <c r="F7" i="53"/>
  <c r="D15" i="53"/>
  <c r="E7" i="53"/>
  <c r="G7" i="53"/>
  <c r="L14" i="51"/>
  <c r="L15" i="51" s="1"/>
  <c r="Q41" i="52"/>
  <c r="R34" i="52" s="1"/>
  <c r="P41" i="52"/>
  <c r="K14" i="51"/>
  <c r="Q33" i="52"/>
  <c r="R28" i="52" s="1"/>
  <c r="P33" i="52"/>
  <c r="F14" i="51"/>
  <c r="F15" i="51" s="1"/>
  <c r="Q20" i="52"/>
  <c r="R13" i="52" s="1"/>
  <c r="P20" i="52"/>
  <c r="I14" i="51"/>
  <c r="I15" i="51" s="1"/>
  <c r="Q54" i="52"/>
  <c r="R47" i="52" s="1"/>
  <c r="P54" i="52"/>
  <c r="G14" i="51"/>
  <c r="G15" i="51" s="1"/>
  <c r="Q27" i="52"/>
  <c r="R21" i="52" s="1"/>
  <c r="P27" i="52"/>
  <c r="Q68" i="52"/>
  <c r="R60" i="52" s="1"/>
  <c r="P68" i="52"/>
  <c r="M14" i="51"/>
  <c r="M15" i="51" s="1"/>
  <c r="D14" i="51"/>
  <c r="D2" i="52"/>
  <c r="Q9" i="52"/>
  <c r="R5" i="52" s="1"/>
  <c r="P9" i="52"/>
  <c r="Q12" i="52"/>
  <c r="R10" i="52" s="1"/>
  <c r="P12" i="52"/>
  <c r="E14" i="51"/>
  <c r="E15" i="51" s="1"/>
  <c r="Q39" i="50"/>
  <c r="P39" i="50"/>
  <c r="Q48" i="50"/>
  <c r="P48" i="50"/>
  <c r="Q66" i="50"/>
  <c r="P66" i="50"/>
  <c r="Q42" i="50"/>
  <c r="P42" i="50"/>
  <c r="Q54" i="50"/>
  <c r="P54" i="50"/>
  <c r="Q33" i="50"/>
  <c r="P33" i="50"/>
  <c r="Q7" i="50"/>
  <c r="P7" i="50"/>
  <c r="Q41" i="50"/>
  <c r="P41" i="50"/>
  <c r="Q63" i="50"/>
  <c r="P63" i="50"/>
  <c r="N20" i="50"/>
  <c r="AF20" i="50"/>
  <c r="AG13" i="50" s="1"/>
  <c r="AE20" i="50"/>
  <c r="Q38" i="50"/>
  <c r="P38" i="50"/>
  <c r="Q16" i="50"/>
  <c r="P16" i="50"/>
  <c r="Q59" i="50"/>
  <c r="P59" i="50"/>
  <c r="Q56" i="50"/>
  <c r="P56" i="50"/>
  <c r="P61" i="50"/>
  <c r="Q61" i="50"/>
  <c r="Q40" i="50"/>
  <c r="P40" i="50"/>
  <c r="Q35" i="50"/>
  <c r="P35" i="50"/>
  <c r="Q34" i="50"/>
  <c r="P34" i="50"/>
  <c r="AE28" i="50"/>
  <c r="N28" i="50"/>
  <c r="AF28" i="50"/>
  <c r="AG21" i="50" s="1"/>
  <c r="Q31" i="50"/>
  <c r="P31" i="50"/>
  <c r="AF36" i="50"/>
  <c r="AG29" i="50" s="1"/>
  <c r="AE36" i="50"/>
  <c r="N36" i="50"/>
  <c r="N62" i="50"/>
  <c r="AF62" i="50"/>
  <c r="AG58" i="50" s="1"/>
  <c r="AE62" i="50"/>
  <c r="Q17" i="50"/>
  <c r="P17" i="50"/>
  <c r="Q58" i="50"/>
  <c r="P58" i="50"/>
  <c r="Q29" i="50"/>
  <c r="P29" i="50"/>
  <c r="Q23" i="50"/>
  <c r="P23" i="50"/>
  <c r="AE12" i="50"/>
  <c r="N12" i="50"/>
  <c r="AF12" i="50"/>
  <c r="AG10" i="50" s="1"/>
  <c r="Q37" i="50"/>
  <c r="P37" i="50"/>
  <c r="N49" i="50"/>
  <c r="AF49" i="50"/>
  <c r="AG45" i="50" s="1"/>
  <c r="AE49" i="50"/>
  <c r="Q14" i="50"/>
  <c r="P14" i="50"/>
  <c r="Q60" i="50"/>
  <c r="P60" i="50"/>
  <c r="P64" i="50"/>
  <c r="Q64" i="50"/>
  <c r="P47" i="50"/>
  <c r="Q47" i="50"/>
  <c r="Q32" i="50"/>
  <c r="P32" i="50"/>
  <c r="Q13" i="50"/>
  <c r="P13" i="50"/>
  <c r="Q70" i="50"/>
  <c r="P70" i="50"/>
  <c r="Q15" i="50"/>
  <c r="P15" i="50"/>
  <c r="N44" i="50"/>
  <c r="AF44" i="50"/>
  <c r="AG37" i="50" s="1"/>
  <c r="AE44" i="50"/>
  <c r="N57" i="50"/>
  <c r="AF57" i="50"/>
  <c r="AG50" i="50" s="1"/>
  <c r="AE57" i="50"/>
  <c r="AE9" i="50"/>
  <c r="N9" i="50"/>
  <c r="AF9" i="50"/>
  <c r="AG5" i="50" s="1"/>
  <c r="Q55" i="50"/>
  <c r="P55" i="50"/>
  <c r="Q43" i="50"/>
  <c r="P43" i="50"/>
  <c r="AF71" i="50"/>
  <c r="AG63" i="50" s="1"/>
  <c r="AE71" i="50"/>
  <c r="N71" i="50"/>
  <c r="Q65" i="50"/>
  <c r="P65" i="50"/>
  <c r="Q26" i="50"/>
  <c r="P26" i="50"/>
  <c r="Q39" i="48"/>
  <c r="P39" i="48"/>
  <c r="Q18" i="48"/>
  <c r="P18" i="48"/>
  <c r="M34" i="48"/>
  <c r="AF30" i="48"/>
  <c r="AE30" i="48"/>
  <c r="N30" i="48"/>
  <c r="AF32" i="48"/>
  <c r="AE32" i="48"/>
  <c r="N32" i="48"/>
  <c r="N58" i="48"/>
  <c r="AF58" i="48"/>
  <c r="AE58" i="48"/>
  <c r="AE11" i="48"/>
  <c r="N11" i="48"/>
  <c r="AF11" i="48"/>
  <c r="M41" i="48"/>
  <c r="AF35" i="48"/>
  <c r="AE35" i="48"/>
  <c r="N35" i="48"/>
  <c r="N56" i="48"/>
  <c r="AF56" i="48"/>
  <c r="AE56" i="48"/>
  <c r="Q45" i="48"/>
  <c r="P45" i="48"/>
  <c r="N54" i="48"/>
  <c r="AF54" i="48"/>
  <c r="AG47" i="48" s="1"/>
  <c r="AE54" i="48"/>
  <c r="N61" i="48"/>
  <c r="AF61" i="48"/>
  <c r="AE61" i="48"/>
  <c r="AF26" i="48"/>
  <c r="AE26" i="48"/>
  <c r="N26" i="48"/>
  <c r="AF28" i="48"/>
  <c r="AE28" i="48"/>
  <c r="N28" i="48"/>
  <c r="N63" i="48"/>
  <c r="AF63" i="48"/>
  <c r="AE63" i="48"/>
  <c r="F2" i="48"/>
  <c r="I3" i="47"/>
  <c r="N22" i="48"/>
  <c r="AF22" i="48"/>
  <c r="M29" i="48"/>
  <c r="AE22" i="48"/>
  <c r="AE5" i="48"/>
  <c r="N5" i="48"/>
  <c r="M9" i="48"/>
  <c r="AF5" i="48"/>
  <c r="AF14" i="48"/>
  <c r="AE14" i="48"/>
  <c r="M21" i="48"/>
  <c r="N14" i="48"/>
  <c r="AF33" i="48"/>
  <c r="AE33" i="48"/>
  <c r="N33" i="48"/>
  <c r="Q64" i="48"/>
  <c r="P64" i="48"/>
  <c r="AE10" i="48"/>
  <c r="N10" i="48"/>
  <c r="AF10" i="48"/>
  <c r="M13" i="48"/>
  <c r="AF31" i="48"/>
  <c r="AE31" i="48"/>
  <c r="N31" i="48"/>
  <c r="P19" i="48"/>
  <c r="Q19" i="48"/>
  <c r="AE27" i="48"/>
  <c r="N27" i="48"/>
  <c r="AF27" i="48"/>
  <c r="AF38" i="48"/>
  <c r="AE38" i="48"/>
  <c r="N38" i="48"/>
  <c r="N57" i="48"/>
  <c r="AF57" i="48"/>
  <c r="AE57" i="48"/>
  <c r="N7" i="48"/>
  <c r="AE7" i="48"/>
  <c r="AF7" i="48"/>
  <c r="G6" i="47"/>
  <c r="F6" i="47"/>
  <c r="E6" i="47"/>
  <c r="AF17" i="48"/>
  <c r="AE17" i="48"/>
  <c r="N17" i="48"/>
  <c r="N23" i="48"/>
  <c r="AF23" i="48"/>
  <c r="AE23" i="48"/>
  <c r="AF36" i="48"/>
  <c r="AE36" i="48"/>
  <c r="N36" i="48"/>
  <c r="AF40" i="48"/>
  <c r="AE40" i="48"/>
  <c r="N40" i="48"/>
  <c r="Q46" i="48"/>
  <c r="R42" i="48" s="1"/>
  <c r="P46" i="48"/>
  <c r="H14" i="47"/>
  <c r="H15" i="47" s="1"/>
  <c r="AE6" i="48"/>
  <c r="N6" i="48"/>
  <c r="AF6" i="48"/>
  <c r="AE8" i="48"/>
  <c r="N8" i="48"/>
  <c r="AF8" i="48"/>
  <c r="AF15" i="48"/>
  <c r="AE15" i="48"/>
  <c r="N15" i="48"/>
  <c r="AE25" i="48"/>
  <c r="N25" i="48"/>
  <c r="AF25" i="48"/>
  <c r="P44" i="48"/>
  <c r="Q44" i="48"/>
  <c r="N55" i="48"/>
  <c r="M59" i="48"/>
  <c r="AF55" i="48"/>
  <c r="AE55" i="48"/>
  <c r="N60" i="48"/>
  <c r="AF60" i="48"/>
  <c r="AE60" i="48"/>
  <c r="M66" i="48"/>
  <c r="N62" i="48"/>
  <c r="AF62" i="48"/>
  <c r="AE62" i="48"/>
  <c r="N16" i="48"/>
  <c r="N37" i="48"/>
  <c r="AE46" i="48"/>
  <c r="AF47" i="48"/>
  <c r="N53" i="48"/>
  <c r="AE45" i="48"/>
  <c r="AF46" i="48"/>
  <c r="AG42" i="48" s="1"/>
  <c r="AE20" i="48"/>
  <c r="AE44" i="48"/>
  <c r="AF45" i="48"/>
  <c r="N51" i="48"/>
  <c r="N12" i="48"/>
  <c r="AE19" i="48"/>
  <c r="AF44" i="48"/>
  <c r="N50" i="48"/>
  <c r="AF19" i="48"/>
  <c r="N65" i="48"/>
  <c r="AE16" i="48"/>
  <c r="AE37" i="48"/>
  <c r="AE39" i="48"/>
  <c r="P49" i="48"/>
  <c r="AE53" i="48"/>
  <c r="P24" i="48"/>
  <c r="AF39" i="48"/>
  <c r="P47" i="48"/>
  <c r="P48" i="48"/>
  <c r="AE52" i="48"/>
  <c r="AE51" i="48"/>
  <c r="AE12" i="48"/>
  <c r="AE50" i="48"/>
  <c r="AD64" i="44"/>
  <c r="Z64" i="44"/>
  <c r="Y64" i="44"/>
  <c r="O64" i="44"/>
  <c r="K64" i="44"/>
  <c r="AF63" i="44"/>
  <c r="AE63" i="44"/>
  <c r="V63" i="44"/>
  <c r="U63" i="44"/>
  <c r="Q63" i="44"/>
  <c r="O63" i="44"/>
  <c r="N63" i="44"/>
  <c r="P63" i="44" s="1"/>
  <c r="M63" i="44"/>
  <c r="K63" i="44"/>
  <c r="G63" i="44"/>
  <c r="AF62" i="44"/>
  <c r="AE62" i="44"/>
  <c r="V62" i="44"/>
  <c r="U62" i="44"/>
  <c r="Q62" i="44"/>
  <c r="P62" i="44"/>
  <c r="O62" i="44"/>
  <c r="N62" i="44"/>
  <c r="M62" i="44"/>
  <c r="K62" i="44"/>
  <c r="G62" i="44"/>
  <c r="AF61" i="44"/>
  <c r="AE61" i="44"/>
  <c r="V61" i="44"/>
  <c r="U61" i="44"/>
  <c r="Q61" i="44"/>
  <c r="P61" i="44"/>
  <c r="O61" i="44"/>
  <c r="N61" i="44"/>
  <c r="M61" i="44"/>
  <c r="K61" i="44"/>
  <c r="G61" i="44"/>
  <c r="AF60" i="44"/>
  <c r="AE60" i="44"/>
  <c r="V60" i="44"/>
  <c r="U60" i="44"/>
  <c r="O60" i="44"/>
  <c r="N60" i="44"/>
  <c r="Q60" i="44" s="1"/>
  <c r="M60" i="44"/>
  <c r="K60" i="44"/>
  <c r="G60" i="44"/>
  <c r="V59" i="44"/>
  <c r="U59" i="44"/>
  <c r="O59" i="44"/>
  <c r="M59" i="44"/>
  <c r="N59" i="44" s="1"/>
  <c r="K59" i="44"/>
  <c r="G59" i="44"/>
  <c r="AF58" i="44"/>
  <c r="AE58" i="44"/>
  <c r="X58" i="44"/>
  <c r="W58" i="44"/>
  <c r="V58" i="44"/>
  <c r="Q58" i="44"/>
  <c r="P58" i="44"/>
  <c r="O58" i="44"/>
  <c r="N58" i="44"/>
  <c r="M58" i="44"/>
  <c r="K58" i="44"/>
  <c r="G58" i="44"/>
  <c r="AD57" i="44"/>
  <c r="Z57" i="44"/>
  <c r="Y57" i="44"/>
  <c r="O57" i="44"/>
  <c r="K57" i="44"/>
  <c r="V56" i="44"/>
  <c r="U56" i="44"/>
  <c r="O56" i="44"/>
  <c r="M56" i="44"/>
  <c r="N56" i="44" s="1"/>
  <c r="K56" i="44"/>
  <c r="G56" i="44"/>
  <c r="V55" i="44"/>
  <c r="U55" i="44"/>
  <c r="O55" i="44"/>
  <c r="M55" i="44"/>
  <c r="N55" i="44" s="1"/>
  <c r="K55" i="44"/>
  <c r="G55" i="44"/>
  <c r="V54" i="44"/>
  <c r="U54" i="44"/>
  <c r="O54" i="44"/>
  <c r="M54" i="44"/>
  <c r="N54" i="44" s="1"/>
  <c r="K54" i="44"/>
  <c r="G54" i="44"/>
  <c r="V53" i="44"/>
  <c r="O53" i="44"/>
  <c r="M53" i="44"/>
  <c r="N53" i="44" s="1"/>
  <c r="K53" i="44"/>
  <c r="G53" i="44"/>
  <c r="AD52" i="44"/>
  <c r="Z52" i="44"/>
  <c r="Y52" i="44"/>
  <c r="O52" i="44"/>
  <c r="K52" i="44"/>
  <c r="V51" i="44"/>
  <c r="U51" i="44"/>
  <c r="O51" i="44"/>
  <c r="M51" i="44"/>
  <c r="M52" i="44" s="1"/>
  <c r="K51" i="44"/>
  <c r="G51" i="44"/>
  <c r="AF50" i="44"/>
  <c r="AE50" i="44"/>
  <c r="V50" i="44"/>
  <c r="U50" i="44"/>
  <c r="P50" i="44"/>
  <c r="O50" i="44"/>
  <c r="N50" i="44"/>
  <c r="Q50" i="44" s="1"/>
  <c r="M50" i="44"/>
  <c r="K50" i="44"/>
  <c r="G50" i="44"/>
  <c r="AF49" i="44"/>
  <c r="AE49" i="44"/>
  <c r="V49" i="44"/>
  <c r="U49" i="44"/>
  <c r="O49" i="44"/>
  <c r="N49" i="44"/>
  <c r="Q49" i="44" s="1"/>
  <c r="M49" i="44"/>
  <c r="K49" i="44"/>
  <c r="G49" i="44"/>
  <c r="AF48" i="44"/>
  <c r="AE48" i="44"/>
  <c r="V48" i="44"/>
  <c r="U48" i="44"/>
  <c r="O48" i="44"/>
  <c r="N48" i="44"/>
  <c r="Q48" i="44" s="1"/>
  <c r="M48" i="44"/>
  <c r="K48" i="44"/>
  <c r="G48" i="44"/>
  <c r="AF47" i="44"/>
  <c r="AE47" i="44"/>
  <c r="V47" i="44"/>
  <c r="U47" i="44"/>
  <c r="Q47" i="44"/>
  <c r="O47" i="44"/>
  <c r="N47" i="44"/>
  <c r="P47" i="44" s="1"/>
  <c r="M47" i="44"/>
  <c r="K47" i="44"/>
  <c r="G47" i="44"/>
  <c r="AF46" i="44"/>
  <c r="AE46" i="44"/>
  <c r="V46" i="44"/>
  <c r="U46" i="44"/>
  <c r="Q46" i="44"/>
  <c r="P46" i="44"/>
  <c r="O46" i="44"/>
  <c r="N46" i="44"/>
  <c r="M46" i="44"/>
  <c r="K46" i="44"/>
  <c r="G46" i="44"/>
  <c r="AF45" i="44"/>
  <c r="AE45" i="44"/>
  <c r="V45" i="44"/>
  <c r="Q45" i="44"/>
  <c r="P45" i="44"/>
  <c r="O45" i="44"/>
  <c r="N45" i="44"/>
  <c r="M45" i="44"/>
  <c r="K45" i="44"/>
  <c r="G45" i="44"/>
  <c r="AD44" i="44"/>
  <c r="Z44" i="44"/>
  <c r="Y44" i="44"/>
  <c r="O44" i="44"/>
  <c r="K44" i="44"/>
  <c r="AF43" i="44"/>
  <c r="AE43" i="44"/>
  <c r="V43" i="44"/>
  <c r="U43" i="44"/>
  <c r="O43" i="44"/>
  <c r="N43" i="44"/>
  <c r="Q43" i="44" s="1"/>
  <c r="M43" i="44"/>
  <c r="K43" i="44"/>
  <c r="G43" i="44"/>
  <c r="V42" i="44"/>
  <c r="U42" i="44"/>
  <c r="O42" i="44"/>
  <c r="M42" i="44"/>
  <c r="N42" i="44" s="1"/>
  <c r="K42" i="44"/>
  <c r="G42" i="44"/>
  <c r="V41" i="44"/>
  <c r="U41" i="44"/>
  <c r="O41" i="44"/>
  <c r="M41" i="44"/>
  <c r="N41" i="44" s="1"/>
  <c r="K41" i="44"/>
  <c r="G41" i="44"/>
  <c r="V40" i="44"/>
  <c r="O40" i="44"/>
  <c r="M40" i="44"/>
  <c r="N40" i="44" s="1"/>
  <c r="K40" i="44"/>
  <c r="G40" i="44"/>
  <c r="AD39" i="44"/>
  <c r="Z39" i="44"/>
  <c r="Y39" i="44"/>
  <c r="O39" i="44"/>
  <c r="K39" i="44"/>
  <c r="AE38" i="44"/>
  <c r="V38" i="44"/>
  <c r="U38" i="44"/>
  <c r="O38" i="44"/>
  <c r="N38" i="44"/>
  <c r="Q38" i="44" s="1"/>
  <c r="M38" i="44"/>
  <c r="AF38" i="44" s="1"/>
  <c r="K38" i="44"/>
  <c r="G38" i="44"/>
  <c r="AF37" i="44"/>
  <c r="X37" i="44"/>
  <c r="W37" i="44"/>
  <c r="V37" i="44"/>
  <c r="U37" i="44"/>
  <c r="O37" i="44"/>
  <c r="M37" i="44"/>
  <c r="N37" i="44" s="1"/>
  <c r="K37" i="44"/>
  <c r="G37" i="44"/>
  <c r="AE36" i="44"/>
  <c r="V36" i="44"/>
  <c r="U36" i="44"/>
  <c r="O36" i="44"/>
  <c r="N36" i="44"/>
  <c r="Q36" i="44" s="1"/>
  <c r="M36" i="44"/>
  <c r="AF36" i="44" s="1"/>
  <c r="K36" i="44"/>
  <c r="G36" i="44"/>
  <c r="V35" i="44"/>
  <c r="U35" i="44"/>
  <c r="O35" i="44"/>
  <c r="M35" i="44"/>
  <c r="M39" i="44" s="1"/>
  <c r="K35" i="44"/>
  <c r="G35" i="44"/>
  <c r="AF34" i="44"/>
  <c r="AE34" i="44"/>
  <c r="V34" i="44"/>
  <c r="U34" i="44"/>
  <c r="P34" i="44"/>
  <c r="O34" i="44"/>
  <c r="N34" i="44"/>
  <c r="Q34" i="44" s="1"/>
  <c r="M34" i="44"/>
  <c r="K34" i="44"/>
  <c r="G34" i="44"/>
  <c r="AF33" i="44"/>
  <c r="AE33" i="44"/>
  <c r="X33" i="44"/>
  <c r="W33" i="44"/>
  <c r="V33" i="44"/>
  <c r="O33" i="44"/>
  <c r="N33" i="44"/>
  <c r="Q33" i="44" s="1"/>
  <c r="M33" i="44"/>
  <c r="K33" i="44"/>
  <c r="G33" i="44"/>
  <c r="AF32" i="44"/>
  <c r="AD32" i="44"/>
  <c r="Z32" i="44"/>
  <c r="Y32" i="44"/>
  <c r="O32" i="44"/>
  <c r="N32" i="44"/>
  <c r="Q32" i="44" s="1"/>
  <c r="R28" i="44" s="1"/>
  <c r="M32" i="44"/>
  <c r="AE32" i="44" s="1"/>
  <c r="K32" i="44"/>
  <c r="AF31" i="44"/>
  <c r="AE31" i="44"/>
  <c r="V31" i="44"/>
  <c r="U31" i="44"/>
  <c r="P31" i="44"/>
  <c r="O31" i="44"/>
  <c r="N31" i="44"/>
  <c r="Q31" i="44" s="1"/>
  <c r="M31" i="44"/>
  <c r="K31" i="44"/>
  <c r="G31" i="44"/>
  <c r="AF30" i="44"/>
  <c r="AE30" i="44"/>
  <c r="V30" i="44"/>
  <c r="U30" i="44"/>
  <c r="O30" i="44"/>
  <c r="N30" i="44"/>
  <c r="Q30" i="44" s="1"/>
  <c r="M30" i="44"/>
  <c r="K30" i="44"/>
  <c r="G30" i="44"/>
  <c r="AF29" i="44"/>
  <c r="AE29" i="44"/>
  <c r="V29" i="44"/>
  <c r="U29" i="44"/>
  <c r="O29" i="44"/>
  <c r="N29" i="44"/>
  <c r="Q29" i="44" s="1"/>
  <c r="M29" i="44"/>
  <c r="K29" i="44"/>
  <c r="G29" i="44"/>
  <c r="AG28" i="44"/>
  <c r="AF28" i="44"/>
  <c r="AE28" i="44"/>
  <c r="X28" i="44"/>
  <c r="W28" i="44"/>
  <c r="V28" i="44"/>
  <c r="P28" i="44"/>
  <c r="O28" i="44"/>
  <c r="N28" i="44"/>
  <c r="Q28" i="44" s="1"/>
  <c r="M28" i="44"/>
  <c r="K28" i="44"/>
  <c r="G28" i="44"/>
  <c r="AD27" i="44"/>
  <c r="Z27" i="44"/>
  <c r="Y27" i="44"/>
  <c r="O27" i="44"/>
  <c r="M27" i="44"/>
  <c r="AF27" i="44" s="1"/>
  <c r="AG21" i="44" s="1"/>
  <c r="K27" i="44"/>
  <c r="AF26" i="44"/>
  <c r="AE26" i="44"/>
  <c r="V26" i="44"/>
  <c r="U26" i="44"/>
  <c r="O26" i="44"/>
  <c r="N26" i="44"/>
  <c r="Q26" i="44" s="1"/>
  <c r="M26" i="44"/>
  <c r="K26" i="44"/>
  <c r="G26" i="44"/>
  <c r="AF25" i="44"/>
  <c r="AE25" i="44"/>
  <c r="V25" i="44"/>
  <c r="U25" i="44"/>
  <c r="Q25" i="44"/>
  <c r="O25" i="44"/>
  <c r="N25" i="44"/>
  <c r="P25" i="44" s="1"/>
  <c r="M25" i="44"/>
  <c r="K25" i="44"/>
  <c r="G25" i="44"/>
  <c r="AF24" i="44"/>
  <c r="AE24" i="44"/>
  <c r="V24" i="44"/>
  <c r="U24" i="44"/>
  <c r="Q24" i="44"/>
  <c r="P24" i="44"/>
  <c r="O24" i="44"/>
  <c r="N24" i="44"/>
  <c r="M24" i="44"/>
  <c r="K24" i="44"/>
  <c r="G24" i="44"/>
  <c r="AF23" i="44"/>
  <c r="AE23" i="44"/>
  <c r="V23" i="44"/>
  <c r="U23" i="44"/>
  <c r="Q23" i="44"/>
  <c r="P23" i="44"/>
  <c r="O23" i="44"/>
  <c r="N23" i="44"/>
  <c r="M23" i="44"/>
  <c r="K23" i="44"/>
  <c r="G23" i="44"/>
  <c r="AF22" i="44"/>
  <c r="AE22" i="44"/>
  <c r="V22" i="44"/>
  <c r="U22" i="44"/>
  <c r="O22" i="44"/>
  <c r="N22" i="44"/>
  <c r="Q22" i="44" s="1"/>
  <c r="M22" i="44"/>
  <c r="K22" i="44"/>
  <c r="G22" i="44"/>
  <c r="AF21" i="44"/>
  <c r="AE21" i="44"/>
  <c r="V21" i="44"/>
  <c r="O21" i="44"/>
  <c r="N21" i="44"/>
  <c r="Q21" i="44" s="1"/>
  <c r="M21" i="44"/>
  <c r="K21" i="44"/>
  <c r="G21" i="44"/>
  <c r="AD20" i="44"/>
  <c r="Z20" i="44"/>
  <c r="Y20" i="44"/>
  <c r="O20" i="44"/>
  <c r="K20" i="44"/>
  <c r="V19" i="44"/>
  <c r="U19" i="44"/>
  <c r="O19" i="44"/>
  <c r="M19" i="44"/>
  <c r="N19" i="44" s="1"/>
  <c r="K19" i="44"/>
  <c r="G19" i="44"/>
  <c r="V18" i="44"/>
  <c r="U18" i="44"/>
  <c r="O18" i="44"/>
  <c r="M18" i="44"/>
  <c r="N18" i="44" s="1"/>
  <c r="K18" i="44"/>
  <c r="G18" i="44"/>
  <c r="AF17" i="44"/>
  <c r="AE17" i="44"/>
  <c r="V17" i="44"/>
  <c r="U17" i="44"/>
  <c r="O17" i="44"/>
  <c r="N17" i="44"/>
  <c r="Q17" i="44" s="1"/>
  <c r="M17" i="44"/>
  <c r="K17" i="44"/>
  <c r="G17" i="44"/>
  <c r="V16" i="44"/>
  <c r="U16" i="44"/>
  <c r="O16" i="44"/>
  <c r="M16" i="44"/>
  <c r="AF16" i="44" s="1"/>
  <c r="K16" i="44"/>
  <c r="G16" i="44"/>
  <c r="AF15" i="44"/>
  <c r="AE15" i="44"/>
  <c r="V15" i="44"/>
  <c r="U15" i="44"/>
  <c r="Q15" i="44"/>
  <c r="P15" i="44"/>
  <c r="O15" i="44"/>
  <c r="N15" i="44"/>
  <c r="M15" i="44"/>
  <c r="K15" i="44"/>
  <c r="G15" i="44"/>
  <c r="AF14" i="44"/>
  <c r="AE14" i="44"/>
  <c r="V14" i="44"/>
  <c r="Q14" i="44"/>
  <c r="P14" i="44"/>
  <c r="O14" i="44"/>
  <c r="N14" i="44"/>
  <c r="M14" i="44"/>
  <c r="K14" i="44"/>
  <c r="G14" i="44"/>
  <c r="AF13" i="44"/>
  <c r="AG9" i="44" s="1"/>
  <c r="AE13" i="44"/>
  <c r="AD13" i="44"/>
  <c r="Z13" i="44"/>
  <c r="Y13" i="44"/>
  <c r="P13" i="44"/>
  <c r="O13" i="44"/>
  <c r="N13" i="44"/>
  <c r="Q13" i="44" s="1"/>
  <c r="R9" i="44" s="1"/>
  <c r="M13" i="44"/>
  <c r="K13" i="44"/>
  <c r="AF12" i="44"/>
  <c r="AE12" i="44"/>
  <c r="V12" i="44"/>
  <c r="U12" i="44"/>
  <c r="O12" i="44"/>
  <c r="N12" i="44"/>
  <c r="Q12" i="44" s="1"/>
  <c r="M12" i="44"/>
  <c r="K12" i="44"/>
  <c r="G12" i="44"/>
  <c r="AF11" i="44"/>
  <c r="AE11" i="44"/>
  <c r="V11" i="44"/>
  <c r="U11" i="44"/>
  <c r="Q11" i="44"/>
  <c r="P11" i="44"/>
  <c r="O11" i="44"/>
  <c r="N11" i="44"/>
  <c r="M11" i="44"/>
  <c r="K11" i="44"/>
  <c r="G11" i="44"/>
  <c r="AF10" i="44"/>
  <c r="AE10" i="44"/>
  <c r="V10" i="44"/>
  <c r="U10" i="44"/>
  <c r="Q10" i="44"/>
  <c r="P10" i="44"/>
  <c r="O10" i="44"/>
  <c r="N10" i="44"/>
  <c r="M10" i="44"/>
  <c r="K10" i="44"/>
  <c r="G10" i="44"/>
  <c r="AF9" i="44"/>
  <c r="AE9" i="44"/>
  <c r="X9" i="44"/>
  <c r="W9" i="44"/>
  <c r="V9" i="44"/>
  <c r="O9" i="44"/>
  <c r="N9" i="44"/>
  <c r="Q9" i="44" s="1"/>
  <c r="M9" i="44"/>
  <c r="K9" i="44"/>
  <c r="G9" i="44"/>
  <c r="AF8" i="44"/>
  <c r="AG5" i="44" s="1"/>
  <c r="AE8" i="44"/>
  <c r="AD8" i="44"/>
  <c r="Z8" i="44"/>
  <c r="Y8" i="44"/>
  <c r="O8" i="44"/>
  <c r="N8" i="44"/>
  <c r="Q8" i="44" s="1"/>
  <c r="R5" i="44" s="1"/>
  <c r="M8" i="44"/>
  <c r="K8" i="44"/>
  <c r="AF7" i="44"/>
  <c r="AE7" i="44"/>
  <c r="V7" i="44"/>
  <c r="U7" i="44"/>
  <c r="Q7" i="44"/>
  <c r="P7" i="44"/>
  <c r="O7" i="44"/>
  <c r="N7" i="44"/>
  <c r="M7" i="44"/>
  <c r="K7" i="44"/>
  <c r="G7" i="44"/>
  <c r="AF6" i="44"/>
  <c r="AE6" i="44"/>
  <c r="V6" i="44"/>
  <c r="U6" i="44"/>
  <c r="Q6" i="44"/>
  <c r="P6" i="44"/>
  <c r="O6" i="44"/>
  <c r="N6" i="44"/>
  <c r="M6" i="44"/>
  <c r="K6" i="44"/>
  <c r="G6" i="44"/>
  <c r="AF5" i="44"/>
  <c r="AE5" i="44"/>
  <c r="V5" i="44"/>
  <c r="Q5" i="44"/>
  <c r="P5" i="44"/>
  <c r="O5" i="44"/>
  <c r="N5" i="44"/>
  <c r="M5" i="44"/>
  <c r="K5" i="44"/>
  <c r="G5" i="44"/>
  <c r="AD2" i="44"/>
  <c r="Z2" i="44"/>
  <c r="Y2" i="44"/>
  <c r="H2" i="44"/>
  <c r="H1" i="44"/>
  <c r="F1" i="44"/>
  <c r="F2" i="44" s="1"/>
  <c r="D1" i="44"/>
  <c r="M22" i="43"/>
  <c r="L22" i="43"/>
  <c r="K22" i="43"/>
  <c r="J22" i="43"/>
  <c r="I22" i="43"/>
  <c r="H22" i="43"/>
  <c r="G22" i="43"/>
  <c r="F22" i="43"/>
  <c r="E22" i="43"/>
  <c r="D22" i="43"/>
  <c r="M21" i="43"/>
  <c r="L21" i="43"/>
  <c r="K21" i="43"/>
  <c r="J21" i="43"/>
  <c r="I21" i="43"/>
  <c r="H21" i="43"/>
  <c r="G21" i="43"/>
  <c r="F21" i="43"/>
  <c r="E21" i="43"/>
  <c r="D21" i="43"/>
  <c r="M20" i="43"/>
  <c r="L20" i="43"/>
  <c r="K20" i="43"/>
  <c r="J20" i="43"/>
  <c r="I20" i="43"/>
  <c r="H20" i="43"/>
  <c r="G20" i="43"/>
  <c r="F20" i="43"/>
  <c r="E20" i="43"/>
  <c r="D20" i="43"/>
  <c r="M19" i="43"/>
  <c r="L19" i="43"/>
  <c r="K19" i="43"/>
  <c r="J19" i="43"/>
  <c r="I19" i="43"/>
  <c r="H19" i="43"/>
  <c r="G19" i="43"/>
  <c r="F19" i="43"/>
  <c r="E19" i="43"/>
  <c r="D19" i="43"/>
  <c r="M18" i="43"/>
  <c r="L18" i="43"/>
  <c r="K18" i="43"/>
  <c r="J18" i="43"/>
  <c r="I18" i="43"/>
  <c r="H18" i="43"/>
  <c r="G18" i="43"/>
  <c r="F18" i="43"/>
  <c r="E18" i="43"/>
  <c r="D18" i="43"/>
  <c r="M17" i="43"/>
  <c r="L17" i="43"/>
  <c r="K17" i="43"/>
  <c r="J17" i="43"/>
  <c r="I17" i="43"/>
  <c r="H17" i="43"/>
  <c r="G17" i="43"/>
  <c r="F17" i="43"/>
  <c r="E17" i="43"/>
  <c r="D17" i="43"/>
  <c r="M16" i="43"/>
  <c r="L16" i="43"/>
  <c r="K16" i="43"/>
  <c r="J16" i="43"/>
  <c r="I16" i="43"/>
  <c r="H16" i="43"/>
  <c r="G16" i="43"/>
  <c r="F16" i="43"/>
  <c r="E16" i="43"/>
  <c r="D16" i="43"/>
  <c r="E15" i="43"/>
  <c r="K14" i="43"/>
  <c r="K15" i="43" s="1"/>
  <c r="E14" i="43"/>
  <c r="D14" i="43"/>
  <c r="D15" i="43" s="1"/>
  <c r="M13" i="43"/>
  <c r="L13" i="43"/>
  <c r="K13" i="43"/>
  <c r="J13" i="43"/>
  <c r="I13" i="43"/>
  <c r="H13" i="43"/>
  <c r="G13" i="43"/>
  <c r="F13" i="43"/>
  <c r="E13" i="43"/>
  <c r="D13" i="43"/>
  <c r="E6" i="43" s="1"/>
  <c r="N6" i="43"/>
  <c r="M6" i="43"/>
  <c r="L6" i="43"/>
  <c r="K6" i="43"/>
  <c r="I6" i="43"/>
  <c r="F6" i="43"/>
  <c r="I3" i="43"/>
  <c r="F3" i="43"/>
  <c r="C3" i="43"/>
  <c r="G8" i="53" l="1"/>
  <c r="F8" i="53"/>
  <c r="E8" i="53"/>
  <c r="G7" i="51"/>
  <c r="F7" i="51"/>
  <c r="E7" i="51"/>
  <c r="D15" i="51"/>
  <c r="K15" i="51"/>
  <c r="I8" i="51" s="1"/>
  <c r="I7" i="51"/>
  <c r="Q12" i="50"/>
  <c r="R10" i="50" s="1"/>
  <c r="P12" i="50"/>
  <c r="E14" i="49"/>
  <c r="E15" i="49" s="1"/>
  <c r="Q62" i="50"/>
  <c r="R58" i="50" s="1"/>
  <c r="P62" i="50"/>
  <c r="J14" i="49"/>
  <c r="J15" i="49" s="1"/>
  <c r="L14" i="49"/>
  <c r="L15" i="49" s="1"/>
  <c r="Q44" i="50"/>
  <c r="R37" i="50" s="1"/>
  <c r="P44" i="50"/>
  <c r="Q36" i="50"/>
  <c r="R29" i="50" s="1"/>
  <c r="P36" i="50"/>
  <c r="K14" i="49"/>
  <c r="I14" i="49"/>
  <c r="I15" i="49" s="1"/>
  <c r="Q57" i="50"/>
  <c r="R50" i="50" s="1"/>
  <c r="P57" i="50"/>
  <c r="P20" i="50"/>
  <c r="F14" i="49"/>
  <c r="F15" i="49" s="1"/>
  <c r="Q20" i="50"/>
  <c r="R13" i="50" s="1"/>
  <c r="Q71" i="50"/>
  <c r="R63" i="50" s="1"/>
  <c r="P71" i="50"/>
  <c r="M14" i="49"/>
  <c r="M15" i="49" s="1"/>
  <c r="D2" i="50"/>
  <c r="Q9" i="50"/>
  <c r="R5" i="50" s="1"/>
  <c r="P9" i="50"/>
  <c r="D14" i="49"/>
  <c r="Q28" i="50"/>
  <c r="R21" i="50" s="1"/>
  <c r="P28" i="50"/>
  <c r="G14" i="49"/>
  <c r="G15" i="49" s="1"/>
  <c r="Q49" i="50"/>
  <c r="R45" i="50" s="1"/>
  <c r="P49" i="50"/>
  <c r="H14" i="49"/>
  <c r="H15" i="49" s="1"/>
  <c r="Q40" i="48"/>
  <c r="P40" i="48"/>
  <c r="Q27" i="48"/>
  <c r="P27" i="48"/>
  <c r="Q26" i="48"/>
  <c r="P26" i="48"/>
  <c r="Q32" i="48"/>
  <c r="P32" i="48"/>
  <c r="Q60" i="48"/>
  <c r="P60" i="48"/>
  <c r="Q33" i="48"/>
  <c r="P33" i="48"/>
  <c r="AF29" i="48"/>
  <c r="AG22" i="48" s="1"/>
  <c r="AE29" i="48"/>
  <c r="N29" i="48"/>
  <c r="Q56" i="48"/>
  <c r="P56" i="48"/>
  <c r="Q53" i="48"/>
  <c r="P53" i="48"/>
  <c r="Q36" i="48"/>
  <c r="P36" i="48"/>
  <c r="Q35" i="48"/>
  <c r="P35" i="48"/>
  <c r="Q8" i="48"/>
  <c r="P8" i="48"/>
  <c r="Q22" i="48"/>
  <c r="P22" i="48"/>
  <c r="Q30" i="48"/>
  <c r="P30" i="48"/>
  <c r="Q65" i="48"/>
  <c r="P65" i="48"/>
  <c r="Q50" i="48"/>
  <c r="P50" i="48"/>
  <c r="N59" i="48"/>
  <c r="AF59" i="48"/>
  <c r="AG55" i="48" s="1"/>
  <c r="AE59" i="48"/>
  <c r="Q7" i="48"/>
  <c r="P7" i="48"/>
  <c r="Q31" i="48"/>
  <c r="P31" i="48"/>
  <c r="Q14" i="48"/>
  <c r="P14" i="48"/>
  <c r="P58" i="48"/>
  <c r="Q58" i="48"/>
  <c r="Q37" i="48"/>
  <c r="P37" i="48"/>
  <c r="P61" i="48"/>
  <c r="Q61" i="48"/>
  <c r="N41" i="48"/>
  <c r="AF41" i="48"/>
  <c r="AG35" i="48" s="1"/>
  <c r="AE41" i="48"/>
  <c r="N21" i="48"/>
  <c r="AF21" i="48"/>
  <c r="AG14" i="48" s="1"/>
  <c r="AE21" i="48"/>
  <c r="Q16" i="48"/>
  <c r="P16" i="48"/>
  <c r="Q6" i="48"/>
  <c r="P6" i="48"/>
  <c r="AF34" i="48"/>
  <c r="AG30" i="48" s="1"/>
  <c r="AE34" i="48"/>
  <c r="N34" i="48"/>
  <c r="AF66" i="48"/>
  <c r="AG60" i="48" s="1"/>
  <c r="AE66" i="48"/>
  <c r="N66" i="48"/>
  <c r="Q15" i="48"/>
  <c r="P15" i="48"/>
  <c r="Q55" i="48"/>
  <c r="P55" i="48"/>
  <c r="Q12" i="48"/>
  <c r="P12" i="48"/>
  <c r="Q23" i="48"/>
  <c r="P23" i="48"/>
  <c r="P57" i="48"/>
  <c r="Q57" i="48"/>
  <c r="AF13" i="48"/>
  <c r="AG10" i="48" s="1"/>
  <c r="AE13" i="48"/>
  <c r="N13" i="48"/>
  <c r="Q11" i="48"/>
  <c r="P11" i="48"/>
  <c r="Q17" i="48"/>
  <c r="P17" i="48"/>
  <c r="Q38" i="48"/>
  <c r="P38" i="48"/>
  <c r="Q63" i="48"/>
  <c r="P63" i="48"/>
  <c r="I14" i="47"/>
  <c r="I15" i="47" s="1"/>
  <c r="Q54" i="48"/>
  <c r="R47" i="48" s="1"/>
  <c r="P54" i="48"/>
  <c r="Q5" i="48"/>
  <c r="P5" i="48"/>
  <c r="Q51" i="48"/>
  <c r="P51" i="48"/>
  <c r="Q62" i="48"/>
  <c r="P62" i="48"/>
  <c r="Q25" i="48"/>
  <c r="P25" i="48"/>
  <c r="Q10" i="48"/>
  <c r="P10" i="48"/>
  <c r="AF9" i="48"/>
  <c r="AG5" i="48" s="1"/>
  <c r="AE9" i="48"/>
  <c r="N9" i="48"/>
  <c r="Q28" i="48"/>
  <c r="P28" i="48"/>
  <c r="P56" i="44"/>
  <c r="Q56" i="44"/>
  <c r="P42" i="44"/>
  <c r="Q42" i="44"/>
  <c r="N39" i="44"/>
  <c r="AF39" i="44"/>
  <c r="AG33" i="44" s="1"/>
  <c r="AE39" i="44"/>
  <c r="P40" i="44"/>
  <c r="Q40" i="44"/>
  <c r="P19" i="44"/>
  <c r="Q19" i="44"/>
  <c r="Q37" i="44"/>
  <c r="P37" i="44"/>
  <c r="Q54" i="44"/>
  <c r="P54" i="44"/>
  <c r="P59" i="44"/>
  <c r="Q59" i="44"/>
  <c r="P41" i="44"/>
  <c r="Q41" i="44"/>
  <c r="Q53" i="44"/>
  <c r="P53" i="44"/>
  <c r="P55" i="44"/>
  <c r="Q55" i="44"/>
  <c r="N52" i="44"/>
  <c r="AF52" i="44"/>
  <c r="AG45" i="44" s="1"/>
  <c r="AE52" i="44"/>
  <c r="P18" i="44"/>
  <c r="Q18" i="44"/>
  <c r="N16" i="44"/>
  <c r="N35" i="44"/>
  <c r="N51" i="44"/>
  <c r="P17" i="44"/>
  <c r="N27" i="44"/>
  <c r="P32" i="44"/>
  <c r="P33" i="44"/>
  <c r="P36" i="44"/>
  <c r="P38" i="44"/>
  <c r="M64" i="44"/>
  <c r="AE42" i="44"/>
  <c r="AE56" i="44"/>
  <c r="AE59" i="44"/>
  <c r="G6" i="43"/>
  <c r="AE19" i="44"/>
  <c r="AE40" i="44"/>
  <c r="AE41" i="44"/>
  <c r="AF42" i="44"/>
  <c r="AE55" i="44"/>
  <c r="AF56" i="44"/>
  <c r="AF59" i="44"/>
  <c r="AE18" i="44"/>
  <c r="AF19" i="44"/>
  <c r="P30" i="44"/>
  <c r="AF40" i="44"/>
  <c r="AF41" i="44"/>
  <c r="M44" i="44"/>
  <c r="P49" i="44"/>
  <c r="AE53" i="44"/>
  <c r="AE54" i="44"/>
  <c r="AF55" i="44"/>
  <c r="P8" i="44"/>
  <c r="P9" i="44"/>
  <c r="P12" i="44"/>
  <c r="AF18" i="44"/>
  <c r="P26" i="44"/>
  <c r="P29" i="44"/>
  <c r="P48" i="44"/>
  <c r="AF53" i="44"/>
  <c r="AF54" i="44"/>
  <c r="M57" i="44"/>
  <c r="AE16" i="44"/>
  <c r="M20" i="44"/>
  <c r="AE35" i="44"/>
  <c r="AE37" i="44"/>
  <c r="AE51" i="44"/>
  <c r="AF35" i="44"/>
  <c r="AF51" i="44"/>
  <c r="AE27" i="44"/>
  <c r="P21" i="44"/>
  <c r="P22" i="44"/>
  <c r="P43" i="44"/>
  <c r="P60" i="44"/>
  <c r="AD69" i="42"/>
  <c r="Z69" i="42"/>
  <c r="Y69" i="42"/>
  <c r="O69" i="42"/>
  <c r="K69" i="42"/>
  <c r="M13" i="41" s="1"/>
  <c r="I6" i="41" s="1"/>
  <c r="V68" i="42"/>
  <c r="M68" i="42" s="1"/>
  <c r="U68" i="42"/>
  <c r="O68" i="42"/>
  <c r="K68" i="42"/>
  <c r="G68" i="42"/>
  <c r="AF67" i="42"/>
  <c r="AE67" i="42"/>
  <c r="X67" i="42"/>
  <c r="W67" i="42"/>
  <c r="V67" i="42"/>
  <c r="U67" i="42"/>
  <c r="O67" i="42"/>
  <c r="M67" i="42"/>
  <c r="N67" i="42" s="1"/>
  <c r="P67" i="42" s="1"/>
  <c r="K67" i="42"/>
  <c r="G67" i="42"/>
  <c r="V66" i="42"/>
  <c r="M66" i="42" s="1"/>
  <c r="U66" i="42"/>
  <c r="O66" i="42"/>
  <c r="K66" i="42"/>
  <c r="G66" i="42"/>
  <c r="AF65" i="42"/>
  <c r="AE65" i="42"/>
  <c r="V65" i="42"/>
  <c r="U65" i="42"/>
  <c r="O65" i="42"/>
  <c r="N65" i="42"/>
  <c r="M65" i="42"/>
  <c r="K65" i="42"/>
  <c r="G65" i="42"/>
  <c r="V64" i="42"/>
  <c r="U64" i="42"/>
  <c r="O64" i="42"/>
  <c r="M64" i="42"/>
  <c r="N64" i="42" s="1"/>
  <c r="P64" i="42" s="1"/>
  <c r="K64" i="42"/>
  <c r="G64" i="42"/>
  <c r="V63" i="42"/>
  <c r="M63" i="42" s="1"/>
  <c r="U63" i="42"/>
  <c r="O63" i="42"/>
  <c r="K63" i="42"/>
  <c r="G63" i="42"/>
  <c r="AF62" i="42"/>
  <c r="AE62" i="42"/>
  <c r="X62" i="42"/>
  <c r="W62" i="42"/>
  <c r="V62" i="42"/>
  <c r="O62" i="42"/>
  <c r="N62" i="42"/>
  <c r="M62" i="42"/>
  <c r="K62" i="42"/>
  <c r="G62" i="42"/>
  <c r="AD61" i="42"/>
  <c r="J21" i="41" s="1"/>
  <c r="Z61" i="42"/>
  <c r="Y61" i="42"/>
  <c r="J18" i="41" s="1"/>
  <c r="O61" i="42"/>
  <c r="K61" i="42"/>
  <c r="V60" i="42"/>
  <c r="M60" i="42" s="1"/>
  <c r="U60" i="42"/>
  <c r="O60" i="42"/>
  <c r="K60" i="42"/>
  <c r="G60" i="42"/>
  <c r="V59" i="42"/>
  <c r="M59" i="42" s="1"/>
  <c r="U59" i="42"/>
  <c r="O59" i="42"/>
  <c r="K59" i="42"/>
  <c r="G59" i="42"/>
  <c r="V58" i="42"/>
  <c r="M58" i="42" s="1"/>
  <c r="U58" i="42"/>
  <c r="O58" i="42"/>
  <c r="N58" i="42"/>
  <c r="P58" i="42" s="1"/>
  <c r="K58" i="42"/>
  <c r="G58" i="42"/>
  <c r="V57" i="42"/>
  <c r="M57" i="42" s="1"/>
  <c r="O57" i="42"/>
  <c r="N57" i="42"/>
  <c r="Q57" i="42" s="1"/>
  <c r="K57" i="42"/>
  <c r="G57" i="42"/>
  <c r="AD56" i="42"/>
  <c r="Z56" i="42"/>
  <c r="I19" i="41" s="1"/>
  <c r="Y56" i="42"/>
  <c r="I18" i="41" s="1"/>
  <c r="O56" i="42"/>
  <c r="K56" i="42"/>
  <c r="V55" i="42"/>
  <c r="M55" i="42" s="1"/>
  <c r="AF55" i="42" s="1"/>
  <c r="U55" i="42"/>
  <c r="O55" i="42"/>
  <c r="K55" i="42"/>
  <c r="G55" i="42"/>
  <c r="V54" i="42"/>
  <c r="U54" i="42"/>
  <c r="O54" i="42"/>
  <c r="N54" i="42"/>
  <c r="Q54" i="42" s="1"/>
  <c r="M54" i="42"/>
  <c r="K54" i="42"/>
  <c r="G54" i="42"/>
  <c r="V53" i="42"/>
  <c r="U53" i="42"/>
  <c r="O53" i="42"/>
  <c r="M53" i="42"/>
  <c r="K53" i="42"/>
  <c r="G53" i="42"/>
  <c r="V52" i="42"/>
  <c r="U52" i="42"/>
  <c r="O52" i="42"/>
  <c r="N52" i="42"/>
  <c r="P52" i="42" s="1"/>
  <c r="M52" i="42"/>
  <c r="AE52" i="42" s="1"/>
  <c r="K52" i="42"/>
  <c r="G52" i="42"/>
  <c r="V51" i="42"/>
  <c r="U51" i="42"/>
  <c r="O51" i="42"/>
  <c r="M51" i="42"/>
  <c r="K51" i="42"/>
  <c r="G51" i="42"/>
  <c r="AF50" i="42"/>
  <c r="V50" i="42"/>
  <c r="M50" i="42" s="1"/>
  <c r="U50" i="42"/>
  <c r="O50" i="42"/>
  <c r="K50" i="42"/>
  <c r="G50" i="42"/>
  <c r="V49" i="42"/>
  <c r="M49" i="42" s="1"/>
  <c r="AF49" i="42" s="1"/>
  <c r="O49" i="42"/>
  <c r="K49" i="42"/>
  <c r="G49" i="42"/>
  <c r="AD48" i="42"/>
  <c r="Z48" i="42"/>
  <c r="Y48" i="42"/>
  <c r="O48" i="42"/>
  <c r="K48" i="42"/>
  <c r="V47" i="42"/>
  <c r="M47" i="42" s="1"/>
  <c r="U47" i="42"/>
  <c r="O47" i="42"/>
  <c r="K47" i="42"/>
  <c r="G47" i="42"/>
  <c r="V46" i="42"/>
  <c r="M46" i="42" s="1"/>
  <c r="N46" i="42" s="1"/>
  <c r="U46" i="42"/>
  <c r="O46" i="42"/>
  <c r="K46" i="42"/>
  <c r="P46" i="42" s="1"/>
  <c r="G46" i="42"/>
  <c r="AE45" i="42"/>
  <c r="V45" i="42"/>
  <c r="M45" i="42" s="1"/>
  <c r="U45" i="42"/>
  <c r="O45" i="42"/>
  <c r="K45" i="42"/>
  <c r="G45" i="42"/>
  <c r="V44" i="42"/>
  <c r="M44" i="42" s="1"/>
  <c r="AE44" i="42" s="1"/>
  <c r="O44" i="42"/>
  <c r="K44" i="42"/>
  <c r="G44" i="42"/>
  <c r="AD43" i="42"/>
  <c r="Z43" i="42"/>
  <c r="Y43" i="42"/>
  <c r="O43" i="42"/>
  <c r="K43" i="42"/>
  <c r="AF42" i="42"/>
  <c r="V42" i="42"/>
  <c r="U42" i="42"/>
  <c r="O42" i="42"/>
  <c r="M42" i="42"/>
  <c r="K42" i="42"/>
  <c r="G42" i="42"/>
  <c r="V41" i="42"/>
  <c r="M41" i="42" s="1"/>
  <c r="AF41" i="42" s="1"/>
  <c r="U41" i="42"/>
  <c r="O41" i="42"/>
  <c r="N41" i="42"/>
  <c r="Q41" i="42" s="1"/>
  <c r="K41" i="42"/>
  <c r="G41" i="42"/>
  <c r="X40" i="42"/>
  <c r="W40" i="42"/>
  <c r="V40" i="42"/>
  <c r="U40" i="42"/>
  <c r="O40" i="42"/>
  <c r="M40" i="42"/>
  <c r="K40" i="42"/>
  <c r="G40" i="42"/>
  <c r="AE39" i="42"/>
  <c r="V39" i="42"/>
  <c r="M39" i="42" s="1"/>
  <c r="AF39" i="42" s="1"/>
  <c r="U39" i="42"/>
  <c r="O39" i="42"/>
  <c r="K39" i="42"/>
  <c r="G39" i="42"/>
  <c r="V38" i="42"/>
  <c r="M38" i="42" s="1"/>
  <c r="U38" i="42"/>
  <c r="O38" i="42"/>
  <c r="K38" i="42"/>
  <c r="G38" i="42"/>
  <c r="V37" i="42"/>
  <c r="U37" i="42"/>
  <c r="O37" i="42"/>
  <c r="N37" i="42"/>
  <c r="M37" i="42"/>
  <c r="K37" i="42"/>
  <c r="G37" i="42"/>
  <c r="X36" i="42"/>
  <c r="W36" i="42"/>
  <c r="V36" i="42"/>
  <c r="M36" i="42" s="1"/>
  <c r="O36" i="42"/>
  <c r="N36" i="42"/>
  <c r="Q36" i="42" s="1"/>
  <c r="K36" i="42"/>
  <c r="G36" i="42"/>
  <c r="AD35" i="42"/>
  <c r="K21" i="41" s="1"/>
  <c r="Z35" i="42"/>
  <c r="Y35" i="42"/>
  <c r="K18" i="41" s="1"/>
  <c r="O35" i="42"/>
  <c r="K35" i="42"/>
  <c r="V34" i="42"/>
  <c r="U34" i="42"/>
  <c r="O34" i="42"/>
  <c r="M34" i="42"/>
  <c r="N34" i="42" s="1"/>
  <c r="K34" i="42"/>
  <c r="G34" i="42"/>
  <c r="X33" i="42"/>
  <c r="W33" i="42"/>
  <c r="V33" i="42"/>
  <c r="U33" i="42"/>
  <c r="O33" i="42"/>
  <c r="N33" i="42"/>
  <c r="Q33" i="42" s="1"/>
  <c r="M33" i="42"/>
  <c r="AE33" i="42" s="1"/>
  <c r="K33" i="42"/>
  <c r="G33" i="42"/>
  <c r="V32" i="42"/>
  <c r="U32" i="42"/>
  <c r="O32" i="42"/>
  <c r="M32" i="42"/>
  <c r="K32" i="42"/>
  <c r="G32" i="42"/>
  <c r="V31" i="42"/>
  <c r="U31" i="42"/>
  <c r="O31" i="42"/>
  <c r="N31" i="42"/>
  <c r="P31" i="42" s="1"/>
  <c r="M31" i="42"/>
  <c r="AE31" i="42" s="1"/>
  <c r="K31" i="42"/>
  <c r="G31" i="42"/>
  <c r="V30" i="42"/>
  <c r="U30" i="42"/>
  <c r="O30" i="42"/>
  <c r="M30" i="42"/>
  <c r="K30" i="42"/>
  <c r="G30" i="42"/>
  <c r="X29" i="42"/>
  <c r="W29" i="42"/>
  <c r="V29" i="42"/>
  <c r="O29" i="42"/>
  <c r="M29" i="42"/>
  <c r="N29" i="42" s="1"/>
  <c r="K29" i="42"/>
  <c r="G29" i="42"/>
  <c r="AD28" i="42"/>
  <c r="Z28" i="42"/>
  <c r="Y28" i="42"/>
  <c r="G18" i="41" s="1"/>
  <c r="O28" i="42"/>
  <c r="K28" i="42"/>
  <c r="G13" i="41" s="1"/>
  <c r="V27" i="42"/>
  <c r="U27" i="42"/>
  <c r="O27" i="42"/>
  <c r="M27" i="42"/>
  <c r="K27" i="42"/>
  <c r="G27" i="42"/>
  <c r="V26" i="42"/>
  <c r="M26" i="42" s="1"/>
  <c r="U26" i="42"/>
  <c r="O26" i="42"/>
  <c r="K26" i="42"/>
  <c r="G26" i="42"/>
  <c r="AF25" i="42"/>
  <c r="AE25" i="42"/>
  <c r="V25" i="42"/>
  <c r="U25" i="42"/>
  <c r="O25" i="42"/>
  <c r="N25" i="42"/>
  <c r="M25" i="42"/>
  <c r="K25" i="42"/>
  <c r="G25" i="42"/>
  <c r="V24" i="42"/>
  <c r="U24" i="42"/>
  <c r="O24" i="42"/>
  <c r="M24" i="42"/>
  <c r="N24" i="42" s="1"/>
  <c r="P24" i="42" s="1"/>
  <c r="K24" i="42"/>
  <c r="G24" i="42"/>
  <c r="V23" i="42"/>
  <c r="M23" i="42" s="1"/>
  <c r="N23" i="42" s="1"/>
  <c r="U23" i="42"/>
  <c r="O23" i="42"/>
  <c r="K23" i="42"/>
  <c r="P23" i="42" s="1"/>
  <c r="G23" i="42"/>
  <c r="AF22" i="42"/>
  <c r="AE22" i="42"/>
  <c r="V22" i="42"/>
  <c r="M22" i="42" s="1"/>
  <c r="N22" i="42" s="1"/>
  <c r="Q22" i="42" s="1"/>
  <c r="O22" i="42"/>
  <c r="K22" i="42"/>
  <c r="G22" i="42"/>
  <c r="AD21" i="42"/>
  <c r="F21" i="41" s="1"/>
  <c r="Z21" i="42"/>
  <c r="F19" i="41" s="1"/>
  <c r="Y21" i="42"/>
  <c r="F18" i="41" s="1"/>
  <c r="O21" i="42"/>
  <c r="K21" i="42"/>
  <c r="F13" i="41" s="1"/>
  <c r="V20" i="42"/>
  <c r="M20" i="42" s="1"/>
  <c r="N20" i="42" s="1"/>
  <c r="U20" i="42"/>
  <c r="O20" i="42"/>
  <c r="K20" i="42"/>
  <c r="G20" i="42"/>
  <c r="AF19" i="42"/>
  <c r="V19" i="42"/>
  <c r="U19" i="42"/>
  <c r="O19" i="42"/>
  <c r="M19" i="42"/>
  <c r="K19" i="42"/>
  <c r="G19" i="42"/>
  <c r="V18" i="42"/>
  <c r="M18" i="42" s="1"/>
  <c r="AF18" i="42" s="1"/>
  <c r="U18" i="42"/>
  <c r="O18" i="42"/>
  <c r="K18" i="42"/>
  <c r="G18" i="42"/>
  <c r="V17" i="42"/>
  <c r="U17" i="42"/>
  <c r="O17" i="42"/>
  <c r="N17" i="42"/>
  <c r="Q17" i="42" s="1"/>
  <c r="M17" i="42"/>
  <c r="K17" i="42"/>
  <c r="G17" i="42"/>
  <c r="V16" i="42"/>
  <c r="U16" i="42"/>
  <c r="O16" i="42"/>
  <c r="N16" i="42"/>
  <c r="M16" i="42"/>
  <c r="K16" i="42"/>
  <c r="G16" i="42"/>
  <c r="V15" i="42"/>
  <c r="O15" i="42"/>
  <c r="M15" i="42"/>
  <c r="K15" i="42"/>
  <c r="G15" i="42"/>
  <c r="AD14" i="42"/>
  <c r="Z14" i="42"/>
  <c r="Y14" i="42"/>
  <c r="E18" i="41" s="1"/>
  <c r="O14" i="42"/>
  <c r="K14" i="42"/>
  <c r="AE13" i="42"/>
  <c r="V13" i="42"/>
  <c r="U13" i="42"/>
  <c r="O13" i="42"/>
  <c r="M13" i="42"/>
  <c r="K13" i="42"/>
  <c r="G13" i="42"/>
  <c r="AF12" i="42"/>
  <c r="X12" i="42"/>
  <c r="W12" i="42"/>
  <c r="V12" i="42"/>
  <c r="U12" i="42"/>
  <c r="Q12" i="42"/>
  <c r="O12" i="42"/>
  <c r="N12" i="42"/>
  <c r="P12" i="42" s="1"/>
  <c r="M12" i="42"/>
  <c r="AE12" i="42" s="1"/>
  <c r="K12" i="42"/>
  <c r="G12" i="42"/>
  <c r="V11" i="42"/>
  <c r="U11" i="42"/>
  <c r="O11" i="42"/>
  <c r="M11" i="42"/>
  <c r="AE11" i="42" s="1"/>
  <c r="K11" i="42"/>
  <c r="G11" i="42"/>
  <c r="AF10" i="42"/>
  <c r="V10" i="42"/>
  <c r="M10" i="42" s="1"/>
  <c r="U10" i="42"/>
  <c r="O10" i="42"/>
  <c r="K10" i="42"/>
  <c r="G10" i="42"/>
  <c r="AF9" i="42"/>
  <c r="X9" i="42"/>
  <c r="W9" i="42"/>
  <c r="V9" i="42"/>
  <c r="Q9" i="42"/>
  <c r="O9" i="42"/>
  <c r="N9" i="42"/>
  <c r="P9" i="42" s="1"/>
  <c r="M9" i="42"/>
  <c r="AE9" i="42" s="1"/>
  <c r="K9" i="42"/>
  <c r="G9" i="42"/>
  <c r="AD8" i="42"/>
  <c r="Z8" i="42"/>
  <c r="Y8" i="42"/>
  <c r="Q8" i="42"/>
  <c r="O8" i="42"/>
  <c r="N8" i="42"/>
  <c r="M8" i="42"/>
  <c r="AF8" i="42" s="1"/>
  <c r="AG5" i="42" s="1"/>
  <c r="K8" i="42"/>
  <c r="V7" i="42"/>
  <c r="M7" i="42" s="1"/>
  <c r="U7" i="42"/>
  <c r="O7" i="42"/>
  <c r="K7" i="42"/>
  <c r="G7" i="42"/>
  <c r="AF6" i="42"/>
  <c r="AE6" i="42"/>
  <c r="V6" i="42"/>
  <c r="U6" i="42"/>
  <c r="O6" i="42"/>
  <c r="N6" i="42"/>
  <c r="M6" i="42"/>
  <c r="K6" i="42"/>
  <c r="G6" i="42"/>
  <c r="AF5" i="42"/>
  <c r="AE5" i="42"/>
  <c r="V5" i="42"/>
  <c r="R5" i="42"/>
  <c r="O5" i="42"/>
  <c r="N5" i="42"/>
  <c r="M5" i="42"/>
  <c r="K5" i="42"/>
  <c r="G5" i="42"/>
  <c r="H2" i="42"/>
  <c r="H1" i="42"/>
  <c r="D1" i="42"/>
  <c r="F3" i="41" s="1"/>
  <c r="M22" i="41"/>
  <c r="L22" i="41"/>
  <c r="K22" i="41"/>
  <c r="J22" i="41"/>
  <c r="I22" i="41"/>
  <c r="H22" i="41"/>
  <c r="G22" i="41"/>
  <c r="F22" i="41"/>
  <c r="E22" i="41"/>
  <c r="D22" i="41"/>
  <c r="M21" i="41"/>
  <c r="L21" i="41"/>
  <c r="I21" i="41"/>
  <c r="H21" i="41"/>
  <c r="G21" i="41"/>
  <c r="E21" i="41"/>
  <c r="D21" i="41"/>
  <c r="M20" i="41"/>
  <c r="L20" i="41"/>
  <c r="K20" i="41"/>
  <c r="J20" i="41"/>
  <c r="I20" i="41"/>
  <c r="H20" i="41"/>
  <c r="G20" i="41"/>
  <c r="F20" i="41"/>
  <c r="E20" i="41"/>
  <c r="D20" i="41"/>
  <c r="M19" i="41"/>
  <c r="L19" i="41"/>
  <c r="K19" i="41"/>
  <c r="J19" i="41"/>
  <c r="H19" i="41"/>
  <c r="G19" i="41"/>
  <c r="E19" i="41"/>
  <c r="D19" i="41"/>
  <c r="M18" i="41"/>
  <c r="L18" i="41"/>
  <c r="H18" i="41"/>
  <c r="D18" i="41"/>
  <c r="M17" i="41"/>
  <c r="L17" i="41"/>
  <c r="K17" i="41"/>
  <c r="J17" i="41"/>
  <c r="I17" i="41"/>
  <c r="H17" i="41"/>
  <c r="G17" i="41"/>
  <c r="F17" i="41"/>
  <c r="E17" i="41"/>
  <c r="D17" i="41"/>
  <c r="M16" i="41"/>
  <c r="L16" i="41"/>
  <c r="K16" i="41"/>
  <c r="J16" i="41"/>
  <c r="I16" i="41"/>
  <c r="H16" i="41"/>
  <c r="G16" i="41"/>
  <c r="F16" i="41"/>
  <c r="E16" i="41"/>
  <c r="D16" i="41"/>
  <c r="D14" i="41"/>
  <c r="L13" i="41"/>
  <c r="K13" i="41"/>
  <c r="J13" i="41"/>
  <c r="I13" i="41"/>
  <c r="H13" i="41"/>
  <c r="E13" i="41"/>
  <c r="D13" i="41"/>
  <c r="G6" i="41" s="1"/>
  <c r="M6" i="41"/>
  <c r="C3" i="41"/>
  <c r="G8" i="51" l="1"/>
  <c r="F8" i="51"/>
  <c r="E8" i="51"/>
  <c r="K15" i="49"/>
  <c r="I8" i="49" s="1"/>
  <c r="I7" i="49"/>
  <c r="D15" i="49"/>
  <c r="G7" i="49"/>
  <c r="F7" i="49"/>
  <c r="E7" i="49"/>
  <c r="Q59" i="48"/>
  <c r="R55" i="48" s="1"/>
  <c r="P59" i="48"/>
  <c r="J14" i="47"/>
  <c r="J15" i="47" s="1"/>
  <c r="D2" i="48"/>
  <c r="Q9" i="48"/>
  <c r="R5" i="48" s="1"/>
  <c r="P9" i="48"/>
  <c r="D14" i="47"/>
  <c r="Q13" i="48"/>
  <c r="R10" i="48" s="1"/>
  <c r="P13" i="48"/>
  <c r="E14" i="47"/>
  <c r="E15" i="47" s="1"/>
  <c r="Q66" i="48"/>
  <c r="R60" i="48" s="1"/>
  <c r="P66" i="48"/>
  <c r="M14" i="47"/>
  <c r="M15" i="47" s="1"/>
  <c r="Q21" i="48"/>
  <c r="R14" i="48" s="1"/>
  <c r="P21" i="48"/>
  <c r="F14" i="47"/>
  <c r="F15" i="47" s="1"/>
  <c r="Q29" i="48"/>
  <c r="R22" i="48" s="1"/>
  <c r="P29" i="48"/>
  <c r="G14" i="47"/>
  <c r="G15" i="47" s="1"/>
  <c r="Q34" i="48"/>
  <c r="R30" i="48" s="1"/>
  <c r="K14" i="47"/>
  <c r="P34" i="48"/>
  <c r="L14" i="47"/>
  <c r="L15" i="47" s="1"/>
  <c r="P41" i="48"/>
  <c r="Q41" i="48"/>
  <c r="R35" i="48" s="1"/>
  <c r="Q51" i="44"/>
  <c r="P51" i="44"/>
  <c r="Q35" i="44"/>
  <c r="P35" i="44"/>
  <c r="Q16" i="44"/>
  <c r="P16" i="44"/>
  <c r="N44" i="44"/>
  <c r="AF44" i="44"/>
  <c r="AG40" i="44" s="1"/>
  <c r="AE44" i="44"/>
  <c r="N20" i="44"/>
  <c r="AF20" i="44"/>
  <c r="AG14" i="44" s="1"/>
  <c r="AE20" i="44"/>
  <c r="AF64" i="44"/>
  <c r="AG58" i="44" s="1"/>
  <c r="AE64" i="44"/>
  <c r="N64" i="44"/>
  <c r="L14" i="43"/>
  <c r="Q39" i="44"/>
  <c r="R33" i="44" s="1"/>
  <c r="P39" i="44"/>
  <c r="I14" i="43"/>
  <c r="I15" i="43" s="1"/>
  <c r="Q52" i="44"/>
  <c r="R45" i="44" s="1"/>
  <c r="P52" i="44"/>
  <c r="N57" i="44"/>
  <c r="AF57" i="44"/>
  <c r="AG53" i="44" s="1"/>
  <c r="AE57" i="44"/>
  <c r="Q27" i="44"/>
  <c r="R21" i="44" s="1"/>
  <c r="P27" i="44"/>
  <c r="G14" i="43"/>
  <c r="G15" i="43" s="1"/>
  <c r="Q29" i="42"/>
  <c r="P29" i="42"/>
  <c r="Q20" i="42"/>
  <c r="P20" i="42"/>
  <c r="Q34" i="42"/>
  <c r="P34" i="42"/>
  <c r="AF38" i="42"/>
  <c r="AE38" i="42"/>
  <c r="N38" i="42"/>
  <c r="N47" i="42"/>
  <c r="AE47" i="42"/>
  <c r="AF47" i="42"/>
  <c r="AF27" i="42"/>
  <c r="N27" i="42"/>
  <c r="AE68" i="42"/>
  <c r="N68" i="42"/>
  <c r="M14" i="42"/>
  <c r="AF17" i="42"/>
  <c r="AE17" i="42"/>
  <c r="AF30" i="42"/>
  <c r="N30" i="42"/>
  <c r="AF37" i="42"/>
  <c r="AE37" i="42"/>
  <c r="N40" i="42"/>
  <c r="AF40" i="42"/>
  <c r="AE40" i="42"/>
  <c r="P41" i="42"/>
  <c r="AF51" i="42"/>
  <c r="N51" i="42"/>
  <c r="AF54" i="42"/>
  <c r="AE54" i="42"/>
  <c r="Q64" i="42"/>
  <c r="AF68" i="42"/>
  <c r="Y2" i="42"/>
  <c r="K6" i="41" s="1"/>
  <c r="AE8" i="42"/>
  <c r="AE18" i="42"/>
  <c r="AE24" i="42"/>
  <c r="AE27" i="42"/>
  <c r="AF31" i="42"/>
  <c r="AF52" i="42"/>
  <c r="AE55" i="42"/>
  <c r="Q58" i="42"/>
  <c r="M69" i="42"/>
  <c r="Z2" i="42"/>
  <c r="L6" i="41" s="1"/>
  <c r="P17" i="42"/>
  <c r="AF24" i="42"/>
  <c r="P33" i="42"/>
  <c r="N39" i="42"/>
  <c r="Q46" i="42"/>
  <c r="P54" i="42"/>
  <c r="AE64" i="42"/>
  <c r="Q52" i="42"/>
  <c r="AD2" i="42"/>
  <c r="N6" i="41" s="1"/>
  <c r="AE7" i="42"/>
  <c r="N7" i="42"/>
  <c r="Q23" i="42"/>
  <c r="M28" i="42"/>
  <c r="P36" i="42"/>
  <c r="AE41" i="42"/>
  <c r="AE46" i="42"/>
  <c r="P57" i="42"/>
  <c r="AF58" i="42"/>
  <c r="AE58" i="42"/>
  <c r="N60" i="42"/>
  <c r="AF60" i="42"/>
  <c r="AF64" i="42"/>
  <c r="M35" i="42"/>
  <c r="AF29" i="42"/>
  <c r="Q37" i="42"/>
  <c r="P37" i="42"/>
  <c r="N44" i="42"/>
  <c r="M48" i="42"/>
  <c r="AF44" i="42"/>
  <c r="AE49" i="42"/>
  <c r="M56" i="42"/>
  <c r="N49" i="42"/>
  <c r="E6" i="41"/>
  <c r="F1" i="42"/>
  <c r="AF7" i="42"/>
  <c r="AF13" i="42"/>
  <c r="N13" i="42"/>
  <c r="AF16" i="42"/>
  <c r="AE16" i="42"/>
  <c r="N19" i="42"/>
  <c r="AE19" i="42"/>
  <c r="AE23" i="42"/>
  <c r="AE26" i="42"/>
  <c r="N26" i="42"/>
  <c r="AE30" i="42"/>
  <c r="AF32" i="42"/>
  <c r="AE32" i="42"/>
  <c r="AF46" i="42"/>
  <c r="AE51" i="42"/>
  <c r="AF53" i="42"/>
  <c r="AE53" i="42"/>
  <c r="AE60" i="42"/>
  <c r="Q62" i="42"/>
  <c r="P62" i="42"/>
  <c r="Q6" i="42"/>
  <c r="P6" i="42"/>
  <c r="AE10" i="42"/>
  <c r="N10" i="42"/>
  <c r="Q16" i="42"/>
  <c r="P16" i="42"/>
  <c r="P22" i="42"/>
  <c r="AF23" i="42"/>
  <c r="AF26" i="42"/>
  <c r="N32" i="42"/>
  <c r="AF36" i="42"/>
  <c r="M43" i="42"/>
  <c r="AE36" i="42"/>
  <c r="N53" i="42"/>
  <c r="N63" i="42"/>
  <c r="AF63" i="42"/>
  <c r="AE66" i="42"/>
  <c r="N66" i="42"/>
  <c r="D15" i="41"/>
  <c r="F6" i="41"/>
  <c r="AF20" i="42"/>
  <c r="AE20" i="42"/>
  <c r="Q25" i="42"/>
  <c r="P25" i="42"/>
  <c r="N42" i="42"/>
  <c r="AE42" i="42"/>
  <c r="M61" i="42"/>
  <c r="AF57" i="42"/>
  <c r="AE57" i="42"/>
  <c r="AE63" i="42"/>
  <c r="AF66" i="42"/>
  <c r="AF15" i="42"/>
  <c r="AE15" i="42"/>
  <c r="M21" i="42"/>
  <c r="AF11" i="42"/>
  <c r="N11" i="42"/>
  <c r="N15" i="42"/>
  <c r="N59" i="42"/>
  <c r="AF59" i="42"/>
  <c r="AE59" i="42"/>
  <c r="Q67" i="42"/>
  <c r="Q24" i="42"/>
  <c r="Q31" i="42"/>
  <c r="AF34" i="42"/>
  <c r="AE34" i="42"/>
  <c r="Q5" i="42"/>
  <c r="P5" i="42"/>
  <c r="P8" i="42"/>
  <c r="N18" i="42"/>
  <c r="AE29" i="42"/>
  <c r="AF33" i="42"/>
  <c r="N45" i="42"/>
  <c r="AF45" i="42"/>
  <c r="AE50" i="42"/>
  <c r="N50" i="42"/>
  <c r="N55" i="42"/>
  <c r="Q65" i="42"/>
  <c r="P65" i="42"/>
  <c r="AD75" i="40"/>
  <c r="Z75" i="40"/>
  <c r="Y75" i="40"/>
  <c r="O75" i="40"/>
  <c r="K75" i="40"/>
  <c r="V74" i="40"/>
  <c r="U74" i="40"/>
  <c r="O74" i="40"/>
  <c r="N74" i="40"/>
  <c r="M74" i="40"/>
  <c r="K74" i="40"/>
  <c r="G74" i="40"/>
  <c r="AF73" i="40"/>
  <c r="AE73" i="40"/>
  <c r="V73" i="40"/>
  <c r="U73" i="40"/>
  <c r="Q73" i="40"/>
  <c r="P73" i="40"/>
  <c r="O73" i="40"/>
  <c r="N73" i="40"/>
  <c r="M73" i="40"/>
  <c r="K73" i="40"/>
  <c r="G73" i="40"/>
  <c r="AF72" i="40"/>
  <c r="AE72" i="40"/>
  <c r="X72" i="40"/>
  <c r="W72" i="40"/>
  <c r="V72" i="40"/>
  <c r="U72" i="40"/>
  <c r="Q72" i="40"/>
  <c r="O72" i="40"/>
  <c r="M72" i="40"/>
  <c r="N72" i="40" s="1"/>
  <c r="P72" i="40" s="1"/>
  <c r="K72" i="40"/>
  <c r="G72" i="40"/>
  <c r="V71" i="40"/>
  <c r="U71" i="40"/>
  <c r="O71" i="40"/>
  <c r="M71" i="40"/>
  <c r="AF71" i="40" s="1"/>
  <c r="K71" i="40"/>
  <c r="G71" i="40"/>
  <c r="AF70" i="40"/>
  <c r="AE70" i="40"/>
  <c r="V70" i="40"/>
  <c r="M70" i="40" s="1"/>
  <c r="N70" i="40" s="1"/>
  <c r="U70" i="40"/>
  <c r="O70" i="40"/>
  <c r="K70" i="40"/>
  <c r="G70" i="40"/>
  <c r="V69" i="40"/>
  <c r="U69" i="40"/>
  <c r="O69" i="40"/>
  <c r="M69" i="40"/>
  <c r="N69" i="40" s="1"/>
  <c r="K69" i="40"/>
  <c r="G69" i="40"/>
  <c r="AF68" i="40"/>
  <c r="AE68" i="40"/>
  <c r="V68" i="40"/>
  <c r="U68" i="40"/>
  <c r="O68" i="40"/>
  <c r="N68" i="40"/>
  <c r="Q68" i="40" s="1"/>
  <c r="M68" i="40"/>
  <c r="K68" i="40"/>
  <c r="G68" i="40"/>
  <c r="X67" i="40"/>
  <c r="W67" i="40"/>
  <c r="V67" i="40"/>
  <c r="M67" i="40" s="1"/>
  <c r="O67" i="40"/>
  <c r="K67" i="40"/>
  <c r="G67" i="40"/>
  <c r="AD66" i="40"/>
  <c r="Z66" i="40"/>
  <c r="Y66" i="40"/>
  <c r="O66" i="40"/>
  <c r="K66" i="40"/>
  <c r="AF65" i="40"/>
  <c r="AE65" i="40"/>
  <c r="V65" i="40"/>
  <c r="U65" i="40"/>
  <c r="Q65" i="40"/>
  <c r="O65" i="40"/>
  <c r="M65" i="40"/>
  <c r="N65" i="40" s="1"/>
  <c r="P65" i="40" s="1"/>
  <c r="K65" i="40"/>
  <c r="G65" i="40"/>
  <c r="V64" i="40"/>
  <c r="U64" i="40"/>
  <c r="O64" i="40"/>
  <c r="M64" i="40"/>
  <c r="AF64" i="40" s="1"/>
  <c r="K64" i="40"/>
  <c r="G64" i="40"/>
  <c r="AF63" i="40"/>
  <c r="AE63" i="40"/>
  <c r="V63" i="40"/>
  <c r="M63" i="40" s="1"/>
  <c r="N63" i="40" s="1"/>
  <c r="U63" i="40"/>
  <c r="O63" i="40"/>
  <c r="K63" i="40"/>
  <c r="G63" i="40"/>
  <c r="V62" i="40"/>
  <c r="O62" i="40"/>
  <c r="M62" i="40"/>
  <c r="K62" i="40"/>
  <c r="G62" i="40"/>
  <c r="AD61" i="40"/>
  <c r="Z61" i="40"/>
  <c r="Y61" i="40"/>
  <c r="O61" i="40"/>
  <c r="K61" i="40"/>
  <c r="V60" i="40"/>
  <c r="U60" i="40"/>
  <c r="O60" i="40"/>
  <c r="N60" i="40"/>
  <c r="M60" i="40"/>
  <c r="K60" i="40"/>
  <c r="G60" i="40"/>
  <c r="AF59" i="40"/>
  <c r="AE59" i="40"/>
  <c r="V59" i="40"/>
  <c r="U59" i="40"/>
  <c r="Q59" i="40"/>
  <c r="P59" i="40"/>
  <c r="O59" i="40"/>
  <c r="N59" i="40"/>
  <c r="M59" i="40"/>
  <c r="K59" i="40"/>
  <c r="G59" i="40"/>
  <c r="V58" i="40"/>
  <c r="M58" i="40" s="1"/>
  <c r="U58" i="40"/>
  <c r="O58" i="40"/>
  <c r="K58" i="40"/>
  <c r="G58" i="40"/>
  <c r="AF57" i="40"/>
  <c r="AE57" i="40"/>
  <c r="V57" i="40"/>
  <c r="U57" i="40"/>
  <c r="O57" i="40"/>
  <c r="N57" i="40"/>
  <c r="P57" i="40" s="1"/>
  <c r="M57" i="40"/>
  <c r="K57" i="40"/>
  <c r="G57" i="40"/>
  <c r="AF56" i="40"/>
  <c r="AE56" i="40"/>
  <c r="V56" i="40"/>
  <c r="U56" i="40"/>
  <c r="Q56" i="40"/>
  <c r="O56" i="40"/>
  <c r="M56" i="40"/>
  <c r="N56" i="40" s="1"/>
  <c r="P56" i="40" s="1"/>
  <c r="K56" i="40"/>
  <c r="G56" i="40"/>
  <c r="V55" i="40"/>
  <c r="U55" i="40"/>
  <c r="O55" i="40"/>
  <c r="M55" i="40"/>
  <c r="AF55" i="40" s="1"/>
  <c r="K55" i="40"/>
  <c r="G55" i="40"/>
  <c r="AF54" i="40"/>
  <c r="AE54" i="40"/>
  <c r="V54" i="40"/>
  <c r="O54" i="40"/>
  <c r="N54" i="40"/>
  <c r="P54" i="40" s="1"/>
  <c r="M54" i="40"/>
  <c r="K54" i="40"/>
  <c r="G54" i="40"/>
  <c r="AD53" i="40"/>
  <c r="Z53" i="40"/>
  <c r="Y53" i="40"/>
  <c r="O53" i="40"/>
  <c r="N53" i="40"/>
  <c r="M53" i="40"/>
  <c r="K53" i="40"/>
  <c r="H13" i="39" s="1"/>
  <c r="AF52" i="40"/>
  <c r="AE52" i="40"/>
  <c r="V52" i="40"/>
  <c r="U52" i="40"/>
  <c r="Q52" i="40"/>
  <c r="P52" i="40"/>
  <c r="O52" i="40"/>
  <c r="N52" i="40"/>
  <c r="M52" i="40"/>
  <c r="K52" i="40"/>
  <c r="G52" i="40"/>
  <c r="V51" i="40"/>
  <c r="U51" i="40"/>
  <c r="O51" i="40"/>
  <c r="N51" i="40"/>
  <c r="M51" i="40"/>
  <c r="K51" i="40"/>
  <c r="G51" i="40"/>
  <c r="AF50" i="40"/>
  <c r="AE50" i="40"/>
  <c r="V50" i="40"/>
  <c r="U50" i="40"/>
  <c r="Q50" i="40"/>
  <c r="P50" i="40"/>
  <c r="O50" i="40"/>
  <c r="N50" i="40"/>
  <c r="M50" i="40"/>
  <c r="K50" i="40"/>
  <c r="G50" i="40"/>
  <c r="V49" i="40"/>
  <c r="M49" i="40" s="1"/>
  <c r="O49" i="40"/>
  <c r="K49" i="40"/>
  <c r="G49" i="40"/>
  <c r="AD48" i="40"/>
  <c r="Z48" i="40"/>
  <c r="Y48" i="40"/>
  <c r="O48" i="40"/>
  <c r="K48" i="40"/>
  <c r="L13" i="39" s="1"/>
  <c r="AF47" i="40"/>
  <c r="AE47" i="40"/>
  <c r="V47" i="40"/>
  <c r="U47" i="40"/>
  <c r="O47" i="40"/>
  <c r="M47" i="40"/>
  <c r="N47" i="40" s="1"/>
  <c r="K47" i="40"/>
  <c r="G47" i="40"/>
  <c r="V46" i="40"/>
  <c r="U46" i="40"/>
  <c r="O46" i="40"/>
  <c r="M46" i="40"/>
  <c r="N46" i="40" s="1"/>
  <c r="K46" i="40"/>
  <c r="G46" i="40"/>
  <c r="AF45" i="40"/>
  <c r="AE45" i="40"/>
  <c r="V45" i="40"/>
  <c r="U45" i="40"/>
  <c r="O45" i="40"/>
  <c r="N45" i="40"/>
  <c r="P45" i="40" s="1"/>
  <c r="M45" i="40"/>
  <c r="K45" i="40"/>
  <c r="G45" i="40"/>
  <c r="X44" i="40"/>
  <c r="W44" i="40"/>
  <c r="V44" i="40"/>
  <c r="U44" i="40"/>
  <c r="O44" i="40"/>
  <c r="N44" i="40"/>
  <c r="M44" i="40"/>
  <c r="K44" i="40"/>
  <c r="G44" i="40"/>
  <c r="AF43" i="40"/>
  <c r="AE43" i="40"/>
  <c r="V43" i="40"/>
  <c r="U43" i="40"/>
  <c r="Q43" i="40"/>
  <c r="P43" i="40"/>
  <c r="O43" i="40"/>
  <c r="N43" i="40"/>
  <c r="M43" i="40"/>
  <c r="K43" i="40"/>
  <c r="G43" i="40"/>
  <c r="V42" i="40"/>
  <c r="M42" i="40" s="1"/>
  <c r="U42" i="40"/>
  <c r="O42" i="40"/>
  <c r="K42" i="40"/>
  <c r="G42" i="40"/>
  <c r="AF41" i="40"/>
  <c r="AE41" i="40"/>
  <c r="V41" i="40"/>
  <c r="U41" i="40"/>
  <c r="O41" i="40"/>
  <c r="N41" i="40"/>
  <c r="Q41" i="40" s="1"/>
  <c r="M41" i="40"/>
  <c r="K41" i="40"/>
  <c r="G41" i="40"/>
  <c r="AF40" i="40"/>
  <c r="AE40" i="40"/>
  <c r="X40" i="40"/>
  <c r="W40" i="40"/>
  <c r="V40" i="40"/>
  <c r="O40" i="40"/>
  <c r="N40" i="40"/>
  <c r="P40" i="40" s="1"/>
  <c r="M40" i="40"/>
  <c r="K40" i="40"/>
  <c r="G40" i="40"/>
  <c r="AD39" i="40"/>
  <c r="Z39" i="40"/>
  <c r="Y39" i="40"/>
  <c r="O39" i="40"/>
  <c r="M39" i="40"/>
  <c r="N39" i="40" s="1"/>
  <c r="K39" i="40"/>
  <c r="K13" i="39" s="1"/>
  <c r="I6" i="39" s="1"/>
  <c r="AF38" i="40"/>
  <c r="AE38" i="40"/>
  <c r="V38" i="40"/>
  <c r="U38" i="40"/>
  <c r="Q38" i="40"/>
  <c r="P38" i="40"/>
  <c r="O38" i="40"/>
  <c r="N38" i="40"/>
  <c r="M38" i="40"/>
  <c r="K38" i="40"/>
  <c r="G38" i="40"/>
  <c r="V37" i="40"/>
  <c r="U37" i="40"/>
  <c r="O37" i="40"/>
  <c r="N37" i="40"/>
  <c r="Q37" i="40" s="1"/>
  <c r="M37" i="40"/>
  <c r="K37" i="40"/>
  <c r="G37" i="40"/>
  <c r="AF36" i="40"/>
  <c r="AE36" i="40"/>
  <c r="X36" i="40"/>
  <c r="W36" i="40"/>
  <c r="V36" i="40"/>
  <c r="U36" i="40"/>
  <c r="O36" i="40"/>
  <c r="N36" i="40"/>
  <c r="Q36" i="40" s="1"/>
  <c r="M36" i="40"/>
  <c r="K36" i="40"/>
  <c r="G36" i="40"/>
  <c r="AF35" i="40"/>
  <c r="AE35" i="40"/>
  <c r="V35" i="40"/>
  <c r="U35" i="40"/>
  <c r="Q35" i="40"/>
  <c r="O35" i="40"/>
  <c r="M35" i="40"/>
  <c r="N35" i="40" s="1"/>
  <c r="P35" i="40" s="1"/>
  <c r="K35" i="40"/>
  <c r="G35" i="40"/>
  <c r="AF34" i="40"/>
  <c r="AE34" i="40"/>
  <c r="V34" i="40"/>
  <c r="U34" i="40"/>
  <c r="O34" i="40"/>
  <c r="N34" i="40"/>
  <c r="M34" i="40"/>
  <c r="K34" i="40"/>
  <c r="Q34" i="40" s="1"/>
  <c r="G34" i="40"/>
  <c r="AF33" i="40"/>
  <c r="AE33" i="40"/>
  <c r="V33" i="40"/>
  <c r="M33" i="40" s="1"/>
  <c r="N33" i="40" s="1"/>
  <c r="U33" i="40"/>
  <c r="O33" i="40"/>
  <c r="K33" i="40"/>
  <c r="G33" i="40"/>
  <c r="X32" i="40"/>
  <c r="W32" i="40"/>
  <c r="V32" i="40"/>
  <c r="O32" i="40"/>
  <c r="N32" i="40"/>
  <c r="Q32" i="40" s="1"/>
  <c r="M32" i="40"/>
  <c r="K32" i="40"/>
  <c r="G32" i="40"/>
  <c r="AD31" i="40"/>
  <c r="Z31" i="40"/>
  <c r="Y31" i="40"/>
  <c r="O31" i="40"/>
  <c r="K31" i="40"/>
  <c r="V30" i="40"/>
  <c r="M30" i="40" s="1"/>
  <c r="U30" i="40"/>
  <c r="O30" i="40"/>
  <c r="K30" i="40"/>
  <c r="G30" i="40"/>
  <c r="AF29" i="40"/>
  <c r="AE29" i="40"/>
  <c r="X29" i="40"/>
  <c r="W29" i="40"/>
  <c r="V29" i="40"/>
  <c r="U29" i="40"/>
  <c r="O29" i="40"/>
  <c r="N29" i="40"/>
  <c r="M29" i="40"/>
  <c r="K29" i="40"/>
  <c r="P29" i="40" s="1"/>
  <c r="G29" i="40"/>
  <c r="AF28" i="40"/>
  <c r="AE28" i="40"/>
  <c r="V28" i="40"/>
  <c r="M28" i="40" s="1"/>
  <c r="N28" i="40" s="1"/>
  <c r="U28" i="40"/>
  <c r="O28" i="40"/>
  <c r="K28" i="40"/>
  <c r="G28" i="40"/>
  <c r="V27" i="40"/>
  <c r="U27" i="40"/>
  <c r="O27" i="40"/>
  <c r="M27" i="40"/>
  <c r="K27" i="40"/>
  <c r="G27" i="40"/>
  <c r="AF26" i="40"/>
  <c r="AE26" i="40"/>
  <c r="V26" i="40"/>
  <c r="U26" i="40"/>
  <c r="O26" i="40"/>
  <c r="N26" i="40"/>
  <c r="Q26" i="40" s="1"/>
  <c r="M26" i="40"/>
  <c r="K26" i="40"/>
  <c r="G26" i="40"/>
  <c r="V25" i="40"/>
  <c r="U25" i="40"/>
  <c r="O25" i="40"/>
  <c r="N25" i="40"/>
  <c r="M25" i="40"/>
  <c r="K25" i="40"/>
  <c r="G25" i="40"/>
  <c r="AF24" i="40"/>
  <c r="AE24" i="40"/>
  <c r="V24" i="40"/>
  <c r="Q24" i="40"/>
  <c r="P24" i="40"/>
  <c r="O24" i="40"/>
  <c r="N24" i="40"/>
  <c r="M24" i="40"/>
  <c r="K24" i="40"/>
  <c r="G24" i="40"/>
  <c r="AD23" i="40"/>
  <c r="Z23" i="40"/>
  <c r="Y23" i="40"/>
  <c r="O23" i="40"/>
  <c r="K23" i="40"/>
  <c r="AF22" i="40"/>
  <c r="AE22" i="40"/>
  <c r="V22" i="40"/>
  <c r="U22" i="40"/>
  <c r="O22" i="40"/>
  <c r="N22" i="40"/>
  <c r="Q22" i="40" s="1"/>
  <c r="M22" i="40"/>
  <c r="K22" i="40"/>
  <c r="G22" i="40"/>
  <c r="AF21" i="40"/>
  <c r="AE21" i="40"/>
  <c r="V21" i="40"/>
  <c r="U21" i="40"/>
  <c r="Q21" i="40"/>
  <c r="O21" i="40"/>
  <c r="M21" i="40"/>
  <c r="N21" i="40" s="1"/>
  <c r="P21" i="40" s="1"/>
  <c r="K21" i="40"/>
  <c r="G21" i="40"/>
  <c r="AF20" i="40"/>
  <c r="AE20" i="40"/>
  <c r="V20" i="40"/>
  <c r="U20" i="40"/>
  <c r="O20" i="40"/>
  <c r="N20" i="40"/>
  <c r="M20" i="40"/>
  <c r="K20" i="40"/>
  <c r="Q20" i="40" s="1"/>
  <c r="G20" i="40"/>
  <c r="AF19" i="40"/>
  <c r="AE19" i="40"/>
  <c r="V19" i="40"/>
  <c r="M19" i="40" s="1"/>
  <c r="N19" i="40" s="1"/>
  <c r="U19" i="40"/>
  <c r="O19" i="40"/>
  <c r="K19" i="40"/>
  <c r="G19" i="40"/>
  <c r="V18" i="40"/>
  <c r="U18" i="40"/>
  <c r="O18" i="40"/>
  <c r="M18" i="40"/>
  <c r="K18" i="40"/>
  <c r="G18" i="40"/>
  <c r="AF17" i="40"/>
  <c r="AE17" i="40"/>
  <c r="V17" i="40"/>
  <c r="U17" i="40"/>
  <c r="O17" i="40"/>
  <c r="N17" i="40"/>
  <c r="Q17" i="40" s="1"/>
  <c r="M17" i="40"/>
  <c r="K17" i="40"/>
  <c r="G17" i="40"/>
  <c r="V16" i="40"/>
  <c r="O16" i="40"/>
  <c r="N16" i="40"/>
  <c r="Q16" i="40" s="1"/>
  <c r="M16" i="40"/>
  <c r="K16" i="40"/>
  <c r="G16" i="40"/>
  <c r="AD15" i="40"/>
  <c r="Z15" i="40"/>
  <c r="Y15" i="40"/>
  <c r="O15" i="40"/>
  <c r="K15" i="40"/>
  <c r="V14" i="40"/>
  <c r="M14" i="40" s="1"/>
  <c r="U14" i="40"/>
  <c r="O14" i="40"/>
  <c r="K14" i="40"/>
  <c r="G14" i="40"/>
  <c r="AF13" i="40"/>
  <c r="AE13" i="40"/>
  <c r="X13" i="40"/>
  <c r="W13" i="40"/>
  <c r="V13" i="40"/>
  <c r="U13" i="40"/>
  <c r="O13" i="40"/>
  <c r="N13" i="40"/>
  <c r="M13" i="40"/>
  <c r="K13" i="40"/>
  <c r="Q13" i="40" s="1"/>
  <c r="G13" i="40"/>
  <c r="AF12" i="40"/>
  <c r="AE12" i="40"/>
  <c r="V12" i="40"/>
  <c r="M12" i="40" s="1"/>
  <c r="N12" i="40" s="1"/>
  <c r="U12" i="40"/>
  <c r="O12" i="40"/>
  <c r="K12" i="40"/>
  <c r="G12" i="40"/>
  <c r="V11" i="40"/>
  <c r="U11" i="40"/>
  <c r="O11" i="40"/>
  <c r="M11" i="40"/>
  <c r="K11" i="40"/>
  <c r="G11" i="40"/>
  <c r="AF10" i="40"/>
  <c r="AE10" i="40"/>
  <c r="X10" i="40"/>
  <c r="W10" i="40"/>
  <c r="V10" i="40"/>
  <c r="Q10" i="40"/>
  <c r="P10" i="40"/>
  <c r="O10" i="40"/>
  <c r="N10" i="40"/>
  <c r="M10" i="40"/>
  <c r="K10" i="40"/>
  <c r="G10" i="40"/>
  <c r="AD9" i="40"/>
  <c r="AD2" i="40" s="1"/>
  <c r="N6" i="39" s="1"/>
  <c r="Z9" i="40"/>
  <c r="Z2" i="40" s="1"/>
  <c r="L6" i="39" s="1"/>
  <c r="Y9" i="40"/>
  <c r="O9" i="40"/>
  <c r="K9" i="40"/>
  <c r="AF8" i="40"/>
  <c r="AE8" i="40"/>
  <c r="V8" i="40"/>
  <c r="U8" i="40"/>
  <c r="O8" i="40"/>
  <c r="N8" i="40"/>
  <c r="P8" i="40" s="1"/>
  <c r="M8" i="40"/>
  <c r="K8" i="40"/>
  <c r="G8" i="40"/>
  <c r="AE7" i="40"/>
  <c r="X7" i="40"/>
  <c r="W7" i="40"/>
  <c r="V7" i="40"/>
  <c r="M7" i="40" s="1"/>
  <c r="U7" i="40"/>
  <c r="O7" i="40"/>
  <c r="K7" i="40"/>
  <c r="G7" i="40"/>
  <c r="V6" i="40"/>
  <c r="U6" i="40"/>
  <c r="O6" i="40"/>
  <c r="M6" i="40"/>
  <c r="K6" i="40"/>
  <c r="G6" i="40"/>
  <c r="AF5" i="40"/>
  <c r="AE5" i="40"/>
  <c r="V5" i="40"/>
  <c r="Q5" i="40"/>
  <c r="P5" i="40"/>
  <c r="O5" i="40"/>
  <c r="N5" i="40"/>
  <c r="M5" i="40"/>
  <c r="K5" i="40"/>
  <c r="G5" i="40"/>
  <c r="Y2" i="40"/>
  <c r="K6" i="39" s="1"/>
  <c r="H2" i="40"/>
  <c r="H1" i="40"/>
  <c r="F1" i="40"/>
  <c r="F2" i="40" s="1"/>
  <c r="D1" i="40"/>
  <c r="M22" i="39"/>
  <c r="L22" i="39"/>
  <c r="K22" i="39"/>
  <c r="J22" i="39"/>
  <c r="I22" i="39"/>
  <c r="H22" i="39"/>
  <c r="G22" i="39"/>
  <c r="F22" i="39"/>
  <c r="E22" i="39"/>
  <c r="D22" i="39"/>
  <c r="M21" i="39"/>
  <c r="L21" i="39"/>
  <c r="K21" i="39"/>
  <c r="J21" i="39"/>
  <c r="I21" i="39"/>
  <c r="H21" i="39"/>
  <c r="G21" i="39"/>
  <c r="F21" i="39"/>
  <c r="E21" i="39"/>
  <c r="D21" i="39"/>
  <c r="M20" i="39"/>
  <c r="L20" i="39"/>
  <c r="K20" i="39"/>
  <c r="J20" i="39"/>
  <c r="I20" i="39"/>
  <c r="H20" i="39"/>
  <c r="G20" i="39"/>
  <c r="F20" i="39"/>
  <c r="E20" i="39"/>
  <c r="D20" i="39"/>
  <c r="M19" i="39"/>
  <c r="L19" i="39"/>
  <c r="K19" i="39"/>
  <c r="J19" i="39"/>
  <c r="I19" i="39"/>
  <c r="H19" i="39"/>
  <c r="G19" i="39"/>
  <c r="F19" i="39"/>
  <c r="E19" i="39"/>
  <c r="D19" i="39"/>
  <c r="M18" i="39"/>
  <c r="L18" i="39"/>
  <c r="K18" i="39"/>
  <c r="J18" i="39"/>
  <c r="I18" i="39"/>
  <c r="H18" i="39"/>
  <c r="G18" i="39"/>
  <c r="F18" i="39"/>
  <c r="E18" i="39"/>
  <c r="D18" i="39"/>
  <c r="M17" i="39"/>
  <c r="L17" i="39"/>
  <c r="K17" i="39"/>
  <c r="J17" i="39"/>
  <c r="I17" i="39"/>
  <c r="H17" i="39"/>
  <c r="G17" i="39"/>
  <c r="F17" i="39"/>
  <c r="E17" i="39"/>
  <c r="D17" i="39"/>
  <c r="M16" i="39"/>
  <c r="L16" i="39"/>
  <c r="K16" i="39"/>
  <c r="J16" i="39"/>
  <c r="I16" i="39"/>
  <c r="H16" i="39"/>
  <c r="G16" i="39"/>
  <c r="F16" i="39"/>
  <c r="E16" i="39"/>
  <c r="D16" i="39"/>
  <c r="M13" i="39"/>
  <c r="J13" i="39"/>
  <c r="I13" i="39"/>
  <c r="G13" i="39"/>
  <c r="F13" i="39"/>
  <c r="E13" i="39"/>
  <c r="D13" i="39"/>
  <c r="M6" i="39"/>
  <c r="I3" i="39"/>
  <c r="F3" i="39"/>
  <c r="C3" i="39"/>
  <c r="F8" i="49" l="1"/>
  <c r="G8" i="49"/>
  <c r="E8" i="49"/>
  <c r="K15" i="47"/>
  <c r="I8" i="47" s="1"/>
  <c r="I7" i="47"/>
  <c r="D15" i="47"/>
  <c r="G7" i="47"/>
  <c r="F7" i="47"/>
  <c r="E7" i="47"/>
  <c r="Q20" i="44"/>
  <c r="R14" i="44" s="1"/>
  <c r="P20" i="44"/>
  <c r="F14" i="43"/>
  <c r="Q57" i="44"/>
  <c r="R53" i="44" s="1"/>
  <c r="P57" i="44"/>
  <c r="J14" i="43"/>
  <c r="J15" i="43" s="1"/>
  <c r="D2" i="44"/>
  <c r="Q44" i="44"/>
  <c r="R40" i="44" s="1"/>
  <c r="P44" i="44"/>
  <c r="H14" i="43"/>
  <c r="H15" i="43" s="1"/>
  <c r="L15" i="43"/>
  <c r="M14" i="43"/>
  <c r="M15" i="43" s="1"/>
  <c r="Q64" i="44"/>
  <c r="R58" i="44" s="1"/>
  <c r="P64" i="44"/>
  <c r="N21" i="42"/>
  <c r="AF21" i="42"/>
  <c r="AG15" i="42" s="1"/>
  <c r="AE21" i="42"/>
  <c r="Q32" i="42"/>
  <c r="P32" i="42"/>
  <c r="Q19" i="42"/>
  <c r="P19" i="42"/>
  <c r="N48" i="42"/>
  <c r="AE48" i="42"/>
  <c r="AF48" i="42"/>
  <c r="AG44" i="42" s="1"/>
  <c r="Q39" i="42"/>
  <c r="P39" i="42"/>
  <c r="Q40" i="42"/>
  <c r="P40" i="42"/>
  <c r="Q50" i="42"/>
  <c r="P50" i="42"/>
  <c r="P47" i="42"/>
  <c r="Q47" i="42"/>
  <c r="P55" i="42"/>
  <c r="Q55" i="42"/>
  <c r="Q66" i="42"/>
  <c r="P66" i="42"/>
  <c r="P45" i="42"/>
  <c r="Q45" i="42"/>
  <c r="AF35" i="42"/>
  <c r="AG29" i="42" s="1"/>
  <c r="AE35" i="42"/>
  <c r="N35" i="42"/>
  <c r="Q7" i="42"/>
  <c r="P7" i="42"/>
  <c r="AF69" i="42"/>
  <c r="AG62" i="42" s="1"/>
  <c r="N69" i="42"/>
  <c r="AE69" i="42"/>
  <c r="Q10" i="42"/>
  <c r="P10" i="42"/>
  <c r="I3" i="41"/>
  <c r="F2" i="42"/>
  <c r="Q13" i="42"/>
  <c r="P13" i="42"/>
  <c r="Q38" i="42"/>
  <c r="P38" i="42"/>
  <c r="N61" i="42"/>
  <c r="AF61" i="42"/>
  <c r="AG57" i="42" s="1"/>
  <c r="AE61" i="42"/>
  <c r="Q63" i="42"/>
  <c r="P63" i="42"/>
  <c r="Q51" i="42"/>
  <c r="P51" i="42"/>
  <c r="AE14" i="42"/>
  <c r="AF14" i="42"/>
  <c r="AG9" i="42" s="1"/>
  <c r="N14" i="42"/>
  <c r="AE28" i="42"/>
  <c r="AF28" i="42"/>
  <c r="AG22" i="42" s="1"/>
  <c r="N28" i="42"/>
  <c r="Q18" i="42"/>
  <c r="P18" i="42"/>
  <c r="P59" i="42"/>
  <c r="Q59" i="42"/>
  <c r="Q53" i="42"/>
  <c r="P53" i="42"/>
  <c r="Q26" i="42"/>
  <c r="P26" i="42"/>
  <c r="Q49" i="42"/>
  <c r="P49" i="42"/>
  <c r="Q60" i="42"/>
  <c r="P60" i="42"/>
  <c r="Q68" i="42"/>
  <c r="P68" i="42"/>
  <c r="Q30" i="42"/>
  <c r="P30" i="42"/>
  <c r="Q15" i="42"/>
  <c r="P15" i="42"/>
  <c r="Q42" i="42"/>
  <c r="P42" i="42"/>
  <c r="AE56" i="42"/>
  <c r="N56" i="42"/>
  <c r="AF56" i="42"/>
  <c r="AG49" i="42" s="1"/>
  <c r="Q11" i="42"/>
  <c r="P11" i="42"/>
  <c r="N43" i="42"/>
  <c r="AF43" i="42"/>
  <c r="AG36" i="42" s="1"/>
  <c r="AE43" i="42"/>
  <c r="Q27" i="42"/>
  <c r="P27" i="42"/>
  <c r="P44" i="42"/>
  <c r="Q44" i="42"/>
  <c r="P16" i="40"/>
  <c r="P32" i="40"/>
  <c r="P37" i="40"/>
  <c r="F6" i="39"/>
  <c r="G6" i="39"/>
  <c r="E6" i="39"/>
  <c r="N6" i="40"/>
  <c r="M9" i="40"/>
  <c r="AF6" i="40"/>
  <c r="AE6" i="40"/>
  <c r="N7" i="40"/>
  <c r="AF7" i="40"/>
  <c r="N11" i="40"/>
  <c r="AE11" i="40"/>
  <c r="AF11" i="40"/>
  <c r="M15" i="40"/>
  <c r="Q12" i="40"/>
  <c r="P12" i="40"/>
  <c r="N14" i="40"/>
  <c r="AF14" i="40"/>
  <c r="AE14" i="40"/>
  <c r="AF16" i="40"/>
  <c r="M23" i="40"/>
  <c r="AE16" i="40"/>
  <c r="N18" i="40"/>
  <c r="AE18" i="40"/>
  <c r="AF18" i="40"/>
  <c r="Q19" i="40"/>
  <c r="P19" i="40"/>
  <c r="AF25" i="40"/>
  <c r="M31" i="40"/>
  <c r="AE25" i="40"/>
  <c r="P25" i="40"/>
  <c r="Q25" i="40"/>
  <c r="N27" i="40"/>
  <c r="AF27" i="40"/>
  <c r="AE27" i="40"/>
  <c r="Q28" i="40"/>
  <c r="P28" i="40"/>
  <c r="N30" i="40"/>
  <c r="AE30" i="40"/>
  <c r="AF30" i="40"/>
  <c r="AE32" i="40"/>
  <c r="AF32" i="40"/>
  <c r="Q33" i="40"/>
  <c r="P33" i="40"/>
  <c r="AF37" i="40"/>
  <c r="AE37" i="40"/>
  <c r="AF39" i="40"/>
  <c r="AG32" i="40" s="1"/>
  <c r="AE39" i="40"/>
  <c r="P39" i="40"/>
  <c r="Q39" i="40"/>
  <c r="R32" i="40" s="1"/>
  <c r="K14" i="39"/>
  <c r="N42" i="40"/>
  <c r="M48" i="40"/>
  <c r="AE42" i="40"/>
  <c r="AF42" i="40"/>
  <c r="AF44" i="40"/>
  <c r="AE44" i="40"/>
  <c r="Q44" i="40"/>
  <c r="P44" i="40"/>
  <c r="Q46" i="40"/>
  <c r="P46" i="40"/>
  <c r="Q47" i="40"/>
  <c r="P47" i="40"/>
  <c r="AE49" i="40"/>
  <c r="N49" i="40"/>
  <c r="AF49" i="40"/>
  <c r="AF51" i="40"/>
  <c r="AE51" i="40"/>
  <c r="Q51" i="40"/>
  <c r="P51" i="40"/>
  <c r="AF53" i="40"/>
  <c r="AG49" i="40" s="1"/>
  <c r="AE53" i="40"/>
  <c r="P53" i="40"/>
  <c r="H14" i="39"/>
  <c r="H15" i="39" s="1"/>
  <c r="Q53" i="40"/>
  <c r="R49" i="40" s="1"/>
  <c r="N58" i="40"/>
  <c r="AE58" i="40"/>
  <c r="AF58" i="40"/>
  <c r="AF60" i="40"/>
  <c r="AE60" i="40"/>
  <c r="Q60" i="40"/>
  <c r="P60" i="40"/>
  <c r="AE62" i="40"/>
  <c r="N62" i="40"/>
  <c r="AF62" i="40"/>
  <c r="M66" i="40"/>
  <c r="Q63" i="40"/>
  <c r="P63" i="40"/>
  <c r="N67" i="40"/>
  <c r="AF67" i="40"/>
  <c r="AE67" i="40"/>
  <c r="M75" i="40"/>
  <c r="Q69" i="40"/>
  <c r="P69" i="40"/>
  <c r="Q70" i="40"/>
  <c r="P70" i="40"/>
  <c r="AE74" i="40"/>
  <c r="AF74" i="40"/>
  <c r="Q74" i="40"/>
  <c r="P74" i="40"/>
  <c r="N55" i="40"/>
  <c r="N64" i="40"/>
  <c r="N71" i="40"/>
  <c r="P13" i="40"/>
  <c r="P34" i="40"/>
  <c r="Q29" i="40"/>
  <c r="P22" i="40"/>
  <c r="P36" i="40"/>
  <c r="P41" i="40"/>
  <c r="M61" i="40"/>
  <c r="AE69" i="40"/>
  <c r="AE46" i="40"/>
  <c r="Q57" i="40"/>
  <c r="AF69" i="40"/>
  <c r="AF46" i="40"/>
  <c r="AE55" i="40"/>
  <c r="AE64" i="40"/>
  <c r="AE71" i="40"/>
  <c r="P20" i="40"/>
  <c r="Q8" i="40"/>
  <c r="Q40" i="40"/>
  <c r="Q45" i="40"/>
  <c r="Q54" i="40"/>
  <c r="P17" i="40"/>
  <c r="P26" i="40"/>
  <c r="P68" i="40"/>
  <c r="AD77" i="38"/>
  <c r="Z77" i="38"/>
  <c r="M19" i="37" s="1"/>
  <c r="Y77" i="38"/>
  <c r="O77" i="38"/>
  <c r="K77" i="38"/>
  <c r="M13" i="37" s="1"/>
  <c r="V76" i="38"/>
  <c r="U76" i="38"/>
  <c r="O76" i="38"/>
  <c r="M76" i="38"/>
  <c r="AF76" i="38" s="1"/>
  <c r="K76" i="38"/>
  <c r="G76" i="38"/>
  <c r="V75" i="38"/>
  <c r="M75" i="38" s="1"/>
  <c r="U75" i="38"/>
  <c r="O75" i="38"/>
  <c r="K75" i="38"/>
  <c r="G75" i="38"/>
  <c r="X74" i="38"/>
  <c r="W74" i="38"/>
  <c r="V74" i="38"/>
  <c r="U74" i="38"/>
  <c r="O74" i="38"/>
  <c r="M74" i="38"/>
  <c r="N74" i="38" s="1"/>
  <c r="K74" i="38"/>
  <c r="G74" i="38"/>
  <c r="V73" i="38"/>
  <c r="M73" i="38" s="1"/>
  <c r="U73" i="38"/>
  <c r="O73" i="38"/>
  <c r="K73" i="38"/>
  <c r="G73" i="38"/>
  <c r="V72" i="38"/>
  <c r="U72" i="38"/>
  <c r="O72" i="38"/>
  <c r="M72" i="38"/>
  <c r="N72" i="38" s="1"/>
  <c r="K72" i="38"/>
  <c r="G72" i="38"/>
  <c r="V71" i="38"/>
  <c r="M71" i="38" s="1"/>
  <c r="U71" i="38"/>
  <c r="O71" i="38"/>
  <c r="K71" i="38"/>
  <c r="G71" i="38"/>
  <c r="V70" i="38"/>
  <c r="U70" i="38"/>
  <c r="O70" i="38"/>
  <c r="M70" i="38"/>
  <c r="AE70" i="38" s="1"/>
  <c r="K70" i="38"/>
  <c r="G70" i="38"/>
  <c r="X69" i="38"/>
  <c r="W69" i="38"/>
  <c r="V69" i="38"/>
  <c r="M69" i="38" s="1"/>
  <c r="O69" i="38"/>
  <c r="K69" i="38"/>
  <c r="G69" i="38"/>
  <c r="AD68" i="38"/>
  <c r="J21" i="37" s="1"/>
  <c r="Z68" i="38"/>
  <c r="J19" i="37" s="1"/>
  <c r="Y68" i="38"/>
  <c r="O68" i="38"/>
  <c r="K68" i="38"/>
  <c r="V67" i="38"/>
  <c r="U67" i="38"/>
  <c r="O67" i="38"/>
  <c r="M67" i="38"/>
  <c r="N67" i="38" s="1"/>
  <c r="K67" i="38"/>
  <c r="G67" i="38"/>
  <c r="V66" i="38"/>
  <c r="M66" i="38" s="1"/>
  <c r="U66" i="38"/>
  <c r="O66" i="38"/>
  <c r="K66" i="38"/>
  <c r="G66" i="38"/>
  <c r="V65" i="38"/>
  <c r="U65" i="38"/>
  <c r="O65" i="38"/>
  <c r="M65" i="38"/>
  <c r="N65" i="38" s="1"/>
  <c r="K65" i="38"/>
  <c r="G65" i="38"/>
  <c r="V64" i="38"/>
  <c r="M64" i="38" s="1"/>
  <c r="O64" i="38"/>
  <c r="K64" i="38"/>
  <c r="G64" i="38"/>
  <c r="AD63" i="38"/>
  <c r="I21" i="37" s="1"/>
  <c r="Z63" i="38"/>
  <c r="I19" i="37" s="1"/>
  <c r="Y63" i="38"/>
  <c r="I18" i="37" s="1"/>
  <c r="O63" i="38"/>
  <c r="K63" i="38"/>
  <c r="V62" i="38"/>
  <c r="U62" i="38"/>
  <c r="O62" i="38"/>
  <c r="M62" i="38"/>
  <c r="AF62" i="38" s="1"/>
  <c r="K62" i="38"/>
  <c r="G62" i="38"/>
  <c r="X61" i="38"/>
  <c r="W61" i="38"/>
  <c r="V61" i="38"/>
  <c r="M61" i="38" s="1"/>
  <c r="U61" i="38"/>
  <c r="O61" i="38"/>
  <c r="K61" i="38"/>
  <c r="G61" i="38"/>
  <c r="V60" i="38"/>
  <c r="U60" i="38"/>
  <c r="O60" i="38"/>
  <c r="M60" i="38"/>
  <c r="N60" i="38" s="1"/>
  <c r="K60" i="38"/>
  <c r="G60" i="38"/>
  <c r="V59" i="38"/>
  <c r="M59" i="38" s="1"/>
  <c r="U59" i="38"/>
  <c r="O59" i="38"/>
  <c r="K59" i="38"/>
  <c r="G59" i="38"/>
  <c r="V58" i="38"/>
  <c r="U58" i="38"/>
  <c r="O58" i="38"/>
  <c r="M58" i="38"/>
  <c r="N58" i="38" s="1"/>
  <c r="K58" i="38"/>
  <c r="G58" i="38"/>
  <c r="V57" i="38"/>
  <c r="M57" i="38" s="1"/>
  <c r="U57" i="38"/>
  <c r="O57" i="38"/>
  <c r="K57" i="38"/>
  <c r="G57" i="38"/>
  <c r="V56" i="38"/>
  <c r="U56" i="38"/>
  <c r="O56" i="38"/>
  <c r="M56" i="38"/>
  <c r="AE56" i="38" s="1"/>
  <c r="K56" i="38"/>
  <c r="G56" i="38"/>
  <c r="V55" i="38"/>
  <c r="M55" i="38" s="1"/>
  <c r="U55" i="38"/>
  <c r="O55" i="38"/>
  <c r="K55" i="38"/>
  <c r="G55" i="38"/>
  <c r="V54" i="38"/>
  <c r="M54" i="38" s="1"/>
  <c r="O54" i="38"/>
  <c r="K54" i="38"/>
  <c r="G54" i="38"/>
  <c r="AD53" i="38"/>
  <c r="H21" i="37" s="1"/>
  <c r="Z53" i="38"/>
  <c r="H19" i="37" s="1"/>
  <c r="Y53" i="38"/>
  <c r="O53" i="38"/>
  <c r="K53" i="38"/>
  <c r="H13" i="37" s="1"/>
  <c r="V52" i="38"/>
  <c r="M52" i="38" s="1"/>
  <c r="U52" i="38"/>
  <c r="O52" i="38"/>
  <c r="K52" i="38"/>
  <c r="G52" i="38"/>
  <c r="V51" i="38"/>
  <c r="U51" i="38"/>
  <c r="O51" i="38"/>
  <c r="M51" i="38"/>
  <c r="N51" i="38" s="1"/>
  <c r="K51" i="38"/>
  <c r="G51" i="38"/>
  <c r="V50" i="38"/>
  <c r="M50" i="38" s="1"/>
  <c r="U50" i="38"/>
  <c r="O50" i="38"/>
  <c r="K50" i="38"/>
  <c r="G50" i="38"/>
  <c r="V49" i="38"/>
  <c r="O49" i="38"/>
  <c r="N49" i="38"/>
  <c r="Q49" i="38" s="1"/>
  <c r="M49" i="38"/>
  <c r="K49" i="38"/>
  <c r="G49" i="38"/>
  <c r="AD48" i="38"/>
  <c r="L21" i="37" s="1"/>
  <c r="Z48" i="38"/>
  <c r="L19" i="37" s="1"/>
  <c r="Y48" i="38"/>
  <c r="O48" i="38"/>
  <c r="K48" i="38"/>
  <c r="L13" i="37" s="1"/>
  <c r="V47" i="38"/>
  <c r="U47" i="38"/>
  <c r="P47" i="38"/>
  <c r="O47" i="38"/>
  <c r="N47" i="38"/>
  <c r="Q47" i="38" s="1"/>
  <c r="M47" i="38"/>
  <c r="AF47" i="38" s="1"/>
  <c r="K47" i="38"/>
  <c r="G47" i="38"/>
  <c r="V46" i="38"/>
  <c r="U46" i="38"/>
  <c r="O46" i="38"/>
  <c r="M46" i="38"/>
  <c r="AF46" i="38" s="1"/>
  <c r="K46" i="38"/>
  <c r="G46" i="38"/>
  <c r="V45" i="38"/>
  <c r="M45" i="38" s="1"/>
  <c r="U45" i="38"/>
  <c r="O45" i="38"/>
  <c r="K45" i="38"/>
  <c r="G45" i="38"/>
  <c r="X44" i="38"/>
  <c r="W44" i="38"/>
  <c r="V44" i="38"/>
  <c r="U44" i="38"/>
  <c r="O44" i="38"/>
  <c r="M44" i="38"/>
  <c r="N44" i="38" s="1"/>
  <c r="K44" i="38"/>
  <c r="G44" i="38"/>
  <c r="V43" i="38"/>
  <c r="M43" i="38" s="1"/>
  <c r="U43" i="38"/>
  <c r="O43" i="38"/>
  <c r="K43" i="38"/>
  <c r="G43" i="38"/>
  <c r="V42" i="38"/>
  <c r="U42" i="38"/>
  <c r="O42" i="38"/>
  <c r="M42" i="38"/>
  <c r="N42" i="38" s="1"/>
  <c r="K42" i="38"/>
  <c r="G42" i="38"/>
  <c r="V41" i="38"/>
  <c r="M41" i="38" s="1"/>
  <c r="U41" i="38"/>
  <c r="O41" i="38"/>
  <c r="K41" i="38"/>
  <c r="G41" i="38"/>
  <c r="X40" i="38"/>
  <c r="W40" i="38"/>
  <c r="V40" i="38"/>
  <c r="M40" i="38" s="1"/>
  <c r="O40" i="38"/>
  <c r="K40" i="38"/>
  <c r="G40" i="38"/>
  <c r="AD39" i="38"/>
  <c r="Z39" i="38"/>
  <c r="Y39" i="38"/>
  <c r="O39" i="38"/>
  <c r="K39" i="38"/>
  <c r="K13" i="37" s="1"/>
  <c r="I6" i="37" s="1"/>
  <c r="V38" i="38"/>
  <c r="M38" i="38" s="1"/>
  <c r="U38" i="38"/>
  <c r="O38" i="38"/>
  <c r="K38" i="38"/>
  <c r="G38" i="38"/>
  <c r="V37" i="38"/>
  <c r="U37" i="38"/>
  <c r="O37" i="38"/>
  <c r="M37" i="38"/>
  <c r="N37" i="38" s="1"/>
  <c r="K37" i="38"/>
  <c r="G37" i="38"/>
  <c r="X36" i="38"/>
  <c r="W36" i="38"/>
  <c r="V36" i="38"/>
  <c r="M36" i="38" s="1"/>
  <c r="U36" i="38"/>
  <c r="O36" i="38"/>
  <c r="K36" i="38"/>
  <c r="G36" i="38"/>
  <c r="V35" i="38"/>
  <c r="U35" i="38"/>
  <c r="O35" i="38"/>
  <c r="M35" i="38"/>
  <c r="AE35" i="38" s="1"/>
  <c r="K35" i="38"/>
  <c r="G35" i="38"/>
  <c r="V34" i="38"/>
  <c r="M34" i="38" s="1"/>
  <c r="U34" i="38"/>
  <c r="O34" i="38"/>
  <c r="K34" i="38"/>
  <c r="G34" i="38"/>
  <c r="V33" i="38"/>
  <c r="M33" i="38" s="1"/>
  <c r="U33" i="38"/>
  <c r="O33" i="38"/>
  <c r="K33" i="38"/>
  <c r="G33" i="38"/>
  <c r="X32" i="38"/>
  <c r="W32" i="38"/>
  <c r="V32" i="38"/>
  <c r="O32" i="38"/>
  <c r="M32" i="38"/>
  <c r="K32" i="38"/>
  <c r="G32" i="38"/>
  <c r="AD31" i="38"/>
  <c r="G21" i="37" s="1"/>
  <c r="Z31" i="38"/>
  <c r="G19" i="37" s="1"/>
  <c r="Y31" i="38"/>
  <c r="O31" i="38"/>
  <c r="K31" i="38"/>
  <c r="V30" i="38"/>
  <c r="U30" i="38"/>
  <c r="O30" i="38"/>
  <c r="M30" i="38"/>
  <c r="N30" i="38" s="1"/>
  <c r="K30" i="38"/>
  <c r="G30" i="38"/>
  <c r="X29" i="38"/>
  <c r="W29" i="38"/>
  <c r="V29" i="38"/>
  <c r="M29" i="38" s="1"/>
  <c r="U29" i="38"/>
  <c r="O29" i="38"/>
  <c r="K29" i="38"/>
  <c r="G29" i="38"/>
  <c r="V28" i="38"/>
  <c r="M28" i="38" s="1"/>
  <c r="U28" i="38"/>
  <c r="O28" i="38"/>
  <c r="K28" i="38"/>
  <c r="G28" i="38"/>
  <c r="V27" i="38"/>
  <c r="M27" i="38" s="1"/>
  <c r="U27" i="38"/>
  <c r="O27" i="38"/>
  <c r="K27" i="38"/>
  <c r="G27" i="38"/>
  <c r="V26" i="38"/>
  <c r="M26" i="38" s="1"/>
  <c r="U26" i="38"/>
  <c r="O26" i="38"/>
  <c r="K26" i="38"/>
  <c r="G26" i="38"/>
  <c r="V25" i="38"/>
  <c r="M25" i="38" s="1"/>
  <c r="U25" i="38"/>
  <c r="O25" i="38"/>
  <c r="K25" i="38"/>
  <c r="G25" i="38"/>
  <c r="V24" i="38"/>
  <c r="M24" i="38" s="1"/>
  <c r="O24" i="38"/>
  <c r="K24" i="38"/>
  <c r="G24" i="38"/>
  <c r="AD23" i="38"/>
  <c r="Z23" i="38"/>
  <c r="Y23" i="38"/>
  <c r="O23" i="38"/>
  <c r="K23" i="38"/>
  <c r="F13" i="37" s="1"/>
  <c r="V22" i="38"/>
  <c r="M22" i="38" s="1"/>
  <c r="U22" i="38"/>
  <c r="O22" i="38"/>
  <c r="K22" i="38"/>
  <c r="G22" i="38"/>
  <c r="X21" i="38"/>
  <c r="W21" i="38"/>
  <c r="V21" i="38"/>
  <c r="M21" i="38" s="1"/>
  <c r="U21" i="38"/>
  <c r="O21" i="38"/>
  <c r="K21" i="38"/>
  <c r="G21" i="38"/>
  <c r="V20" i="38"/>
  <c r="M20" i="38" s="1"/>
  <c r="U20" i="38"/>
  <c r="O20" i="38"/>
  <c r="K20" i="38"/>
  <c r="G20" i="38"/>
  <c r="V19" i="38"/>
  <c r="M19" i="38" s="1"/>
  <c r="U19" i="38"/>
  <c r="O19" i="38"/>
  <c r="K19" i="38"/>
  <c r="G19" i="38"/>
  <c r="V18" i="38"/>
  <c r="M18" i="38" s="1"/>
  <c r="U18" i="38"/>
  <c r="O18" i="38"/>
  <c r="K18" i="38"/>
  <c r="G18" i="38"/>
  <c r="V17" i="38"/>
  <c r="M17" i="38" s="1"/>
  <c r="U17" i="38"/>
  <c r="O17" i="38"/>
  <c r="K17" i="38"/>
  <c r="G17" i="38"/>
  <c r="V16" i="38"/>
  <c r="O16" i="38"/>
  <c r="M16" i="38"/>
  <c r="M23" i="38" s="1"/>
  <c r="K16" i="38"/>
  <c r="G16" i="38"/>
  <c r="F1" i="38" s="1"/>
  <c r="AD15" i="38"/>
  <c r="AD2" i="38" s="1"/>
  <c r="N6" i="37" s="1"/>
  <c r="Z15" i="38"/>
  <c r="Z2" i="38" s="1"/>
  <c r="L6" i="37" s="1"/>
  <c r="Y15" i="38"/>
  <c r="E18" i="37" s="1"/>
  <c r="O15" i="38"/>
  <c r="K15" i="38"/>
  <c r="V14" i="38"/>
  <c r="U14" i="38"/>
  <c r="O14" i="38"/>
  <c r="M14" i="38"/>
  <c r="AE14" i="38" s="1"/>
  <c r="K14" i="38"/>
  <c r="G14" i="38"/>
  <c r="X13" i="38"/>
  <c r="W13" i="38"/>
  <c r="V13" i="38"/>
  <c r="M13" i="38" s="1"/>
  <c r="U13" i="38"/>
  <c r="O13" i="38"/>
  <c r="K13" i="38"/>
  <c r="G13" i="38"/>
  <c r="V12" i="38"/>
  <c r="M12" i="38" s="1"/>
  <c r="U12" i="38"/>
  <c r="O12" i="38"/>
  <c r="K12" i="38"/>
  <c r="G12" i="38"/>
  <c r="V11" i="38"/>
  <c r="M11" i="38" s="1"/>
  <c r="U11" i="38"/>
  <c r="O11" i="38"/>
  <c r="K11" i="38"/>
  <c r="G11" i="38"/>
  <c r="X10" i="38"/>
  <c r="W10" i="38"/>
  <c r="V10" i="38"/>
  <c r="M10" i="38" s="1"/>
  <c r="O10" i="38"/>
  <c r="K10" i="38"/>
  <c r="G10" i="38"/>
  <c r="AD9" i="38"/>
  <c r="Z9" i="38"/>
  <c r="Y9" i="38"/>
  <c r="Y2" i="38" s="1"/>
  <c r="K6" i="37" s="1"/>
  <c r="O9" i="38"/>
  <c r="K9" i="38"/>
  <c r="V8" i="38"/>
  <c r="M8" i="38" s="1"/>
  <c r="U8" i="38"/>
  <c r="O8" i="38"/>
  <c r="K8" i="38"/>
  <c r="G8" i="38"/>
  <c r="X7" i="38"/>
  <c r="W7" i="38"/>
  <c r="V7" i="38"/>
  <c r="M7" i="38" s="1"/>
  <c r="U7" i="38"/>
  <c r="O7" i="38"/>
  <c r="K7" i="38"/>
  <c r="G7" i="38"/>
  <c r="V6" i="38"/>
  <c r="M6" i="38" s="1"/>
  <c r="U6" i="38"/>
  <c r="O6" i="38"/>
  <c r="K6" i="38"/>
  <c r="G6" i="38"/>
  <c r="V5" i="38"/>
  <c r="M5" i="38" s="1"/>
  <c r="O5" i="38"/>
  <c r="K5" i="38"/>
  <c r="G5" i="38"/>
  <c r="H2" i="38"/>
  <c r="H1" i="38"/>
  <c r="D1" i="38"/>
  <c r="F3" i="37" s="1"/>
  <c r="M22" i="37"/>
  <c r="L22" i="37"/>
  <c r="K22" i="37"/>
  <c r="J22" i="37"/>
  <c r="I22" i="37"/>
  <c r="H22" i="37"/>
  <c r="G22" i="37"/>
  <c r="F22" i="37"/>
  <c r="E22" i="37"/>
  <c r="D22" i="37"/>
  <c r="M21" i="37"/>
  <c r="K21" i="37"/>
  <c r="F21" i="37"/>
  <c r="E21" i="37"/>
  <c r="D21" i="37"/>
  <c r="M20" i="37"/>
  <c r="L20" i="37"/>
  <c r="K20" i="37"/>
  <c r="J20" i="37"/>
  <c r="I20" i="37"/>
  <c r="H20" i="37"/>
  <c r="G20" i="37"/>
  <c r="F20" i="37"/>
  <c r="E20" i="37"/>
  <c r="D20" i="37"/>
  <c r="K19" i="37"/>
  <c r="F19" i="37"/>
  <c r="E19" i="37"/>
  <c r="D19" i="37"/>
  <c r="M18" i="37"/>
  <c r="L18" i="37"/>
  <c r="K18" i="37"/>
  <c r="J18" i="37"/>
  <c r="H18" i="37"/>
  <c r="G18" i="37"/>
  <c r="F18" i="37"/>
  <c r="M17" i="37"/>
  <c r="L17" i="37"/>
  <c r="K17" i="37"/>
  <c r="J17" i="37"/>
  <c r="I17" i="37"/>
  <c r="H17" i="37"/>
  <c r="G17" i="37"/>
  <c r="F17" i="37"/>
  <c r="E17" i="37"/>
  <c r="D17" i="37"/>
  <c r="M16" i="37"/>
  <c r="L16" i="37"/>
  <c r="K16" i="37"/>
  <c r="J16" i="37"/>
  <c r="I16" i="37"/>
  <c r="H16" i="37"/>
  <c r="G16" i="37"/>
  <c r="F16" i="37"/>
  <c r="E16" i="37"/>
  <c r="D16" i="37"/>
  <c r="J13" i="37"/>
  <c r="I13" i="37"/>
  <c r="G13" i="37"/>
  <c r="E13" i="37"/>
  <c r="D13" i="37"/>
  <c r="M6" i="37"/>
  <c r="C3" i="37"/>
  <c r="G8" i="47" l="1"/>
  <c r="F8" i="47"/>
  <c r="E8" i="47"/>
  <c r="I7" i="43"/>
  <c r="I8" i="43"/>
  <c r="F15" i="43"/>
  <c r="G7" i="43"/>
  <c r="E7" i="43"/>
  <c r="F7" i="43"/>
  <c r="P69" i="42"/>
  <c r="M14" i="41"/>
  <c r="M15" i="41" s="1"/>
  <c r="Q69" i="42"/>
  <c r="R62" i="42" s="1"/>
  <c r="P43" i="42"/>
  <c r="L14" i="41"/>
  <c r="L15" i="41" s="1"/>
  <c r="Q43" i="42"/>
  <c r="R36" i="42" s="1"/>
  <c r="Q28" i="42"/>
  <c r="R22" i="42" s="1"/>
  <c r="P28" i="42"/>
  <c r="G14" i="41"/>
  <c r="G15" i="41" s="1"/>
  <c r="I14" i="41"/>
  <c r="I15" i="41" s="1"/>
  <c r="Q56" i="42"/>
  <c r="R49" i="42" s="1"/>
  <c r="P56" i="42"/>
  <c r="Q14" i="42"/>
  <c r="R9" i="42" s="1"/>
  <c r="P14" i="42"/>
  <c r="E14" i="41"/>
  <c r="D2" i="42"/>
  <c r="Q48" i="42"/>
  <c r="R44" i="42" s="1"/>
  <c r="P48" i="42"/>
  <c r="H14" i="41"/>
  <c r="H15" i="41" s="1"/>
  <c r="Q61" i="42"/>
  <c r="R57" i="42" s="1"/>
  <c r="P61" i="42"/>
  <c r="J14" i="41"/>
  <c r="J15" i="41" s="1"/>
  <c r="Q35" i="42"/>
  <c r="R29" i="42" s="1"/>
  <c r="K14" i="41"/>
  <c r="P35" i="42"/>
  <c r="Q21" i="42"/>
  <c r="R15" i="42" s="1"/>
  <c r="P21" i="42"/>
  <c r="F14" i="41"/>
  <c r="F15" i="41" s="1"/>
  <c r="P42" i="40"/>
  <c r="Q42" i="40"/>
  <c r="Q67" i="40"/>
  <c r="P67" i="40"/>
  <c r="Q49" i="40"/>
  <c r="P49" i="40"/>
  <c r="Q30" i="40"/>
  <c r="P30" i="40"/>
  <c r="Q14" i="40"/>
  <c r="P14" i="40"/>
  <c r="Q58" i="40"/>
  <c r="P58" i="40"/>
  <c r="AF61" i="40"/>
  <c r="AG54" i="40" s="1"/>
  <c r="AE61" i="40"/>
  <c r="N61" i="40"/>
  <c r="Q71" i="40"/>
  <c r="P71" i="40"/>
  <c r="Q64" i="40"/>
  <c r="P64" i="40"/>
  <c r="Q55" i="40"/>
  <c r="P55" i="40"/>
  <c r="AF75" i="40"/>
  <c r="AG67" i="40" s="1"/>
  <c r="AE75" i="40"/>
  <c r="N75" i="40"/>
  <c r="AF66" i="40"/>
  <c r="AG62" i="40" s="1"/>
  <c r="AE66" i="40"/>
  <c r="N66" i="40"/>
  <c r="P62" i="40"/>
  <c r="Q62" i="40"/>
  <c r="AE48" i="40"/>
  <c r="N48" i="40"/>
  <c r="AF48" i="40"/>
  <c r="AG40" i="40" s="1"/>
  <c r="K15" i="39"/>
  <c r="Q27" i="40"/>
  <c r="P27" i="40"/>
  <c r="AE31" i="40"/>
  <c r="N31" i="40"/>
  <c r="AF31" i="40"/>
  <c r="AG24" i="40" s="1"/>
  <c r="Q18" i="40"/>
  <c r="P18" i="40"/>
  <c r="N23" i="40"/>
  <c r="AF23" i="40"/>
  <c r="AG16" i="40" s="1"/>
  <c r="AE23" i="40"/>
  <c r="AE15" i="40"/>
  <c r="AF15" i="40"/>
  <c r="AG10" i="40" s="1"/>
  <c r="N15" i="40"/>
  <c r="P11" i="40"/>
  <c r="Q11" i="40"/>
  <c r="Q7" i="40"/>
  <c r="P7" i="40"/>
  <c r="N9" i="40"/>
  <c r="AE9" i="40"/>
  <c r="AF9" i="40"/>
  <c r="AG5" i="40" s="1"/>
  <c r="P6" i="40"/>
  <c r="Q6" i="40"/>
  <c r="AF24" i="38"/>
  <c r="AE24" i="38"/>
  <c r="N24" i="38"/>
  <c r="M31" i="38"/>
  <c r="P74" i="38"/>
  <c r="Q74" i="38"/>
  <c r="AE52" i="38"/>
  <c r="N52" i="38"/>
  <c r="AF52" i="38"/>
  <c r="N13" i="38"/>
  <c r="AF13" i="38"/>
  <c r="AE13" i="38"/>
  <c r="M53" i="38"/>
  <c r="N6" i="38"/>
  <c r="AF6" i="38"/>
  <c r="AE6" i="38"/>
  <c r="AF71" i="38"/>
  <c r="AE71" i="38"/>
  <c r="N71" i="38"/>
  <c r="AF10" i="38"/>
  <c r="AE10" i="38"/>
  <c r="N10" i="38"/>
  <c r="M15" i="38"/>
  <c r="AE17" i="38"/>
  <c r="AF17" i="38"/>
  <c r="N17" i="38"/>
  <c r="AE21" i="38"/>
  <c r="N21" i="38"/>
  <c r="AF21" i="38"/>
  <c r="N23" i="38"/>
  <c r="AE23" i="38"/>
  <c r="AF23" i="38"/>
  <c r="AG16" i="38" s="1"/>
  <c r="AF64" i="38"/>
  <c r="M68" i="38"/>
  <c r="AE64" i="38"/>
  <c r="N64" i="38"/>
  <c r="N25" i="38"/>
  <c r="AF25" i="38"/>
  <c r="AE25" i="38"/>
  <c r="AF29" i="38"/>
  <c r="AE29" i="38"/>
  <c r="N29" i="38"/>
  <c r="AF75" i="38"/>
  <c r="N75" i="38"/>
  <c r="AE75" i="38"/>
  <c r="AF57" i="38"/>
  <c r="AE57" i="38"/>
  <c r="N57" i="38"/>
  <c r="AF36" i="38"/>
  <c r="AE36" i="38"/>
  <c r="N36" i="38"/>
  <c r="AF43" i="38"/>
  <c r="AE43" i="38"/>
  <c r="N43" i="38"/>
  <c r="Q72" i="38"/>
  <c r="P72" i="38"/>
  <c r="AF61" i="38"/>
  <c r="N61" i="38"/>
  <c r="AE61" i="38"/>
  <c r="Q58" i="38"/>
  <c r="P58" i="38"/>
  <c r="Q65" i="38"/>
  <c r="P65" i="38"/>
  <c r="AF7" i="38"/>
  <c r="AE7" i="38"/>
  <c r="N7" i="38"/>
  <c r="AF40" i="38"/>
  <c r="AE40" i="38"/>
  <c r="N40" i="38"/>
  <c r="M48" i="38"/>
  <c r="N18" i="38"/>
  <c r="AF18" i="38"/>
  <c r="AE18" i="38"/>
  <c r="P44" i="38"/>
  <c r="Q44" i="38"/>
  <c r="AF50" i="38"/>
  <c r="AE50" i="38"/>
  <c r="N50" i="38"/>
  <c r="AF54" i="38"/>
  <c r="M63" i="38"/>
  <c r="N54" i="38"/>
  <c r="AE54" i="38"/>
  <c r="AF26" i="38"/>
  <c r="N26" i="38"/>
  <c r="AE26" i="38"/>
  <c r="Q30" i="38"/>
  <c r="P30" i="38"/>
  <c r="AF33" i="38"/>
  <c r="AE33" i="38"/>
  <c r="N33" i="38"/>
  <c r="N69" i="38"/>
  <c r="M77" i="38"/>
  <c r="AF69" i="38"/>
  <c r="AE69" i="38"/>
  <c r="P37" i="38"/>
  <c r="Q37" i="38"/>
  <c r="AF28" i="38"/>
  <c r="AE28" i="38"/>
  <c r="N28" i="38"/>
  <c r="M39" i="38"/>
  <c r="G6" i="37"/>
  <c r="N11" i="38"/>
  <c r="AF11" i="38"/>
  <c r="AE11" i="38"/>
  <c r="AF22" i="38"/>
  <c r="AE22" i="38"/>
  <c r="N22" i="38"/>
  <c r="P51" i="38"/>
  <c r="Q51" i="38"/>
  <c r="AF5" i="38"/>
  <c r="AE5" i="38"/>
  <c r="M9" i="38"/>
  <c r="N5" i="38"/>
  <c r="N20" i="38"/>
  <c r="AF20" i="38"/>
  <c r="AE20" i="38"/>
  <c r="AE38" i="38"/>
  <c r="N38" i="38"/>
  <c r="AF38" i="38"/>
  <c r="AF45" i="38"/>
  <c r="N45" i="38"/>
  <c r="AE45" i="38"/>
  <c r="P60" i="38"/>
  <c r="Q60" i="38"/>
  <c r="AF19" i="38"/>
  <c r="N19" i="38"/>
  <c r="AE19" i="38"/>
  <c r="AE55" i="38"/>
  <c r="AF55" i="38"/>
  <c r="N55" i="38"/>
  <c r="AF73" i="38"/>
  <c r="AE73" i="38"/>
  <c r="N73" i="38"/>
  <c r="AE8" i="38"/>
  <c r="AF8" i="38"/>
  <c r="N8" i="38"/>
  <c r="F2" i="38"/>
  <c r="I3" i="37"/>
  <c r="N27" i="38"/>
  <c r="AF27" i="38"/>
  <c r="AE27" i="38"/>
  <c r="AE34" i="38"/>
  <c r="AF34" i="38"/>
  <c r="N34" i="38"/>
  <c r="AF41" i="38"/>
  <c r="AE41" i="38"/>
  <c r="N41" i="38"/>
  <c r="AF66" i="38"/>
  <c r="AE66" i="38"/>
  <c r="N66" i="38"/>
  <c r="AF12" i="38"/>
  <c r="N12" i="38"/>
  <c r="AE12" i="38"/>
  <c r="AF59" i="38"/>
  <c r="AE59" i="38"/>
  <c r="N59" i="38"/>
  <c r="Q42" i="38"/>
  <c r="P42" i="38"/>
  <c r="P67" i="38"/>
  <c r="Q67" i="38"/>
  <c r="AF16" i="38"/>
  <c r="AF30" i="38"/>
  <c r="AF42" i="38"/>
  <c r="AF58" i="38"/>
  <c r="AF65" i="38"/>
  <c r="AF72" i="38"/>
  <c r="AE37" i="38"/>
  <c r="AE51" i="38"/>
  <c r="AE60" i="38"/>
  <c r="AE67" i="38"/>
  <c r="D18" i="37"/>
  <c r="AF37" i="38"/>
  <c r="AF51" i="38"/>
  <c r="AF60" i="38"/>
  <c r="AF67" i="38"/>
  <c r="AE16" i="38"/>
  <c r="AE30" i="38"/>
  <c r="AE42" i="38"/>
  <c r="N46" i="38"/>
  <c r="AF49" i="38"/>
  <c r="AE58" i="38"/>
  <c r="N62" i="38"/>
  <c r="AE65" i="38"/>
  <c r="AE72" i="38"/>
  <c r="N76" i="38"/>
  <c r="AE32" i="38"/>
  <c r="AE44" i="38"/>
  <c r="AE74" i="38"/>
  <c r="N16" i="38"/>
  <c r="P49" i="38"/>
  <c r="F6" i="37"/>
  <c r="AF14" i="38"/>
  <c r="AF32" i="38"/>
  <c r="AF44" i="38"/>
  <c r="AF74" i="38"/>
  <c r="AE46" i="38"/>
  <c r="AE62" i="38"/>
  <c r="AE76" i="38"/>
  <c r="E6" i="37"/>
  <c r="AF35" i="38"/>
  <c r="AE49" i="38"/>
  <c r="AF56" i="38"/>
  <c r="AF70" i="38"/>
  <c r="N14" i="38"/>
  <c r="N35" i="38"/>
  <c r="N56" i="38"/>
  <c r="N70" i="38"/>
  <c r="N32" i="38"/>
  <c r="AE47" i="38"/>
  <c r="AD79" i="36"/>
  <c r="Z79" i="36"/>
  <c r="Y79" i="36"/>
  <c r="O79" i="36"/>
  <c r="K79" i="36"/>
  <c r="AF78" i="36"/>
  <c r="AE78" i="36"/>
  <c r="V78" i="36"/>
  <c r="U78" i="36"/>
  <c r="Q78" i="36"/>
  <c r="P78" i="36"/>
  <c r="O78" i="36"/>
  <c r="N78" i="36"/>
  <c r="M78" i="36"/>
  <c r="K78" i="36"/>
  <c r="G78" i="36"/>
  <c r="V77" i="36"/>
  <c r="U77" i="36"/>
  <c r="O77" i="36"/>
  <c r="N77" i="36"/>
  <c r="P77" i="36" s="1"/>
  <c r="M77" i="36"/>
  <c r="AF77" i="36" s="1"/>
  <c r="K77" i="36"/>
  <c r="G77" i="36"/>
  <c r="AF76" i="36"/>
  <c r="AE76" i="36"/>
  <c r="X76" i="36"/>
  <c r="W76" i="36"/>
  <c r="V76" i="36"/>
  <c r="U76" i="36"/>
  <c r="O76" i="36"/>
  <c r="M76" i="36"/>
  <c r="N76" i="36" s="1"/>
  <c r="K76" i="36"/>
  <c r="G76" i="36"/>
  <c r="V75" i="36"/>
  <c r="U75" i="36"/>
  <c r="O75" i="36"/>
  <c r="N75" i="36"/>
  <c r="M75" i="36"/>
  <c r="K75" i="36"/>
  <c r="G75" i="36"/>
  <c r="V74" i="36"/>
  <c r="M74" i="36" s="1"/>
  <c r="U74" i="36"/>
  <c r="O74" i="36"/>
  <c r="K74" i="36"/>
  <c r="G74" i="36"/>
  <c r="V73" i="36"/>
  <c r="U73" i="36"/>
  <c r="O73" i="36"/>
  <c r="M73" i="36"/>
  <c r="K73" i="36"/>
  <c r="G73" i="36"/>
  <c r="AF72" i="36"/>
  <c r="V72" i="36"/>
  <c r="U72" i="36"/>
  <c r="O72" i="36"/>
  <c r="M72" i="36"/>
  <c r="AE72" i="36" s="1"/>
  <c r="K72" i="36"/>
  <c r="G72" i="36"/>
  <c r="X71" i="36"/>
  <c r="W71" i="36"/>
  <c r="V71" i="36"/>
  <c r="M71" i="36" s="1"/>
  <c r="AE71" i="36" s="1"/>
  <c r="O71" i="36"/>
  <c r="K71" i="36"/>
  <c r="G71" i="36"/>
  <c r="AD70" i="36"/>
  <c r="Z70" i="36"/>
  <c r="J19" i="35" s="1"/>
  <c r="Y70" i="36"/>
  <c r="O70" i="36"/>
  <c r="K70" i="36"/>
  <c r="AF69" i="36"/>
  <c r="AE69" i="36"/>
  <c r="V69" i="36"/>
  <c r="U69" i="36"/>
  <c r="O69" i="36"/>
  <c r="M69" i="36"/>
  <c r="N69" i="36" s="1"/>
  <c r="P69" i="36" s="1"/>
  <c r="K69" i="36"/>
  <c r="G69" i="36"/>
  <c r="V68" i="36"/>
  <c r="U68" i="36"/>
  <c r="O68" i="36"/>
  <c r="N68" i="36"/>
  <c r="M68" i="36"/>
  <c r="K68" i="36"/>
  <c r="G68" i="36"/>
  <c r="V67" i="36"/>
  <c r="M67" i="36" s="1"/>
  <c r="M70" i="36" s="1"/>
  <c r="U67" i="36"/>
  <c r="O67" i="36"/>
  <c r="K67" i="36"/>
  <c r="G67" i="36"/>
  <c r="AF66" i="36"/>
  <c r="V66" i="36"/>
  <c r="O66" i="36"/>
  <c r="N66" i="36"/>
  <c r="Q66" i="36" s="1"/>
  <c r="M66" i="36"/>
  <c r="AE66" i="36" s="1"/>
  <c r="K66" i="36"/>
  <c r="G66" i="36"/>
  <c r="AD65" i="36"/>
  <c r="Z65" i="36"/>
  <c r="Y65" i="36"/>
  <c r="O65" i="36"/>
  <c r="K65" i="36"/>
  <c r="I13" i="35" s="1"/>
  <c r="AE64" i="36"/>
  <c r="V64" i="36"/>
  <c r="U64" i="36"/>
  <c r="O64" i="36"/>
  <c r="M64" i="36"/>
  <c r="AF64" i="36" s="1"/>
  <c r="K64" i="36"/>
  <c r="G64" i="36"/>
  <c r="AF63" i="36"/>
  <c r="AE63" i="36"/>
  <c r="X63" i="36"/>
  <c r="W63" i="36"/>
  <c r="V63" i="36"/>
  <c r="U63" i="36"/>
  <c r="O63" i="36"/>
  <c r="N63" i="36"/>
  <c r="Q63" i="36" s="1"/>
  <c r="M63" i="36"/>
  <c r="K63" i="36"/>
  <c r="G63" i="36"/>
  <c r="AF62" i="36"/>
  <c r="AE62" i="36"/>
  <c r="V62" i="36"/>
  <c r="U62" i="36"/>
  <c r="O62" i="36"/>
  <c r="M62" i="36"/>
  <c r="N62" i="36" s="1"/>
  <c r="P62" i="36" s="1"/>
  <c r="K62" i="36"/>
  <c r="G62" i="36"/>
  <c r="V61" i="36"/>
  <c r="U61" i="36"/>
  <c r="O61" i="36"/>
  <c r="N61" i="36"/>
  <c r="M61" i="36"/>
  <c r="K61" i="36"/>
  <c r="G61" i="36"/>
  <c r="AE60" i="36"/>
  <c r="V60" i="36"/>
  <c r="M60" i="36" s="1"/>
  <c r="U60" i="36"/>
  <c r="O60" i="36"/>
  <c r="K60" i="36"/>
  <c r="G60" i="36"/>
  <c r="V59" i="36"/>
  <c r="U59" i="36"/>
  <c r="O59" i="36"/>
  <c r="M59" i="36"/>
  <c r="K59" i="36"/>
  <c r="G59" i="36"/>
  <c r="AF58" i="36"/>
  <c r="V58" i="36"/>
  <c r="U58" i="36"/>
  <c r="O58" i="36"/>
  <c r="M58" i="36"/>
  <c r="AE58" i="36" s="1"/>
  <c r="K58" i="36"/>
  <c r="G58" i="36"/>
  <c r="V57" i="36"/>
  <c r="U57" i="36"/>
  <c r="O57" i="36"/>
  <c r="M57" i="36"/>
  <c r="K57" i="36"/>
  <c r="G57" i="36"/>
  <c r="V56" i="36"/>
  <c r="O56" i="36"/>
  <c r="N56" i="36"/>
  <c r="Q56" i="36" s="1"/>
  <c r="M56" i="36"/>
  <c r="AF56" i="36" s="1"/>
  <c r="K56" i="36"/>
  <c r="G56" i="36"/>
  <c r="AD55" i="36"/>
  <c r="H21" i="35" s="1"/>
  <c r="Z55" i="36"/>
  <c r="H19" i="35" s="1"/>
  <c r="Y55" i="36"/>
  <c r="O55" i="36"/>
  <c r="K55" i="36"/>
  <c r="AF54" i="36"/>
  <c r="AE54" i="36"/>
  <c r="V54" i="36"/>
  <c r="U54" i="36"/>
  <c r="O54" i="36"/>
  <c r="N54" i="36"/>
  <c r="Q54" i="36" s="1"/>
  <c r="M54" i="36"/>
  <c r="K54" i="36"/>
  <c r="G54" i="36"/>
  <c r="AF53" i="36"/>
  <c r="AE53" i="36"/>
  <c r="V53" i="36"/>
  <c r="U53" i="36"/>
  <c r="O53" i="36"/>
  <c r="M53" i="36"/>
  <c r="N53" i="36" s="1"/>
  <c r="P53" i="36" s="1"/>
  <c r="K53" i="36"/>
  <c r="G53" i="36"/>
  <c r="V52" i="36"/>
  <c r="U52" i="36"/>
  <c r="O52" i="36"/>
  <c r="M52" i="36"/>
  <c r="K52" i="36"/>
  <c r="G52" i="36"/>
  <c r="AF51" i="36"/>
  <c r="AE51" i="36"/>
  <c r="V51" i="36"/>
  <c r="O51" i="36"/>
  <c r="N51" i="36"/>
  <c r="Q51" i="36" s="1"/>
  <c r="M51" i="36"/>
  <c r="K51" i="36"/>
  <c r="G51" i="36"/>
  <c r="AD50" i="36"/>
  <c r="Z50" i="36"/>
  <c r="Y50" i="36"/>
  <c r="O50" i="36"/>
  <c r="K50" i="36"/>
  <c r="V49" i="36"/>
  <c r="U49" i="36"/>
  <c r="O49" i="36"/>
  <c r="M49" i="36"/>
  <c r="AF49" i="36" s="1"/>
  <c r="K49" i="36"/>
  <c r="G49" i="36"/>
  <c r="V48" i="36"/>
  <c r="U48" i="36"/>
  <c r="O48" i="36"/>
  <c r="M48" i="36"/>
  <c r="AF48" i="36" s="1"/>
  <c r="K48" i="36"/>
  <c r="G48" i="36"/>
  <c r="V47" i="36"/>
  <c r="U47" i="36"/>
  <c r="O47" i="36"/>
  <c r="N47" i="36"/>
  <c r="Q47" i="36" s="1"/>
  <c r="M47" i="36"/>
  <c r="AF47" i="36" s="1"/>
  <c r="K47" i="36"/>
  <c r="G47" i="36"/>
  <c r="AF46" i="36"/>
  <c r="AE46" i="36"/>
  <c r="X46" i="36"/>
  <c r="W46" i="36"/>
  <c r="V46" i="36"/>
  <c r="U46" i="36"/>
  <c r="O46" i="36"/>
  <c r="M46" i="36"/>
  <c r="N46" i="36" s="1"/>
  <c r="P46" i="36" s="1"/>
  <c r="K46" i="36"/>
  <c r="G46" i="36"/>
  <c r="V45" i="36"/>
  <c r="U45" i="36"/>
  <c r="O45" i="36"/>
  <c r="M45" i="36"/>
  <c r="K45" i="36"/>
  <c r="G45" i="36"/>
  <c r="V44" i="36"/>
  <c r="M44" i="36" s="1"/>
  <c r="AE44" i="36" s="1"/>
  <c r="U44" i="36"/>
  <c r="O44" i="36"/>
  <c r="K44" i="36"/>
  <c r="G44" i="36"/>
  <c r="V43" i="36"/>
  <c r="U43" i="36"/>
  <c r="O43" i="36"/>
  <c r="M43" i="36"/>
  <c r="M50" i="36" s="1"/>
  <c r="K43" i="36"/>
  <c r="G43" i="36"/>
  <c r="X42" i="36"/>
  <c r="W42" i="36"/>
  <c r="V42" i="36"/>
  <c r="O42" i="36"/>
  <c r="N42" i="36"/>
  <c r="Q42" i="36" s="1"/>
  <c r="M42" i="36"/>
  <c r="AF42" i="36" s="1"/>
  <c r="K42" i="36"/>
  <c r="G42" i="36"/>
  <c r="AD41" i="36"/>
  <c r="K21" i="35" s="1"/>
  <c r="Z41" i="36"/>
  <c r="K19" i="35" s="1"/>
  <c r="Y41" i="36"/>
  <c r="O41" i="36"/>
  <c r="K41" i="36"/>
  <c r="AF40" i="36"/>
  <c r="AE40" i="36"/>
  <c r="V40" i="36"/>
  <c r="U40" i="36"/>
  <c r="O40" i="36"/>
  <c r="N40" i="36"/>
  <c r="M40" i="36"/>
  <c r="K40" i="36"/>
  <c r="G40" i="36"/>
  <c r="AF39" i="36"/>
  <c r="AE39" i="36"/>
  <c r="V39" i="36"/>
  <c r="U39" i="36"/>
  <c r="O39" i="36"/>
  <c r="M39" i="36"/>
  <c r="N39" i="36" s="1"/>
  <c r="P39" i="36" s="1"/>
  <c r="K39" i="36"/>
  <c r="G39" i="36"/>
  <c r="X38" i="36"/>
  <c r="W38" i="36"/>
  <c r="V38" i="36"/>
  <c r="U38" i="36"/>
  <c r="Q38" i="36"/>
  <c r="P38" i="36"/>
  <c r="O38" i="36"/>
  <c r="N38" i="36"/>
  <c r="M38" i="36"/>
  <c r="K38" i="36"/>
  <c r="G38" i="36"/>
  <c r="AF37" i="36"/>
  <c r="V37" i="36"/>
  <c r="U37" i="36"/>
  <c r="O37" i="36"/>
  <c r="M37" i="36"/>
  <c r="AE37" i="36" s="1"/>
  <c r="K37" i="36"/>
  <c r="G37" i="36"/>
  <c r="AE36" i="36"/>
  <c r="V36" i="36"/>
  <c r="U36" i="36"/>
  <c r="O36" i="36"/>
  <c r="M36" i="36"/>
  <c r="K36" i="36"/>
  <c r="G36" i="36"/>
  <c r="V35" i="36"/>
  <c r="U35" i="36"/>
  <c r="O35" i="36"/>
  <c r="M35" i="36"/>
  <c r="N35" i="36" s="1"/>
  <c r="K35" i="36"/>
  <c r="G35" i="36"/>
  <c r="AF34" i="36"/>
  <c r="AE34" i="36"/>
  <c r="X34" i="36"/>
  <c r="W34" i="36"/>
  <c r="V34" i="36"/>
  <c r="O34" i="36"/>
  <c r="M34" i="36"/>
  <c r="M41" i="36" s="1"/>
  <c r="N41" i="36" s="1"/>
  <c r="K14" i="35" s="1"/>
  <c r="K15" i="35" s="1"/>
  <c r="K34" i="36"/>
  <c r="G34" i="36"/>
  <c r="AD33" i="36"/>
  <c r="G21" i="35" s="1"/>
  <c r="Z33" i="36"/>
  <c r="Y33" i="36"/>
  <c r="Y2" i="36" s="1"/>
  <c r="O33" i="36"/>
  <c r="K33" i="36"/>
  <c r="G13" i="35" s="1"/>
  <c r="V32" i="36"/>
  <c r="M32" i="36" s="1"/>
  <c r="U32" i="36"/>
  <c r="O32" i="36"/>
  <c r="K32" i="36"/>
  <c r="G32" i="36"/>
  <c r="X31" i="36"/>
  <c r="W31" i="36"/>
  <c r="V31" i="36"/>
  <c r="U31" i="36"/>
  <c r="O31" i="36"/>
  <c r="M31" i="36"/>
  <c r="K31" i="36"/>
  <c r="G31" i="36"/>
  <c r="V30" i="36"/>
  <c r="U30" i="36"/>
  <c r="O30" i="36"/>
  <c r="M30" i="36"/>
  <c r="N30" i="36" s="1"/>
  <c r="K30" i="36"/>
  <c r="G30" i="36"/>
  <c r="V29" i="36"/>
  <c r="M29" i="36" s="1"/>
  <c r="AF29" i="36" s="1"/>
  <c r="U29" i="36"/>
  <c r="O29" i="36"/>
  <c r="N29" i="36"/>
  <c r="P29" i="36" s="1"/>
  <c r="K29" i="36"/>
  <c r="G29" i="36"/>
  <c r="AF28" i="36"/>
  <c r="AE28" i="36"/>
  <c r="V28" i="36"/>
  <c r="U28" i="36"/>
  <c r="O28" i="36"/>
  <c r="N28" i="36"/>
  <c r="P28" i="36" s="1"/>
  <c r="M28" i="36"/>
  <c r="K28" i="36"/>
  <c r="G28" i="36"/>
  <c r="V27" i="36"/>
  <c r="M27" i="36" s="1"/>
  <c r="N27" i="36" s="1"/>
  <c r="U27" i="36"/>
  <c r="Q27" i="36"/>
  <c r="P27" i="36"/>
  <c r="O27" i="36"/>
  <c r="K27" i="36"/>
  <c r="G27" i="36"/>
  <c r="V26" i="36"/>
  <c r="U26" i="36"/>
  <c r="O26" i="36"/>
  <c r="N26" i="36"/>
  <c r="M26" i="36"/>
  <c r="K26" i="36"/>
  <c r="G26" i="36"/>
  <c r="V25" i="36"/>
  <c r="M25" i="36" s="1"/>
  <c r="O25" i="36"/>
  <c r="K25" i="36"/>
  <c r="G25" i="36"/>
  <c r="AD24" i="36"/>
  <c r="F21" i="35" s="1"/>
  <c r="Z24" i="36"/>
  <c r="Y24" i="36"/>
  <c r="O24" i="36"/>
  <c r="K24" i="36"/>
  <c r="AF23" i="36"/>
  <c r="V23" i="36"/>
  <c r="U23" i="36"/>
  <c r="O23" i="36"/>
  <c r="M23" i="36"/>
  <c r="AE23" i="36" s="1"/>
  <c r="K23" i="36"/>
  <c r="G23" i="36"/>
  <c r="X22" i="36"/>
  <c r="W22" i="36"/>
  <c r="V22" i="36"/>
  <c r="M22" i="36" s="1"/>
  <c r="AF22" i="36" s="1"/>
  <c r="U22" i="36"/>
  <c r="O22" i="36"/>
  <c r="N22" i="36"/>
  <c r="P22" i="36" s="1"/>
  <c r="K22" i="36"/>
  <c r="G22" i="36"/>
  <c r="AF21" i="36"/>
  <c r="AE21" i="36"/>
  <c r="V21" i="36"/>
  <c r="U21" i="36"/>
  <c r="O21" i="36"/>
  <c r="N21" i="36"/>
  <c r="P21" i="36" s="1"/>
  <c r="M21" i="36"/>
  <c r="K21" i="36"/>
  <c r="G21" i="36"/>
  <c r="V20" i="36"/>
  <c r="M20" i="36" s="1"/>
  <c r="N20" i="36" s="1"/>
  <c r="U20" i="36"/>
  <c r="Q20" i="36"/>
  <c r="P20" i="36"/>
  <c r="O20" i="36"/>
  <c r="K20" i="36"/>
  <c r="G20" i="36"/>
  <c r="V19" i="36"/>
  <c r="U19" i="36"/>
  <c r="O19" i="36"/>
  <c r="N19" i="36"/>
  <c r="M19" i="36"/>
  <c r="K19" i="36"/>
  <c r="G19" i="36"/>
  <c r="AF18" i="36"/>
  <c r="AE18" i="36"/>
  <c r="V18" i="36"/>
  <c r="U18" i="36"/>
  <c r="O18" i="36"/>
  <c r="M18" i="36"/>
  <c r="N18" i="36" s="1"/>
  <c r="K18" i="36"/>
  <c r="G18" i="36"/>
  <c r="V17" i="36"/>
  <c r="O17" i="36"/>
  <c r="M17" i="36"/>
  <c r="K17" i="36"/>
  <c r="G17" i="36"/>
  <c r="AD16" i="36"/>
  <c r="Z16" i="36"/>
  <c r="Y16" i="36"/>
  <c r="O16" i="36"/>
  <c r="K16" i="36"/>
  <c r="E13" i="35" s="1"/>
  <c r="V15" i="36"/>
  <c r="U15" i="36"/>
  <c r="O15" i="36"/>
  <c r="M15" i="36"/>
  <c r="K15" i="36"/>
  <c r="G15" i="36"/>
  <c r="V14" i="36"/>
  <c r="U14" i="36"/>
  <c r="O14" i="36"/>
  <c r="M14" i="36"/>
  <c r="N14" i="36" s="1"/>
  <c r="K14" i="36"/>
  <c r="G14" i="36"/>
  <c r="AF13" i="36"/>
  <c r="AE13" i="36"/>
  <c r="X13" i="36"/>
  <c r="W13" i="36"/>
  <c r="V13" i="36"/>
  <c r="M13" i="36" s="1"/>
  <c r="N13" i="36" s="1"/>
  <c r="Q13" i="36" s="1"/>
  <c r="U13" i="36"/>
  <c r="P13" i="36"/>
  <c r="O13" i="36"/>
  <c r="K13" i="36"/>
  <c r="G13" i="36"/>
  <c r="V12" i="36"/>
  <c r="U12" i="36"/>
  <c r="O12" i="36"/>
  <c r="M12" i="36"/>
  <c r="K12" i="36"/>
  <c r="G12" i="36"/>
  <c r="AF11" i="36"/>
  <c r="AE11" i="36"/>
  <c r="V11" i="36"/>
  <c r="U11" i="36"/>
  <c r="O11" i="36"/>
  <c r="M11" i="36"/>
  <c r="N11" i="36" s="1"/>
  <c r="K11" i="36"/>
  <c r="G11" i="36"/>
  <c r="X10" i="36"/>
  <c r="W10" i="36"/>
  <c r="V10" i="36"/>
  <c r="O10" i="36"/>
  <c r="M10" i="36"/>
  <c r="K10" i="36"/>
  <c r="G10" i="36"/>
  <c r="AD9" i="36"/>
  <c r="Z9" i="36"/>
  <c r="Y9" i="36"/>
  <c r="O9" i="36"/>
  <c r="K9" i="36"/>
  <c r="AF8" i="36"/>
  <c r="AE8" i="36"/>
  <c r="V8" i="36"/>
  <c r="M8" i="36" s="1"/>
  <c r="U8" i="36"/>
  <c r="O8" i="36"/>
  <c r="N8" i="36"/>
  <c r="P8" i="36" s="1"/>
  <c r="K8" i="36"/>
  <c r="G8" i="36"/>
  <c r="X7" i="36"/>
  <c r="W7" i="36"/>
  <c r="V7" i="36"/>
  <c r="U7" i="36"/>
  <c r="O7" i="36"/>
  <c r="M7" i="36"/>
  <c r="K7" i="36"/>
  <c r="G7" i="36"/>
  <c r="F1" i="36" s="1"/>
  <c r="AF6" i="36"/>
  <c r="AE6" i="36"/>
  <c r="V6" i="36"/>
  <c r="U6" i="36"/>
  <c r="O6" i="36"/>
  <c r="M6" i="36"/>
  <c r="N6" i="36" s="1"/>
  <c r="K6" i="36"/>
  <c r="G6" i="36"/>
  <c r="V5" i="36"/>
  <c r="O5" i="36"/>
  <c r="M5" i="36"/>
  <c r="K5" i="36"/>
  <c r="G5" i="36"/>
  <c r="AD2" i="36"/>
  <c r="N6" i="35" s="1"/>
  <c r="H2" i="36"/>
  <c r="H1" i="36"/>
  <c r="D1" i="36"/>
  <c r="F3" i="35" s="1"/>
  <c r="M22" i="35"/>
  <c r="L22" i="35"/>
  <c r="K22" i="35"/>
  <c r="J22" i="35"/>
  <c r="I22" i="35"/>
  <c r="H22" i="35"/>
  <c r="G22" i="35"/>
  <c r="F22" i="35"/>
  <c r="E22" i="35"/>
  <c r="D22" i="35"/>
  <c r="M21" i="35"/>
  <c r="L21" i="35"/>
  <c r="J21" i="35"/>
  <c r="I21" i="35"/>
  <c r="E21" i="35"/>
  <c r="D21" i="35"/>
  <c r="M20" i="35"/>
  <c r="L20" i="35"/>
  <c r="K20" i="35"/>
  <c r="J20" i="35"/>
  <c r="I20" i="35"/>
  <c r="H20" i="35"/>
  <c r="G20" i="35"/>
  <c r="F20" i="35"/>
  <c r="E20" i="35"/>
  <c r="D20" i="35"/>
  <c r="M19" i="35"/>
  <c r="L19" i="35"/>
  <c r="I19" i="35"/>
  <c r="F19" i="35"/>
  <c r="E19" i="35"/>
  <c r="D19" i="35"/>
  <c r="M18" i="35"/>
  <c r="L18" i="35"/>
  <c r="K18" i="35"/>
  <c r="J18" i="35"/>
  <c r="I18" i="35"/>
  <c r="H18" i="35"/>
  <c r="G18" i="35"/>
  <c r="F18" i="35"/>
  <c r="E18" i="35"/>
  <c r="D18" i="35"/>
  <c r="M17" i="35"/>
  <c r="L17" i="35"/>
  <c r="K17" i="35"/>
  <c r="J17" i="35"/>
  <c r="I17" i="35"/>
  <c r="H17" i="35"/>
  <c r="G17" i="35"/>
  <c r="F17" i="35"/>
  <c r="E17" i="35"/>
  <c r="D17" i="35"/>
  <c r="M16" i="35"/>
  <c r="L16" i="35"/>
  <c r="K16" i="35"/>
  <c r="J16" i="35"/>
  <c r="I16" i="35"/>
  <c r="H16" i="35"/>
  <c r="G16" i="35"/>
  <c r="F16" i="35"/>
  <c r="E16" i="35"/>
  <c r="D16" i="35"/>
  <c r="M13" i="35"/>
  <c r="L13" i="35"/>
  <c r="K13" i="35"/>
  <c r="J13" i="35"/>
  <c r="H13" i="35"/>
  <c r="F13" i="35"/>
  <c r="D13" i="35"/>
  <c r="G6" i="35" s="1"/>
  <c r="M6" i="35"/>
  <c r="K6" i="35"/>
  <c r="C3" i="35"/>
  <c r="F8" i="43" l="1"/>
  <c r="E8" i="43"/>
  <c r="G8" i="43"/>
  <c r="K15" i="41"/>
  <c r="I8" i="41" s="1"/>
  <c r="I7" i="41"/>
  <c r="F7" i="41"/>
  <c r="G7" i="41"/>
  <c r="E15" i="41"/>
  <c r="E7" i="41"/>
  <c r="D14" i="39"/>
  <c r="D15" i="39" s="1"/>
  <c r="Q9" i="40"/>
  <c r="R5" i="40" s="1"/>
  <c r="D2" i="40"/>
  <c r="P9" i="40"/>
  <c r="F14" i="39"/>
  <c r="F15" i="39" s="1"/>
  <c r="Q23" i="40"/>
  <c r="R16" i="40" s="1"/>
  <c r="P23" i="40"/>
  <c r="P15" i="40"/>
  <c r="E14" i="39"/>
  <c r="E15" i="39" s="1"/>
  <c r="Q15" i="40"/>
  <c r="R10" i="40" s="1"/>
  <c r="G14" i="39"/>
  <c r="G15" i="39" s="1"/>
  <c r="Q31" i="40"/>
  <c r="R24" i="40" s="1"/>
  <c r="P31" i="40"/>
  <c r="L14" i="39"/>
  <c r="Q48" i="40"/>
  <c r="R40" i="40" s="1"/>
  <c r="P48" i="40"/>
  <c r="J14" i="39"/>
  <c r="J15" i="39" s="1"/>
  <c r="P66" i="40"/>
  <c r="Q66" i="40"/>
  <c r="R62" i="40" s="1"/>
  <c r="M14" i="39"/>
  <c r="M15" i="39" s="1"/>
  <c r="P75" i="40"/>
  <c r="Q75" i="40"/>
  <c r="R67" i="40" s="1"/>
  <c r="I14" i="39"/>
  <c r="I15" i="39" s="1"/>
  <c r="P61" i="40"/>
  <c r="Q61" i="40"/>
  <c r="R54" i="40" s="1"/>
  <c r="N39" i="38"/>
  <c r="AF39" i="38"/>
  <c r="AG32" i="38" s="1"/>
  <c r="AE39" i="38"/>
  <c r="AF63" i="38"/>
  <c r="AG54" i="38" s="1"/>
  <c r="AE63" i="38"/>
  <c r="N63" i="38"/>
  <c r="Q46" i="38"/>
  <c r="P46" i="38"/>
  <c r="Q27" i="38"/>
  <c r="P27" i="38"/>
  <c r="P28" i="38"/>
  <c r="Q28" i="38"/>
  <c r="Q71" i="38"/>
  <c r="P71" i="38"/>
  <c r="Q38" i="38"/>
  <c r="P38" i="38"/>
  <c r="P59" i="38"/>
  <c r="Q59" i="38"/>
  <c r="P69" i="38"/>
  <c r="Q69" i="38"/>
  <c r="P18" i="38"/>
  <c r="Q18" i="38"/>
  <c r="Q36" i="38"/>
  <c r="P36" i="38"/>
  <c r="Q8" i="38"/>
  <c r="P8" i="38"/>
  <c r="P25" i="38"/>
  <c r="Q25" i="38"/>
  <c r="Q5" i="38"/>
  <c r="P5" i="38"/>
  <c r="Q13" i="38"/>
  <c r="P13" i="38"/>
  <c r="Q16" i="38"/>
  <c r="P16" i="38"/>
  <c r="P32" i="38"/>
  <c r="Q32" i="38"/>
  <c r="P57" i="38"/>
  <c r="Q57" i="38"/>
  <c r="P21" i="38"/>
  <c r="Q21" i="38"/>
  <c r="Q52" i="38"/>
  <c r="P52" i="38"/>
  <c r="Q70" i="38"/>
  <c r="P70" i="38"/>
  <c r="P41" i="38"/>
  <c r="Q41" i="38"/>
  <c r="Q22" i="38"/>
  <c r="P22" i="38"/>
  <c r="P50" i="38"/>
  <c r="Q50" i="38"/>
  <c r="Q20" i="38"/>
  <c r="P20" i="38"/>
  <c r="N53" i="38"/>
  <c r="AF53" i="38"/>
  <c r="AG49" i="38" s="1"/>
  <c r="AE53" i="38"/>
  <c r="Q12" i="38"/>
  <c r="P12" i="38"/>
  <c r="Q40" i="38"/>
  <c r="P40" i="38"/>
  <c r="Q56" i="38"/>
  <c r="P56" i="38"/>
  <c r="Q19" i="38"/>
  <c r="P19" i="38"/>
  <c r="Q7" i="38"/>
  <c r="P7" i="38"/>
  <c r="Q17" i="38"/>
  <c r="P17" i="38"/>
  <c r="Q35" i="38"/>
  <c r="P35" i="38"/>
  <c r="Q76" i="38"/>
  <c r="P76" i="38"/>
  <c r="P6" i="38"/>
  <c r="Q6" i="38"/>
  <c r="AE9" i="38"/>
  <c r="N9" i="38"/>
  <c r="AF9" i="38"/>
  <c r="AG5" i="38" s="1"/>
  <c r="Q23" i="38"/>
  <c r="R16" i="38" s="1"/>
  <c r="F14" i="37"/>
  <c r="F15" i="37" s="1"/>
  <c r="P23" i="38"/>
  <c r="Q14" i="38"/>
  <c r="P14" i="38"/>
  <c r="AF15" i="38"/>
  <c r="AG10" i="38" s="1"/>
  <c r="AE15" i="38"/>
  <c r="N15" i="38"/>
  <c r="P24" i="38"/>
  <c r="Q24" i="38"/>
  <c r="AE68" i="38"/>
  <c r="N68" i="38"/>
  <c r="AF68" i="38"/>
  <c r="AG64" i="38" s="1"/>
  <c r="AF77" i="38"/>
  <c r="AG69" i="38" s="1"/>
  <c r="AE77" i="38"/>
  <c r="N77" i="38"/>
  <c r="P66" i="38"/>
  <c r="Q66" i="38"/>
  <c r="AF48" i="38"/>
  <c r="AG40" i="38" s="1"/>
  <c r="AE48" i="38"/>
  <c r="N48" i="38"/>
  <c r="AF31" i="38"/>
  <c r="AG24" i="38" s="1"/>
  <c r="AE31" i="38"/>
  <c r="N31" i="38"/>
  <c r="Q62" i="38"/>
  <c r="P62" i="38"/>
  <c r="P11" i="38"/>
  <c r="Q11" i="38"/>
  <c r="Q29" i="38"/>
  <c r="P29" i="38"/>
  <c r="P10" i="38"/>
  <c r="Q10" i="38"/>
  <c r="Q61" i="38"/>
  <c r="P61" i="38"/>
  <c r="Q64" i="38"/>
  <c r="P64" i="38"/>
  <c r="P43" i="38"/>
  <c r="Q43" i="38"/>
  <c r="Q73" i="38"/>
  <c r="P73" i="38"/>
  <c r="Q55" i="38"/>
  <c r="P55" i="38"/>
  <c r="P33" i="38"/>
  <c r="Q33" i="38"/>
  <c r="Q34" i="38"/>
  <c r="P34" i="38"/>
  <c r="Q26" i="38"/>
  <c r="P26" i="38"/>
  <c r="Q75" i="38"/>
  <c r="P75" i="38"/>
  <c r="Q45" i="38"/>
  <c r="P45" i="38"/>
  <c r="Q54" i="38"/>
  <c r="P54" i="38"/>
  <c r="AF50" i="36"/>
  <c r="AG42" i="36" s="1"/>
  <c r="AE50" i="36"/>
  <c r="N50" i="36"/>
  <c r="AF70" i="36"/>
  <c r="AG66" i="36" s="1"/>
  <c r="AE70" i="36"/>
  <c r="N70" i="36"/>
  <c r="F2" i="36"/>
  <c r="I3" i="35"/>
  <c r="AE12" i="36"/>
  <c r="AF12" i="36"/>
  <c r="P61" i="36"/>
  <c r="Q61" i="36"/>
  <c r="I6" i="35"/>
  <c r="AF15" i="36"/>
  <c r="N15" i="36"/>
  <c r="AE27" i="36"/>
  <c r="N32" i="36"/>
  <c r="AF32" i="36"/>
  <c r="Q8" i="36"/>
  <c r="AE15" i="36"/>
  <c r="AF52" i="36"/>
  <c r="M55" i="36"/>
  <c r="AE52" i="36"/>
  <c r="AE57" i="36"/>
  <c r="M65" i="36"/>
  <c r="AF57" i="36"/>
  <c r="N57" i="36"/>
  <c r="N25" i="36"/>
  <c r="AF25" i="36"/>
  <c r="M33" i="36"/>
  <c r="Q69" i="36"/>
  <c r="Q6" i="36"/>
  <c r="P6" i="36"/>
  <c r="AF38" i="36"/>
  <c r="AE38" i="36"/>
  <c r="N52" i="36"/>
  <c r="Q11" i="36"/>
  <c r="P11" i="36"/>
  <c r="AE26" i="36"/>
  <c r="AF26" i="36"/>
  <c r="AF31" i="36"/>
  <c r="AE31" i="36"/>
  <c r="N31" i="36"/>
  <c r="Q40" i="36"/>
  <c r="P40" i="36"/>
  <c r="AF75" i="36"/>
  <c r="AE75" i="36"/>
  <c r="N43" i="36"/>
  <c r="Q26" i="36"/>
  <c r="P26" i="36"/>
  <c r="Z2" i="36"/>
  <c r="L6" i="35" s="1"/>
  <c r="AF45" i="36"/>
  <c r="AE45" i="36"/>
  <c r="P75" i="36"/>
  <c r="Q75" i="36"/>
  <c r="AF43" i="36"/>
  <c r="AE43" i="36"/>
  <c r="AF7" i="36"/>
  <c r="AE7" i="36"/>
  <c r="Q29" i="36"/>
  <c r="N48" i="36"/>
  <c r="N45" i="36"/>
  <c r="N67" i="36"/>
  <c r="AF67" i="36"/>
  <c r="AF36" i="36"/>
  <c r="N36" i="36"/>
  <c r="AE67" i="36"/>
  <c r="AE19" i="36"/>
  <c r="AF19" i="36"/>
  <c r="N60" i="36"/>
  <c r="AF60" i="36"/>
  <c r="AF73" i="36"/>
  <c r="AE73" i="36"/>
  <c r="AF68" i="36"/>
  <c r="AE68" i="36"/>
  <c r="N73" i="36"/>
  <c r="P68" i="36"/>
  <c r="Q68" i="36"/>
  <c r="P76" i="36"/>
  <c r="Q76" i="36"/>
  <c r="P41" i="36"/>
  <c r="AF61" i="36"/>
  <c r="AE61" i="36"/>
  <c r="Q19" i="36"/>
  <c r="P19" i="36"/>
  <c r="P14" i="36"/>
  <c r="Q14" i="36"/>
  <c r="AF17" i="36"/>
  <c r="AE17" i="36"/>
  <c r="M24" i="36"/>
  <c r="N17" i="36"/>
  <c r="N12" i="36"/>
  <c r="Q41" i="36"/>
  <c r="R34" i="36" s="1"/>
  <c r="AF5" i="36"/>
  <c r="AE5" i="36"/>
  <c r="M9" i="36"/>
  <c r="AF10" i="36"/>
  <c r="M16" i="36"/>
  <c r="AE10" i="36"/>
  <c r="N10" i="36"/>
  <c r="AE29" i="36"/>
  <c r="Q46" i="36"/>
  <c r="N7" i="36"/>
  <c r="N5" i="36"/>
  <c r="Q22" i="36"/>
  <c r="Q39" i="36"/>
  <c r="AF27" i="36"/>
  <c r="AE32" i="36"/>
  <c r="AE41" i="36"/>
  <c r="AE48" i="36"/>
  <c r="AF59" i="36"/>
  <c r="AE59" i="36"/>
  <c r="P66" i="36"/>
  <c r="Q53" i="36"/>
  <c r="N59" i="36"/>
  <c r="N71" i="36"/>
  <c r="AF71" i="36"/>
  <c r="M79" i="36"/>
  <c r="P30" i="36"/>
  <c r="Q30" i="36"/>
  <c r="AF41" i="36"/>
  <c r="AG34" i="36" s="1"/>
  <c r="Q18" i="36"/>
  <c r="P18" i="36"/>
  <c r="AE20" i="36"/>
  <c r="AE22" i="36"/>
  <c r="AE25" i="36"/>
  <c r="N64" i="36"/>
  <c r="N74" i="36"/>
  <c r="AF74" i="36"/>
  <c r="AF20" i="36"/>
  <c r="P35" i="36"/>
  <c r="Q35" i="36"/>
  <c r="N44" i="36"/>
  <c r="AF44" i="36"/>
  <c r="Q62" i="36"/>
  <c r="AE74" i="36"/>
  <c r="Q77" i="36"/>
  <c r="P54" i="36"/>
  <c r="P63" i="36"/>
  <c r="Q21" i="36"/>
  <c r="P47" i="36"/>
  <c r="N49" i="36"/>
  <c r="P56" i="36"/>
  <c r="G19" i="35"/>
  <c r="E6" i="35"/>
  <c r="AE47" i="36"/>
  <c r="P51" i="36"/>
  <c r="AE56" i="36"/>
  <c r="AE77" i="36"/>
  <c r="F6" i="35"/>
  <c r="AE14" i="36"/>
  <c r="AE30" i="36"/>
  <c r="N34" i="36"/>
  <c r="AE35" i="36"/>
  <c r="Q28" i="36"/>
  <c r="P42" i="36"/>
  <c r="AF14" i="36"/>
  <c r="AF30" i="36"/>
  <c r="AF35" i="36"/>
  <c r="AE42" i="36"/>
  <c r="AE49" i="36"/>
  <c r="N23" i="36"/>
  <c r="N37" i="36"/>
  <c r="N58" i="36"/>
  <c r="N72" i="36"/>
  <c r="AD81" i="32"/>
  <c r="Z81" i="32"/>
  <c r="Y81" i="32"/>
  <c r="O81" i="32"/>
  <c r="K81" i="32"/>
  <c r="M13" i="31" s="1"/>
  <c r="V80" i="32"/>
  <c r="U80" i="32"/>
  <c r="O80" i="32"/>
  <c r="M80" i="32"/>
  <c r="N80" i="32" s="1"/>
  <c r="K80" i="32"/>
  <c r="G80" i="32"/>
  <c r="V79" i="32"/>
  <c r="U79" i="32"/>
  <c r="O79" i="32"/>
  <c r="N79" i="32"/>
  <c r="M79" i="32"/>
  <c r="K79" i="32"/>
  <c r="G79" i="32"/>
  <c r="AF78" i="32"/>
  <c r="AE78" i="32"/>
  <c r="V78" i="32"/>
  <c r="U78" i="32"/>
  <c r="O78" i="32"/>
  <c r="M78" i="32"/>
  <c r="N78" i="32" s="1"/>
  <c r="Q78" i="32" s="1"/>
  <c r="K78" i="32"/>
  <c r="G78" i="32"/>
  <c r="X77" i="32"/>
  <c r="W77" i="32"/>
  <c r="V77" i="32"/>
  <c r="U77" i="32"/>
  <c r="O77" i="32"/>
  <c r="M77" i="32"/>
  <c r="K77" i="32"/>
  <c r="G77" i="32"/>
  <c r="AF76" i="32"/>
  <c r="AE76" i="32"/>
  <c r="V76" i="32"/>
  <c r="M76" i="32" s="1"/>
  <c r="N76" i="32" s="1"/>
  <c r="U76" i="32"/>
  <c r="O76" i="32"/>
  <c r="K76" i="32"/>
  <c r="G76" i="32"/>
  <c r="V75" i="32"/>
  <c r="M75" i="32" s="1"/>
  <c r="U75" i="32"/>
  <c r="O75" i="32"/>
  <c r="K75" i="32"/>
  <c r="G75" i="32"/>
  <c r="AF74" i="32"/>
  <c r="V74" i="32"/>
  <c r="U74" i="32"/>
  <c r="O74" i="32"/>
  <c r="M74" i="32"/>
  <c r="AE74" i="32" s="1"/>
  <c r="K74" i="32"/>
  <c r="G74" i="32"/>
  <c r="V73" i="32"/>
  <c r="U73" i="32"/>
  <c r="O73" i="32"/>
  <c r="M73" i="32"/>
  <c r="AF73" i="32" s="1"/>
  <c r="K73" i="32"/>
  <c r="G73" i="32"/>
  <c r="X72" i="32"/>
  <c r="W72" i="32"/>
  <c r="V72" i="32"/>
  <c r="O72" i="32"/>
  <c r="M72" i="32"/>
  <c r="K72" i="32"/>
  <c r="G72" i="32"/>
  <c r="AD71" i="32"/>
  <c r="Z71" i="32"/>
  <c r="Y71" i="32"/>
  <c r="J18" i="31" s="1"/>
  <c r="O71" i="32"/>
  <c r="K71" i="32"/>
  <c r="V70" i="32"/>
  <c r="U70" i="32"/>
  <c r="O70" i="32"/>
  <c r="M70" i="32"/>
  <c r="K70" i="32"/>
  <c r="G70" i="32"/>
  <c r="V69" i="32"/>
  <c r="M69" i="32" s="1"/>
  <c r="N69" i="32" s="1"/>
  <c r="U69" i="32"/>
  <c r="O69" i="32"/>
  <c r="K69" i="32"/>
  <c r="G69" i="32"/>
  <c r="V68" i="32"/>
  <c r="M68" i="32" s="1"/>
  <c r="U68" i="32"/>
  <c r="O68" i="32"/>
  <c r="K68" i="32"/>
  <c r="G68" i="32"/>
  <c r="V67" i="32"/>
  <c r="O67" i="32"/>
  <c r="M67" i="32"/>
  <c r="K67" i="32"/>
  <c r="G67" i="32"/>
  <c r="AD66" i="32"/>
  <c r="I21" i="31" s="1"/>
  <c r="Z66" i="32"/>
  <c r="I19" i="31" s="1"/>
  <c r="Y66" i="32"/>
  <c r="O66" i="32"/>
  <c r="K66" i="32"/>
  <c r="V65" i="32"/>
  <c r="U65" i="32"/>
  <c r="O65" i="32"/>
  <c r="N65" i="32"/>
  <c r="Q65" i="32" s="1"/>
  <c r="M65" i="32"/>
  <c r="K65" i="32"/>
  <c r="G65" i="32"/>
  <c r="AF64" i="32"/>
  <c r="AE64" i="32"/>
  <c r="X64" i="32"/>
  <c r="W64" i="32"/>
  <c r="V64" i="32"/>
  <c r="U64" i="32"/>
  <c r="Q64" i="32"/>
  <c r="O64" i="32"/>
  <c r="M64" i="32"/>
  <c r="N64" i="32" s="1"/>
  <c r="P64" i="32" s="1"/>
  <c r="K64" i="32"/>
  <c r="G64" i="32"/>
  <c r="AE63" i="32"/>
  <c r="V63" i="32"/>
  <c r="U63" i="32"/>
  <c r="P63" i="32"/>
  <c r="O63" i="32"/>
  <c r="N63" i="32"/>
  <c r="Q63" i="32" s="1"/>
  <c r="M63" i="32"/>
  <c r="AF63" i="32" s="1"/>
  <c r="K63" i="32"/>
  <c r="G63" i="32"/>
  <c r="V62" i="32"/>
  <c r="M62" i="32" s="1"/>
  <c r="N62" i="32" s="1"/>
  <c r="U62" i="32"/>
  <c r="O62" i="32"/>
  <c r="K62" i="32"/>
  <c r="G62" i="32"/>
  <c r="V61" i="32"/>
  <c r="M61" i="32" s="1"/>
  <c r="U61" i="32"/>
  <c r="O61" i="32"/>
  <c r="K61" i="32"/>
  <c r="G61" i="32"/>
  <c r="V60" i="32"/>
  <c r="U60" i="32"/>
  <c r="O60" i="32"/>
  <c r="M60" i="32"/>
  <c r="K60" i="32"/>
  <c r="G60" i="32"/>
  <c r="V59" i="32"/>
  <c r="M59" i="32" s="1"/>
  <c r="U59" i="32"/>
  <c r="O59" i="32"/>
  <c r="K59" i="32"/>
  <c r="G59" i="32"/>
  <c r="V58" i="32"/>
  <c r="U58" i="32"/>
  <c r="O58" i="32"/>
  <c r="M58" i="32"/>
  <c r="N58" i="32" s="1"/>
  <c r="K58" i="32"/>
  <c r="G58" i="32"/>
  <c r="AF57" i="32"/>
  <c r="AE57" i="32"/>
  <c r="V57" i="32"/>
  <c r="O57" i="32"/>
  <c r="M57" i="32"/>
  <c r="K57" i="32"/>
  <c r="G57" i="32"/>
  <c r="AD56" i="32"/>
  <c r="Z56" i="32"/>
  <c r="Y56" i="32"/>
  <c r="O56" i="32"/>
  <c r="K56" i="32"/>
  <c r="H13" i="31" s="1"/>
  <c r="AF55" i="32"/>
  <c r="AE55" i="32"/>
  <c r="V55" i="32"/>
  <c r="U55" i="32"/>
  <c r="O55" i="32"/>
  <c r="M55" i="32"/>
  <c r="N55" i="32" s="1"/>
  <c r="P55" i="32" s="1"/>
  <c r="K55" i="32"/>
  <c r="G55" i="32"/>
  <c r="V54" i="32"/>
  <c r="U54" i="32"/>
  <c r="O54" i="32"/>
  <c r="M54" i="32"/>
  <c r="AF54" i="32" s="1"/>
  <c r="K54" i="32"/>
  <c r="G54" i="32"/>
  <c r="V53" i="32"/>
  <c r="M53" i="32" s="1"/>
  <c r="N53" i="32" s="1"/>
  <c r="U53" i="32"/>
  <c r="O53" i="32"/>
  <c r="K53" i="32"/>
  <c r="G53" i="32"/>
  <c r="V52" i="32"/>
  <c r="M52" i="32" s="1"/>
  <c r="O52" i="32"/>
  <c r="K52" i="32"/>
  <c r="G52" i="32"/>
  <c r="AD51" i="32"/>
  <c r="Z51" i="32"/>
  <c r="Y51" i="32"/>
  <c r="O51" i="32"/>
  <c r="K51" i="32"/>
  <c r="L13" i="31" s="1"/>
  <c r="V50" i="32"/>
  <c r="M50" i="32" s="1"/>
  <c r="U50" i="32"/>
  <c r="O50" i="32"/>
  <c r="K50" i="32"/>
  <c r="G50" i="32"/>
  <c r="V49" i="32"/>
  <c r="U49" i="32"/>
  <c r="O49" i="32"/>
  <c r="M49" i="32"/>
  <c r="N49" i="32" s="1"/>
  <c r="K49" i="32"/>
  <c r="G49" i="32"/>
  <c r="AF48" i="32"/>
  <c r="AE48" i="32"/>
  <c r="V48" i="32"/>
  <c r="U48" i="32"/>
  <c r="O48" i="32"/>
  <c r="M48" i="32"/>
  <c r="N48" i="32" s="1"/>
  <c r="Q48" i="32" s="1"/>
  <c r="K48" i="32"/>
  <c r="G48" i="32"/>
  <c r="X47" i="32"/>
  <c r="W47" i="32"/>
  <c r="V47" i="32"/>
  <c r="U47" i="32"/>
  <c r="O47" i="32"/>
  <c r="M47" i="32"/>
  <c r="N47" i="32" s="1"/>
  <c r="K47" i="32"/>
  <c r="G47" i="32"/>
  <c r="AF46" i="32"/>
  <c r="AE46" i="32"/>
  <c r="V46" i="32"/>
  <c r="M46" i="32" s="1"/>
  <c r="N46" i="32" s="1"/>
  <c r="U46" i="32"/>
  <c r="O46" i="32"/>
  <c r="K46" i="32"/>
  <c r="G46" i="32"/>
  <c r="V45" i="32"/>
  <c r="U45" i="32"/>
  <c r="O45" i="32"/>
  <c r="M45" i="32"/>
  <c r="N45" i="32" s="1"/>
  <c r="K45" i="32"/>
  <c r="G45" i="32"/>
  <c r="AF44" i="32"/>
  <c r="V44" i="32"/>
  <c r="U44" i="32"/>
  <c r="O44" i="32"/>
  <c r="M44" i="32"/>
  <c r="K44" i="32"/>
  <c r="G44" i="32"/>
  <c r="AF43" i="32"/>
  <c r="AE43" i="32"/>
  <c r="X43" i="32"/>
  <c r="W43" i="32"/>
  <c r="V43" i="32"/>
  <c r="O43" i="32"/>
  <c r="M43" i="32"/>
  <c r="N43" i="32" s="1"/>
  <c r="Q43" i="32" s="1"/>
  <c r="K43" i="32"/>
  <c r="G43" i="32"/>
  <c r="AD42" i="32"/>
  <c r="K21" i="31" s="1"/>
  <c r="Z42" i="32"/>
  <c r="Y42" i="32"/>
  <c r="O42" i="32"/>
  <c r="K42" i="32"/>
  <c r="K13" i="31" s="1"/>
  <c r="AF41" i="32"/>
  <c r="AE41" i="32"/>
  <c r="V41" i="32"/>
  <c r="U41" i="32"/>
  <c r="O41" i="32"/>
  <c r="M41" i="32"/>
  <c r="N41" i="32" s="1"/>
  <c r="P41" i="32" s="1"/>
  <c r="K41" i="32"/>
  <c r="G41" i="32"/>
  <c r="AE40" i="32"/>
  <c r="V40" i="32"/>
  <c r="U40" i="32"/>
  <c r="Q40" i="32"/>
  <c r="P40" i="32"/>
  <c r="O40" i="32"/>
  <c r="N40" i="32"/>
  <c r="M40" i="32"/>
  <c r="AF40" i="32" s="1"/>
  <c r="K40" i="32"/>
  <c r="G40" i="32"/>
  <c r="AF39" i="32"/>
  <c r="AE39" i="32"/>
  <c r="V39" i="32"/>
  <c r="M39" i="32" s="1"/>
  <c r="N39" i="32" s="1"/>
  <c r="U39" i="32"/>
  <c r="O39" i="32"/>
  <c r="K39" i="32"/>
  <c r="G39" i="32"/>
  <c r="X38" i="32"/>
  <c r="W38" i="32"/>
  <c r="V38" i="32"/>
  <c r="M38" i="32" s="1"/>
  <c r="U38" i="32"/>
  <c r="O38" i="32"/>
  <c r="K38" i="32"/>
  <c r="G38" i="32"/>
  <c r="V37" i="32"/>
  <c r="U37" i="32"/>
  <c r="O37" i="32"/>
  <c r="M37" i="32"/>
  <c r="K37" i="32"/>
  <c r="G37" i="32"/>
  <c r="V36" i="32"/>
  <c r="M36" i="32" s="1"/>
  <c r="AE36" i="32" s="1"/>
  <c r="U36" i="32"/>
  <c r="O36" i="32"/>
  <c r="N36" i="32"/>
  <c r="Q36" i="32" s="1"/>
  <c r="K36" i="32"/>
  <c r="G36" i="32"/>
  <c r="V35" i="32"/>
  <c r="U35" i="32"/>
  <c r="P35" i="32"/>
  <c r="O35" i="32"/>
  <c r="N35" i="32"/>
  <c r="Q35" i="32" s="1"/>
  <c r="M35" i="32"/>
  <c r="K35" i="32"/>
  <c r="G35" i="32"/>
  <c r="X34" i="32"/>
  <c r="W34" i="32"/>
  <c r="V34" i="32"/>
  <c r="M34" i="32" s="1"/>
  <c r="N34" i="32" s="1"/>
  <c r="O34" i="32"/>
  <c r="K34" i="32"/>
  <c r="G34" i="32"/>
  <c r="AD33" i="32"/>
  <c r="G21" i="31" s="1"/>
  <c r="Z33" i="32"/>
  <c r="G19" i="31" s="1"/>
  <c r="Y33" i="32"/>
  <c r="O33" i="32"/>
  <c r="K33" i="32"/>
  <c r="G13" i="31" s="1"/>
  <c r="V32" i="32"/>
  <c r="U32" i="32"/>
  <c r="O32" i="32"/>
  <c r="M32" i="32"/>
  <c r="AF32" i="32" s="1"/>
  <c r="K32" i="32"/>
  <c r="G32" i="32"/>
  <c r="AF31" i="32"/>
  <c r="AE31" i="32"/>
  <c r="X31" i="32"/>
  <c r="W31" i="32"/>
  <c r="V31" i="32"/>
  <c r="M31" i="32" s="1"/>
  <c r="U31" i="32"/>
  <c r="P31" i="32"/>
  <c r="O31" i="32"/>
  <c r="N31" i="32"/>
  <c r="Q31" i="32" s="1"/>
  <c r="K31" i="32"/>
  <c r="G31" i="32"/>
  <c r="V30" i="32"/>
  <c r="U30" i="32"/>
  <c r="O30" i="32"/>
  <c r="M30" i="32"/>
  <c r="N30" i="32" s="1"/>
  <c r="K30" i="32"/>
  <c r="G30" i="32"/>
  <c r="AF29" i="32"/>
  <c r="AE29" i="32"/>
  <c r="V29" i="32"/>
  <c r="U29" i="32"/>
  <c r="Q29" i="32"/>
  <c r="P29" i="32"/>
  <c r="O29" i="32"/>
  <c r="N29" i="32"/>
  <c r="M29" i="32"/>
  <c r="K29" i="32"/>
  <c r="G29" i="32"/>
  <c r="V28" i="32"/>
  <c r="U28" i="32"/>
  <c r="O28" i="32"/>
  <c r="M28" i="32"/>
  <c r="K28" i="32"/>
  <c r="G28" i="32"/>
  <c r="AF27" i="32"/>
  <c r="AE27" i="32"/>
  <c r="V27" i="32"/>
  <c r="M27" i="32" s="1"/>
  <c r="N27" i="32" s="1"/>
  <c r="U27" i="32"/>
  <c r="O27" i="32"/>
  <c r="K27" i="32"/>
  <c r="G27" i="32"/>
  <c r="AF26" i="32"/>
  <c r="AE26" i="32"/>
  <c r="V26" i="32"/>
  <c r="U26" i="32"/>
  <c r="O26" i="32"/>
  <c r="N26" i="32"/>
  <c r="P26" i="32" s="1"/>
  <c r="M26" i="32"/>
  <c r="K26" i="32"/>
  <c r="G26" i="32"/>
  <c r="AF25" i="32"/>
  <c r="V25" i="32"/>
  <c r="O25" i="32"/>
  <c r="M25" i="32"/>
  <c r="M33" i="32" s="1"/>
  <c r="K25" i="32"/>
  <c r="G25" i="32"/>
  <c r="AD24" i="32"/>
  <c r="Z24" i="32"/>
  <c r="Y24" i="32"/>
  <c r="O24" i="32"/>
  <c r="K24" i="32"/>
  <c r="V23" i="32"/>
  <c r="U23" i="32"/>
  <c r="O23" i="32"/>
  <c r="M23" i="32"/>
  <c r="N23" i="32" s="1"/>
  <c r="K23" i="32"/>
  <c r="G23" i="32"/>
  <c r="F1" i="32" s="1"/>
  <c r="AF22" i="32"/>
  <c r="AE22" i="32"/>
  <c r="X22" i="32"/>
  <c r="W22" i="32"/>
  <c r="V22" i="32"/>
  <c r="U22" i="32"/>
  <c r="Q22" i="32"/>
  <c r="P22" i="32"/>
  <c r="O22" i="32"/>
  <c r="N22" i="32"/>
  <c r="M22" i="32"/>
  <c r="K22" i="32"/>
  <c r="G22" i="32"/>
  <c r="V21" i="32"/>
  <c r="U21" i="32"/>
  <c r="O21" i="32"/>
  <c r="N21" i="32"/>
  <c r="Q21" i="32" s="1"/>
  <c r="M21" i="32"/>
  <c r="K21" i="32"/>
  <c r="G21" i="32"/>
  <c r="V20" i="32"/>
  <c r="M20" i="32" s="1"/>
  <c r="N20" i="32" s="1"/>
  <c r="U20" i="32"/>
  <c r="O20" i="32"/>
  <c r="K20" i="32"/>
  <c r="G20" i="32"/>
  <c r="AF19" i="32"/>
  <c r="AE19" i="32"/>
  <c r="V19" i="32"/>
  <c r="U19" i="32"/>
  <c r="P19" i="32"/>
  <c r="O19" i="32"/>
  <c r="N19" i="32"/>
  <c r="Q19" i="32" s="1"/>
  <c r="M19" i="32"/>
  <c r="K19" i="32"/>
  <c r="G19" i="32"/>
  <c r="AF18" i="32"/>
  <c r="AE18" i="32"/>
  <c r="V18" i="32"/>
  <c r="U18" i="32"/>
  <c r="O18" i="32"/>
  <c r="M18" i="32"/>
  <c r="N18" i="32" s="1"/>
  <c r="K18" i="32"/>
  <c r="G18" i="32"/>
  <c r="V17" i="32"/>
  <c r="O17" i="32"/>
  <c r="M17" i="32"/>
  <c r="M24" i="32" s="1"/>
  <c r="K17" i="32"/>
  <c r="G17" i="32"/>
  <c r="AD16" i="32"/>
  <c r="Z16" i="32"/>
  <c r="Y16" i="32"/>
  <c r="O16" i="32"/>
  <c r="K16" i="32"/>
  <c r="V15" i="32"/>
  <c r="M15" i="32" s="1"/>
  <c r="AF15" i="32" s="1"/>
  <c r="U15" i="32"/>
  <c r="O15" i="32"/>
  <c r="N15" i="32"/>
  <c r="P15" i="32" s="1"/>
  <c r="K15" i="32"/>
  <c r="G15" i="32"/>
  <c r="V14" i="32"/>
  <c r="U14" i="32"/>
  <c r="O14" i="32"/>
  <c r="M14" i="32"/>
  <c r="K14" i="32"/>
  <c r="G14" i="32"/>
  <c r="X13" i="32"/>
  <c r="W13" i="32"/>
  <c r="V13" i="32"/>
  <c r="M13" i="32" s="1"/>
  <c r="N13" i="32" s="1"/>
  <c r="U13" i="32"/>
  <c r="O13" i="32"/>
  <c r="K13" i="32"/>
  <c r="G13" i="32"/>
  <c r="AF12" i="32"/>
  <c r="AE12" i="32"/>
  <c r="V12" i="32"/>
  <c r="U12" i="32"/>
  <c r="O12" i="32"/>
  <c r="N12" i="32"/>
  <c r="Q12" i="32" s="1"/>
  <c r="M12" i="32"/>
  <c r="K12" i="32"/>
  <c r="G12" i="32"/>
  <c r="AF11" i="32"/>
  <c r="AE11" i="32"/>
  <c r="V11" i="32"/>
  <c r="U11" i="32"/>
  <c r="O11" i="32"/>
  <c r="M11" i="32"/>
  <c r="N11" i="32" s="1"/>
  <c r="K11" i="32"/>
  <c r="G11" i="32"/>
  <c r="AF10" i="32"/>
  <c r="AE10" i="32"/>
  <c r="X10" i="32"/>
  <c r="W10" i="32"/>
  <c r="V10" i="32"/>
  <c r="M10" i="32" s="1"/>
  <c r="M16" i="32" s="1"/>
  <c r="P10" i="32"/>
  <c r="O10" i="32"/>
  <c r="N10" i="32"/>
  <c r="Q10" i="32" s="1"/>
  <c r="K10" i="32"/>
  <c r="G10" i="32"/>
  <c r="AD9" i="32"/>
  <c r="Z9" i="32"/>
  <c r="Y9" i="32"/>
  <c r="O9" i="32"/>
  <c r="K9" i="32"/>
  <c r="D13" i="31" s="1"/>
  <c r="AF8" i="32"/>
  <c r="AE8" i="32"/>
  <c r="V8" i="32"/>
  <c r="U8" i="32"/>
  <c r="Q8" i="32"/>
  <c r="P8" i="32"/>
  <c r="O8" i="32"/>
  <c r="N8" i="32"/>
  <c r="M8" i="32"/>
  <c r="K8" i="32"/>
  <c r="G8" i="32"/>
  <c r="AF7" i="32"/>
  <c r="AE7" i="32"/>
  <c r="X7" i="32"/>
  <c r="W7" i="32"/>
  <c r="V7" i="32"/>
  <c r="U7" i="32"/>
  <c r="O7" i="32"/>
  <c r="N7" i="32"/>
  <c r="Q7" i="32" s="1"/>
  <c r="M7" i="32"/>
  <c r="K7" i="32"/>
  <c r="G7" i="32"/>
  <c r="AF6" i="32"/>
  <c r="AE6" i="32"/>
  <c r="V6" i="32"/>
  <c r="U6" i="32"/>
  <c r="O6" i="32"/>
  <c r="M6" i="32"/>
  <c r="N6" i="32" s="1"/>
  <c r="K6" i="32"/>
  <c r="G6" i="32"/>
  <c r="V5" i="32"/>
  <c r="O5" i="32"/>
  <c r="M5" i="32"/>
  <c r="AE5" i="32" s="1"/>
  <c r="K5" i="32"/>
  <c r="G5" i="32"/>
  <c r="H2" i="32"/>
  <c r="H1" i="32"/>
  <c r="D1" i="32"/>
  <c r="M22" i="31"/>
  <c r="L22" i="31"/>
  <c r="K22" i="31"/>
  <c r="J22" i="31"/>
  <c r="I22" i="31"/>
  <c r="H22" i="31"/>
  <c r="G22" i="31"/>
  <c r="F22" i="31"/>
  <c r="E22" i="31"/>
  <c r="D22" i="31"/>
  <c r="M21" i="31"/>
  <c r="L21" i="31"/>
  <c r="J21" i="31"/>
  <c r="H21" i="31"/>
  <c r="E21" i="31"/>
  <c r="D21" i="31"/>
  <c r="M20" i="31"/>
  <c r="L20" i="31"/>
  <c r="K20" i="31"/>
  <c r="J20" i="31"/>
  <c r="I20" i="31"/>
  <c r="H20" i="31"/>
  <c r="G20" i="31"/>
  <c r="F20" i="31"/>
  <c r="E20" i="31"/>
  <c r="D20" i="31"/>
  <c r="M19" i="31"/>
  <c r="L19" i="31"/>
  <c r="K19" i="31"/>
  <c r="J19" i="31"/>
  <c r="H19" i="31"/>
  <c r="F19" i="31"/>
  <c r="E19" i="31"/>
  <c r="D19" i="31"/>
  <c r="M18" i="31"/>
  <c r="L18" i="31"/>
  <c r="K18" i="31"/>
  <c r="I18" i="31"/>
  <c r="H18" i="31"/>
  <c r="G18" i="31"/>
  <c r="F18" i="31"/>
  <c r="E18" i="31"/>
  <c r="D18" i="31"/>
  <c r="M17" i="31"/>
  <c r="L17" i="31"/>
  <c r="K17" i="31"/>
  <c r="J17" i="31"/>
  <c r="I17" i="31"/>
  <c r="H17" i="31"/>
  <c r="G17" i="31"/>
  <c r="F17" i="31"/>
  <c r="E17" i="31"/>
  <c r="D17" i="31"/>
  <c r="M16" i="31"/>
  <c r="L16" i="31"/>
  <c r="K16" i="31"/>
  <c r="J16" i="31"/>
  <c r="I16" i="31"/>
  <c r="H16" i="31"/>
  <c r="G16" i="31"/>
  <c r="F16" i="31"/>
  <c r="E16" i="31"/>
  <c r="D16" i="31"/>
  <c r="J13" i="31"/>
  <c r="I13" i="31"/>
  <c r="F13" i="31"/>
  <c r="E13" i="31"/>
  <c r="M6" i="31"/>
  <c r="F3" i="31"/>
  <c r="C3" i="31"/>
  <c r="F8" i="41" l="1"/>
  <c r="G8" i="41"/>
  <c r="E8" i="41"/>
  <c r="E7" i="39"/>
  <c r="F7" i="39"/>
  <c r="G7" i="39"/>
  <c r="L15" i="39"/>
  <c r="I8" i="39" s="1"/>
  <c r="I7" i="39"/>
  <c r="G8" i="39"/>
  <c r="F8" i="39"/>
  <c r="H14" i="37"/>
  <c r="H15" i="37" s="1"/>
  <c r="P53" i="38"/>
  <c r="Q53" i="38"/>
  <c r="R49" i="38" s="1"/>
  <c r="P77" i="38"/>
  <c r="M14" i="37"/>
  <c r="M15" i="37" s="1"/>
  <c r="Q77" i="38"/>
  <c r="R69" i="38" s="1"/>
  <c r="Q68" i="38"/>
  <c r="R64" i="38" s="1"/>
  <c r="J14" i="37"/>
  <c r="J15" i="37" s="1"/>
  <c r="P68" i="38"/>
  <c r="P63" i="38"/>
  <c r="Q63" i="38"/>
  <c r="R54" i="38" s="1"/>
  <c r="I14" i="37"/>
  <c r="I15" i="37" s="1"/>
  <c r="D2" i="38"/>
  <c r="P9" i="38"/>
  <c r="Q9" i="38"/>
  <c r="R5" i="38" s="1"/>
  <c r="D14" i="37"/>
  <c r="Q15" i="38"/>
  <c r="R10" i="38" s="1"/>
  <c r="P15" i="38"/>
  <c r="E14" i="37"/>
  <c r="E15" i="37" s="1"/>
  <c r="P31" i="38"/>
  <c r="Q31" i="38"/>
  <c r="R24" i="38" s="1"/>
  <c r="G14" i="37"/>
  <c r="G15" i="37" s="1"/>
  <c r="L14" i="37"/>
  <c r="L15" i="37" s="1"/>
  <c r="Q48" i="38"/>
  <c r="R40" i="38" s="1"/>
  <c r="P48" i="38"/>
  <c r="K14" i="37"/>
  <c r="P39" i="38"/>
  <c r="Q39" i="38"/>
  <c r="R32" i="38" s="1"/>
  <c r="Q10" i="36"/>
  <c r="P10" i="36"/>
  <c r="Q71" i="36"/>
  <c r="P71" i="36"/>
  <c r="Q59" i="36"/>
  <c r="P59" i="36"/>
  <c r="Q32" i="36"/>
  <c r="P32" i="36"/>
  <c r="N9" i="36"/>
  <c r="AF9" i="36"/>
  <c r="AG5" i="36" s="1"/>
  <c r="AE9" i="36"/>
  <c r="Q73" i="36"/>
  <c r="P73" i="36"/>
  <c r="P52" i="36"/>
  <c r="Q52" i="36"/>
  <c r="P34" i="36"/>
  <c r="Q34" i="36"/>
  <c r="Q44" i="36"/>
  <c r="P44" i="36"/>
  <c r="P15" i="36"/>
  <c r="Q15" i="36"/>
  <c r="Q12" i="36"/>
  <c r="P12" i="36"/>
  <c r="Q17" i="36"/>
  <c r="P17" i="36"/>
  <c r="Q74" i="36"/>
  <c r="P74" i="36"/>
  <c r="AF24" i="36"/>
  <c r="AG17" i="36" s="1"/>
  <c r="AE24" i="36"/>
  <c r="N24" i="36"/>
  <c r="Q60" i="36"/>
  <c r="P60" i="36"/>
  <c r="AF33" i="36"/>
  <c r="AG25" i="36" s="1"/>
  <c r="AE33" i="36"/>
  <c r="N33" i="36"/>
  <c r="Q64" i="36"/>
  <c r="P64" i="36"/>
  <c r="P43" i="36"/>
  <c r="Q43" i="36"/>
  <c r="Q25" i="36"/>
  <c r="P25" i="36"/>
  <c r="Q70" i="36"/>
  <c r="R66" i="36" s="1"/>
  <c r="P70" i="36"/>
  <c r="J14" i="35"/>
  <c r="J15" i="35" s="1"/>
  <c r="Q7" i="36"/>
  <c r="P7" i="36"/>
  <c r="Q67" i="36"/>
  <c r="P67" i="36"/>
  <c r="Q31" i="36"/>
  <c r="P31" i="36"/>
  <c r="L14" i="35"/>
  <c r="Q50" i="36"/>
  <c r="R42" i="36" s="1"/>
  <c r="P50" i="36"/>
  <c r="AF79" i="36"/>
  <c r="AG71" i="36" s="1"/>
  <c r="N79" i="36"/>
  <c r="AE79" i="36"/>
  <c r="Q72" i="36"/>
  <c r="P72" i="36"/>
  <c r="Q57" i="36"/>
  <c r="P57" i="36"/>
  <c r="Q58" i="36"/>
  <c r="P58" i="36"/>
  <c r="Q37" i="36"/>
  <c r="P37" i="36"/>
  <c r="AF65" i="36"/>
  <c r="AG56" i="36" s="1"/>
  <c r="N65" i="36"/>
  <c r="AE65" i="36"/>
  <c r="Q23" i="36"/>
  <c r="P23" i="36"/>
  <c r="P45" i="36"/>
  <c r="Q45" i="36"/>
  <c r="N55" i="36"/>
  <c r="AF55" i="36"/>
  <c r="AG51" i="36" s="1"/>
  <c r="AE55" i="36"/>
  <c r="AE16" i="36"/>
  <c r="N16" i="36"/>
  <c r="AF16" i="36"/>
  <c r="AG10" i="36" s="1"/>
  <c r="Q36" i="36"/>
  <c r="P36" i="36"/>
  <c r="Q49" i="36"/>
  <c r="P49" i="36"/>
  <c r="Q5" i="36"/>
  <c r="P5" i="36"/>
  <c r="Q48" i="36"/>
  <c r="P48" i="36"/>
  <c r="P30" i="32"/>
  <c r="Q30" i="32"/>
  <c r="P47" i="32"/>
  <c r="Q47" i="32"/>
  <c r="AF24" i="32"/>
  <c r="AG17" i="32" s="1"/>
  <c r="AE24" i="32"/>
  <c r="N24" i="32"/>
  <c r="P80" i="32"/>
  <c r="Q80" i="32"/>
  <c r="N38" i="32"/>
  <c r="AF38" i="32"/>
  <c r="AE38" i="32"/>
  <c r="Q49" i="32"/>
  <c r="P49" i="32"/>
  <c r="AE33" i="32"/>
  <c r="N33" i="32"/>
  <c r="AF33" i="32"/>
  <c r="AG25" i="32" s="1"/>
  <c r="AF16" i="32"/>
  <c r="AG10" i="32" s="1"/>
  <c r="AE16" i="32"/>
  <c r="N16" i="32"/>
  <c r="AF75" i="32"/>
  <c r="AE75" i="32"/>
  <c r="N75" i="32"/>
  <c r="E6" i="31"/>
  <c r="F6" i="31"/>
  <c r="G6" i="31"/>
  <c r="AF50" i="32"/>
  <c r="N50" i="32"/>
  <c r="AE50" i="32"/>
  <c r="AE61" i="32"/>
  <c r="N61" i="32"/>
  <c r="AF61" i="32"/>
  <c r="P45" i="32"/>
  <c r="Q45" i="32"/>
  <c r="P58" i="32"/>
  <c r="Q58" i="32"/>
  <c r="I3" i="31"/>
  <c r="F2" i="32"/>
  <c r="P23" i="32"/>
  <c r="Q23" i="32"/>
  <c r="AF52" i="32"/>
  <c r="AE52" i="32"/>
  <c r="N52" i="32"/>
  <c r="M56" i="32"/>
  <c r="N68" i="32"/>
  <c r="AE68" i="32"/>
  <c r="AF68" i="32"/>
  <c r="N59" i="32"/>
  <c r="AF59" i="32"/>
  <c r="AE59" i="32"/>
  <c r="N17" i="32"/>
  <c r="P21" i="32"/>
  <c r="Q55" i="32"/>
  <c r="N73" i="32"/>
  <c r="P7" i="32"/>
  <c r="M9" i="32"/>
  <c r="P36" i="32"/>
  <c r="M51" i="32"/>
  <c r="AE53" i="32"/>
  <c r="AF62" i="32"/>
  <c r="Q53" i="32"/>
  <c r="P53" i="32"/>
  <c r="AE60" i="32"/>
  <c r="N60" i="32"/>
  <c r="Q41" i="32"/>
  <c r="Q69" i="32"/>
  <c r="P69" i="32"/>
  <c r="P78" i="32"/>
  <c r="AF13" i="32"/>
  <c r="AF37" i="32"/>
  <c r="AE37" i="32"/>
  <c r="N54" i="32"/>
  <c r="AF60" i="32"/>
  <c r="AF67" i="32"/>
  <c r="AE67" i="32"/>
  <c r="N67" i="32"/>
  <c r="M71" i="32"/>
  <c r="AE69" i="32"/>
  <c r="AF72" i="32"/>
  <c r="AE72" i="32"/>
  <c r="M81" i="32"/>
  <c r="Q6" i="32"/>
  <c r="P6" i="32"/>
  <c r="Y2" i="32"/>
  <c r="K6" i="31" s="1"/>
  <c r="AE35" i="32"/>
  <c r="AF35" i="32"/>
  <c r="N37" i="32"/>
  <c r="AF69" i="32"/>
  <c r="N72" i="32"/>
  <c r="Q76" i="32"/>
  <c r="P76" i="32"/>
  <c r="AE80" i="32"/>
  <c r="Q11" i="32"/>
  <c r="P11" i="32"/>
  <c r="Q15" i="32"/>
  <c r="AE15" i="32"/>
  <c r="AE13" i="32"/>
  <c r="Q26" i="32"/>
  <c r="Q18" i="32"/>
  <c r="P18" i="32"/>
  <c r="Q39" i="32"/>
  <c r="P39" i="32"/>
  <c r="AE45" i="32"/>
  <c r="AF65" i="32"/>
  <c r="AE65" i="32"/>
  <c r="AF80" i="32"/>
  <c r="AE28" i="32"/>
  <c r="AF28" i="32"/>
  <c r="AE32" i="32"/>
  <c r="N32" i="32"/>
  <c r="AF5" i="32"/>
  <c r="AE17" i="32"/>
  <c r="AF34" i="32"/>
  <c r="AF36" i="32"/>
  <c r="P43" i="32"/>
  <c r="AE62" i="32"/>
  <c r="AE73" i="32"/>
  <c r="AF14" i="32"/>
  <c r="AE14" i="32"/>
  <c r="AD2" i="32"/>
  <c r="N6" i="31" s="1"/>
  <c r="AF45" i="32"/>
  <c r="N14" i="32"/>
  <c r="AE20" i="32"/>
  <c r="I6" i="31"/>
  <c r="AF70" i="32"/>
  <c r="AE70" i="32"/>
  <c r="AF20" i="32"/>
  <c r="M42" i="32"/>
  <c r="P65" i="32"/>
  <c r="N70" i="32"/>
  <c r="Q34" i="32"/>
  <c r="P34" i="32"/>
  <c r="N28" i="32"/>
  <c r="AF49" i="32"/>
  <c r="AE49" i="32"/>
  <c r="AF17" i="32"/>
  <c r="AF58" i="32"/>
  <c r="AE58" i="32"/>
  <c r="Q20" i="32"/>
  <c r="P20" i="32"/>
  <c r="P48" i="32"/>
  <c r="AE54" i="32"/>
  <c r="AE77" i="32"/>
  <c r="AF77" i="32"/>
  <c r="N5" i="32"/>
  <c r="AF23" i="32"/>
  <c r="AE23" i="32"/>
  <c r="AE30" i="32"/>
  <c r="AF30" i="32"/>
  <c r="AE34" i="32"/>
  <c r="Q62" i="32"/>
  <c r="P62" i="32"/>
  <c r="Z2" i="32"/>
  <c r="L6" i="31" s="1"/>
  <c r="P12" i="32"/>
  <c r="M66" i="32"/>
  <c r="N77" i="32"/>
  <c r="AF79" i="32"/>
  <c r="AE79" i="32"/>
  <c r="AF47" i="32"/>
  <c r="AE47" i="32"/>
  <c r="Q13" i="32"/>
  <c r="P13" i="32"/>
  <c r="AF53" i="32"/>
  <c r="F21" i="31"/>
  <c r="AE21" i="32"/>
  <c r="AF21" i="32"/>
  <c r="AE25" i="32"/>
  <c r="N25" i="32"/>
  <c r="Q27" i="32"/>
  <c r="P27" i="32"/>
  <c r="AE44" i="32"/>
  <c r="N44" i="32"/>
  <c r="Q46" i="32"/>
  <c r="P46" i="32"/>
  <c r="Q79" i="32"/>
  <c r="P79" i="32"/>
  <c r="N74" i="32"/>
  <c r="N57" i="32"/>
  <c r="AD71" i="30"/>
  <c r="Z71" i="30"/>
  <c r="Y71" i="30"/>
  <c r="O71" i="30"/>
  <c r="K71" i="30"/>
  <c r="AF70" i="30"/>
  <c r="AE70" i="30"/>
  <c r="V70" i="30"/>
  <c r="U70" i="30"/>
  <c r="O70" i="30"/>
  <c r="M70" i="30"/>
  <c r="N70" i="30" s="1"/>
  <c r="K70" i="30"/>
  <c r="G70" i="30"/>
  <c r="X69" i="30"/>
  <c r="W69" i="30"/>
  <c r="V69" i="30"/>
  <c r="U69" i="30"/>
  <c r="O69" i="30"/>
  <c r="M69" i="30"/>
  <c r="AF69" i="30" s="1"/>
  <c r="K69" i="30"/>
  <c r="G69" i="30"/>
  <c r="V68" i="30"/>
  <c r="M68" i="30" s="1"/>
  <c r="U68" i="30"/>
  <c r="O68" i="30"/>
  <c r="K68" i="30"/>
  <c r="G68" i="30"/>
  <c r="V67" i="30"/>
  <c r="U67" i="30"/>
  <c r="O67" i="30"/>
  <c r="M67" i="30"/>
  <c r="AF67" i="30" s="1"/>
  <c r="K67" i="30"/>
  <c r="G67" i="30"/>
  <c r="V66" i="30"/>
  <c r="M66" i="30" s="1"/>
  <c r="U66" i="30"/>
  <c r="O66" i="30"/>
  <c r="K66" i="30"/>
  <c r="G66" i="30"/>
  <c r="V65" i="30"/>
  <c r="U65" i="30"/>
  <c r="O65" i="30"/>
  <c r="M65" i="30"/>
  <c r="AF65" i="30" s="1"/>
  <c r="K65" i="30"/>
  <c r="G65" i="30"/>
  <c r="X64" i="30"/>
  <c r="W64" i="30"/>
  <c r="V64" i="30"/>
  <c r="O64" i="30"/>
  <c r="N64" i="30"/>
  <c r="Q64" i="30" s="1"/>
  <c r="M64" i="30"/>
  <c r="AF64" i="30" s="1"/>
  <c r="K64" i="30"/>
  <c r="G64" i="30"/>
  <c r="AD63" i="30"/>
  <c r="J21" i="29" s="1"/>
  <c r="Z63" i="30"/>
  <c r="J19" i="29" s="1"/>
  <c r="Y63" i="30"/>
  <c r="O63" i="30"/>
  <c r="K63" i="30"/>
  <c r="V62" i="30"/>
  <c r="U62" i="30"/>
  <c r="O62" i="30"/>
  <c r="M62" i="30"/>
  <c r="AE62" i="30" s="1"/>
  <c r="K62" i="30"/>
  <c r="G62" i="30"/>
  <c r="V61" i="30"/>
  <c r="M61" i="30" s="1"/>
  <c r="U61" i="30"/>
  <c r="O61" i="30"/>
  <c r="K61" i="30"/>
  <c r="G61" i="30"/>
  <c r="V60" i="30"/>
  <c r="U60" i="30"/>
  <c r="O60" i="30"/>
  <c r="M60" i="30"/>
  <c r="AF60" i="30" s="1"/>
  <c r="K60" i="30"/>
  <c r="G60" i="30"/>
  <c r="AF59" i="30"/>
  <c r="AE59" i="30"/>
  <c r="V59" i="30"/>
  <c r="O59" i="30"/>
  <c r="M59" i="30"/>
  <c r="M63" i="30" s="1"/>
  <c r="K59" i="30"/>
  <c r="G59" i="30"/>
  <c r="AD58" i="30"/>
  <c r="I21" i="29" s="1"/>
  <c r="Z58" i="30"/>
  <c r="I19" i="29" s="1"/>
  <c r="Y58" i="30"/>
  <c r="O58" i="30"/>
  <c r="K58" i="30"/>
  <c r="I13" i="29" s="1"/>
  <c r="V57" i="30"/>
  <c r="U57" i="30"/>
  <c r="O57" i="30"/>
  <c r="M57" i="30"/>
  <c r="AF57" i="30" s="1"/>
  <c r="K57" i="30"/>
  <c r="G57" i="30"/>
  <c r="AF56" i="30"/>
  <c r="AE56" i="30"/>
  <c r="V56" i="30"/>
  <c r="U56" i="30"/>
  <c r="O56" i="30"/>
  <c r="M56" i="30"/>
  <c r="N56" i="30" s="1"/>
  <c r="K56" i="30"/>
  <c r="G56" i="30"/>
  <c r="V55" i="30"/>
  <c r="U55" i="30"/>
  <c r="O55" i="30"/>
  <c r="N55" i="30"/>
  <c r="Q55" i="30" s="1"/>
  <c r="M55" i="30"/>
  <c r="AF55" i="30" s="1"/>
  <c r="K55" i="30"/>
  <c r="G55" i="30"/>
  <c r="V54" i="30"/>
  <c r="M54" i="30" s="1"/>
  <c r="U54" i="30"/>
  <c r="O54" i="30"/>
  <c r="K54" i="30"/>
  <c r="G54" i="30"/>
  <c r="V53" i="30"/>
  <c r="U53" i="30"/>
  <c r="O53" i="30"/>
  <c r="M53" i="30"/>
  <c r="AE53" i="30" s="1"/>
  <c r="K53" i="30"/>
  <c r="G53" i="30"/>
  <c r="V52" i="30"/>
  <c r="M52" i="30" s="1"/>
  <c r="U52" i="30"/>
  <c r="O52" i="30"/>
  <c r="K52" i="30"/>
  <c r="G52" i="30"/>
  <c r="V51" i="30"/>
  <c r="U51" i="30"/>
  <c r="O51" i="30"/>
  <c r="M51" i="30"/>
  <c r="AF51" i="30" s="1"/>
  <c r="K51" i="30"/>
  <c r="G51" i="30"/>
  <c r="AF50" i="30"/>
  <c r="AE50" i="30"/>
  <c r="V50" i="30"/>
  <c r="O50" i="30"/>
  <c r="M50" i="30"/>
  <c r="N50" i="30" s="1"/>
  <c r="K50" i="30"/>
  <c r="G50" i="30"/>
  <c r="AD49" i="30"/>
  <c r="H21" i="29" s="1"/>
  <c r="Z49" i="30"/>
  <c r="H19" i="29" s="1"/>
  <c r="Y49" i="30"/>
  <c r="O49" i="30"/>
  <c r="K49" i="30"/>
  <c r="H13" i="29" s="1"/>
  <c r="V48" i="30"/>
  <c r="U48" i="30"/>
  <c r="O48" i="30"/>
  <c r="M48" i="30"/>
  <c r="AF48" i="30" s="1"/>
  <c r="K48" i="30"/>
  <c r="G48" i="30"/>
  <c r="AF47" i="30"/>
  <c r="AE47" i="30"/>
  <c r="V47" i="30"/>
  <c r="U47" i="30"/>
  <c r="O47" i="30"/>
  <c r="M47" i="30"/>
  <c r="N47" i="30" s="1"/>
  <c r="K47" i="30"/>
  <c r="G47" i="30"/>
  <c r="V46" i="30"/>
  <c r="U46" i="30"/>
  <c r="O46" i="30"/>
  <c r="N46" i="30"/>
  <c r="Q46" i="30" s="1"/>
  <c r="M46" i="30"/>
  <c r="AF46" i="30" s="1"/>
  <c r="K46" i="30"/>
  <c r="G46" i="30"/>
  <c r="V45" i="30"/>
  <c r="M45" i="30" s="1"/>
  <c r="O45" i="30"/>
  <c r="K45" i="30"/>
  <c r="G45" i="30"/>
  <c r="AD44" i="30"/>
  <c r="L21" i="29" s="1"/>
  <c r="Z44" i="30"/>
  <c r="L19" i="29" s="1"/>
  <c r="Y44" i="30"/>
  <c r="O44" i="30"/>
  <c r="K44" i="30"/>
  <c r="L13" i="29" s="1"/>
  <c r="V43" i="30"/>
  <c r="M43" i="30" s="1"/>
  <c r="U43" i="30"/>
  <c r="O43" i="30"/>
  <c r="K43" i="30"/>
  <c r="G43" i="30"/>
  <c r="X42" i="30"/>
  <c r="W42" i="30"/>
  <c r="V42" i="30"/>
  <c r="M42" i="30" s="1"/>
  <c r="U42" i="30"/>
  <c r="O42" i="30"/>
  <c r="K42" i="30"/>
  <c r="G42" i="30"/>
  <c r="V41" i="30"/>
  <c r="U41" i="30"/>
  <c r="O41" i="30"/>
  <c r="M41" i="30"/>
  <c r="AF41" i="30" s="1"/>
  <c r="K41" i="30"/>
  <c r="G41" i="30"/>
  <c r="AF40" i="30"/>
  <c r="AE40" i="30"/>
  <c r="V40" i="30"/>
  <c r="U40" i="30"/>
  <c r="O40" i="30"/>
  <c r="M40" i="30"/>
  <c r="N40" i="30" s="1"/>
  <c r="K40" i="30"/>
  <c r="G40" i="30"/>
  <c r="V39" i="30"/>
  <c r="U39" i="30"/>
  <c r="O39" i="30"/>
  <c r="N39" i="30"/>
  <c r="Q39" i="30" s="1"/>
  <c r="M39" i="30"/>
  <c r="AF39" i="30" s="1"/>
  <c r="K39" i="30"/>
  <c r="G39" i="30"/>
  <c r="X38" i="30"/>
  <c r="W38" i="30"/>
  <c r="V38" i="30"/>
  <c r="M38" i="30" s="1"/>
  <c r="O38" i="30"/>
  <c r="K38" i="30"/>
  <c r="G38" i="30"/>
  <c r="AD37" i="30"/>
  <c r="K21" i="29" s="1"/>
  <c r="Z37" i="30"/>
  <c r="Y37" i="30"/>
  <c r="O37" i="30"/>
  <c r="K37" i="30"/>
  <c r="K13" i="29" s="1"/>
  <c r="I6" i="29" s="1"/>
  <c r="AF36" i="30"/>
  <c r="AE36" i="30"/>
  <c r="V36" i="30"/>
  <c r="U36" i="30"/>
  <c r="O36" i="30"/>
  <c r="M36" i="30"/>
  <c r="N36" i="30" s="1"/>
  <c r="K36" i="30"/>
  <c r="G36" i="30"/>
  <c r="X35" i="30"/>
  <c r="W35" i="30"/>
  <c r="V35" i="30"/>
  <c r="U35" i="30"/>
  <c r="O35" i="30"/>
  <c r="M35" i="30"/>
  <c r="AF35" i="30" s="1"/>
  <c r="K35" i="30"/>
  <c r="G35" i="30"/>
  <c r="V34" i="30"/>
  <c r="U34" i="30"/>
  <c r="O34" i="30"/>
  <c r="N34" i="30"/>
  <c r="Q34" i="30" s="1"/>
  <c r="M34" i="30"/>
  <c r="AF34" i="30" s="1"/>
  <c r="K34" i="30"/>
  <c r="G34" i="30"/>
  <c r="V33" i="30"/>
  <c r="M33" i="30" s="1"/>
  <c r="U33" i="30"/>
  <c r="O33" i="30"/>
  <c r="K33" i="30"/>
  <c r="G33" i="30"/>
  <c r="V32" i="30"/>
  <c r="U32" i="30"/>
  <c r="O32" i="30"/>
  <c r="M32" i="30"/>
  <c r="AE32" i="30" s="1"/>
  <c r="K32" i="30"/>
  <c r="G32" i="30"/>
  <c r="AF31" i="30"/>
  <c r="AE31" i="30"/>
  <c r="X31" i="30"/>
  <c r="W31" i="30"/>
  <c r="V31" i="30"/>
  <c r="O31" i="30"/>
  <c r="M31" i="30"/>
  <c r="N31" i="30" s="1"/>
  <c r="K31" i="30"/>
  <c r="G31" i="30"/>
  <c r="AD30" i="30"/>
  <c r="G21" i="29" s="1"/>
  <c r="Z30" i="30"/>
  <c r="G19" i="29" s="1"/>
  <c r="Y30" i="30"/>
  <c r="G18" i="29" s="1"/>
  <c r="O30" i="30"/>
  <c r="K30" i="30"/>
  <c r="V29" i="30"/>
  <c r="U29" i="30"/>
  <c r="O29" i="30"/>
  <c r="M29" i="30"/>
  <c r="AF29" i="30" s="1"/>
  <c r="K29" i="30"/>
  <c r="G29" i="30"/>
  <c r="AF28" i="30"/>
  <c r="AE28" i="30"/>
  <c r="V28" i="30"/>
  <c r="U28" i="30"/>
  <c r="O28" i="30"/>
  <c r="M28" i="30"/>
  <c r="N28" i="30" s="1"/>
  <c r="K28" i="30"/>
  <c r="G28" i="30"/>
  <c r="V27" i="30"/>
  <c r="U27" i="30"/>
  <c r="O27" i="30"/>
  <c r="N27" i="30"/>
  <c r="Q27" i="30" s="1"/>
  <c r="M27" i="30"/>
  <c r="AF27" i="30" s="1"/>
  <c r="K27" i="30"/>
  <c r="G27" i="30"/>
  <c r="V26" i="30"/>
  <c r="M26" i="30" s="1"/>
  <c r="U26" i="30"/>
  <c r="O26" i="30"/>
  <c r="K26" i="30"/>
  <c r="G26" i="30"/>
  <c r="V25" i="30"/>
  <c r="U25" i="30"/>
  <c r="O25" i="30"/>
  <c r="M25" i="30"/>
  <c r="AE25" i="30" s="1"/>
  <c r="K25" i="30"/>
  <c r="G25" i="30"/>
  <c r="V24" i="30"/>
  <c r="M24" i="30" s="1"/>
  <c r="O24" i="30"/>
  <c r="K24" i="30"/>
  <c r="G24" i="30"/>
  <c r="AD23" i="30"/>
  <c r="Z23" i="30"/>
  <c r="Y23" i="30"/>
  <c r="F18" i="29" s="1"/>
  <c r="O23" i="30"/>
  <c r="K23" i="30"/>
  <c r="AF22" i="30"/>
  <c r="AE22" i="30"/>
  <c r="V22" i="30"/>
  <c r="U22" i="30"/>
  <c r="O22" i="30"/>
  <c r="M22" i="30"/>
  <c r="N22" i="30" s="1"/>
  <c r="K22" i="30"/>
  <c r="G22" i="30"/>
  <c r="X21" i="30"/>
  <c r="W21" i="30"/>
  <c r="V21" i="30"/>
  <c r="U21" i="30"/>
  <c r="O21" i="30"/>
  <c r="M21" i="30"/>
  <c r="AF21" i="30" s="1"/>
  <c r="K21" i="30"/>
  <c r="G21" i="30"/>
  <c r="V20" i="30"/>
  <c r="U20" i="30"/>
  <c r="O20" i="30"/>
  <c r="N20" i="30"/>
  <c r="Q20" i="30" s="1"/>
  <c r="M20" i="30"/>
  <c r="AF20" i="30" s="1"/>
  <c r="K20" i="30"/>
  <c r="G20" i="30"/>
  <c r="V19" i="30"/>
  <c r="M19" i="30" s="1"/>
  <c r="U19" i="30"/>
  <c r="O19" i="30"/>
  <c r="K19" i="30"/>
  <c r="G19" i="30"/>
  <c r="V18" i="30"/>
  <c r="U18" i="30"/>
  <c r="O18" i="30"/>
  <c r="M18" i="30"/>
  <c r="AE18" i="30" s="1"/>
  <c r="K18" i="30"/>
  <c r="G18" i="30"/>
  <c r="V17" i="30"/>
  <c r="M17" i="30" s="1"/>
  <c r="U17" i="30"/>
  <c r="O17" i="30"/>
  <c r="K17" i="30"/>
  <c r="G17" i="30"/>
  <c r="V16" i="30"/>
  <c r="U16" i="30"/>
  <c r="O16" i="30"/>
  <c r="M16" i="30"/>
  <c r="AF16" i="30" s="1"/>
  <c r="K16" i="30"/>
  <c r="G16" i="30"/>
  <c r="AF15" i="30"/>
  <c r="AE15" i="30"/>
  <c r="V15" i="30"/>
  <c r="O15" i="30"/>
  <c r="M15" i="30"/>
  <c r="N15" i="30" s="1"/>
  <c r="K15" i="30"/>
  <c r="G15" i="30"/>
  <c r="AD14" i="30"/>
  <c r="AD2" i="30" s="1"/>
  <c r="N6" i="29" s="1"/>
  <c r="Z14" i="30"/>
  <c r="Z2" i="30" s="1"/>
  <c r="L6" i="29" s="1"/>
  <c r="Y14" i="30"/>
  <c r="E18" i="29" s="1"/>
  <c r="O14" i="30"/>
  <c r="K14" i="30"/>
  <c r="V13" i="30"/>
  <c r="U13" i="30"/>
  <c r="O13" i="30"/>
  <c r="M13" i="30"/>
  <c r="AF13" i="30" s="1"/>
  <c r="K13" i="30"/>
  <c r="G13" i="30"/>
  <c r="X12" i="30"/>
  <c r="W12" i="30"/>
  <c r="V12" i="30"/>
  <c r="M12" i="30" s="1"/>
  <c r="U12" i="30"/>
  <c r="O12" i="30"/>
  <c r="K12" i="30"/>
  <c r="G12" i="30"/>
  <c r="V11" i="30"/>
  <c r="U11" i="30"/>
  <c r="O11" i="30"/>
  <c r="M11" i="30"/>
  <c r="AE11" i="30" s="1"/>
  <c r="K11" i="30"/>
  <c r="G11" i="30"/>
  <c r="F1" i="30" s="1"/>
  <c r="V10" i="30"/>
  <c r="M10" i="30" s="1"/>
  <c r="U10" i="30"/>
  <c r="O10" i="30"/>
  <c r="K10" i="30"/>
  <c r="G10" i="30"/>
  <c r="X9" i="30"/>
  <c r="W9" i="30"/>
  <c r="V9" i="30"/>
  <c r="M9" i="30" s="1"/>
  <c r="O9" i="30"/>
  <c r="K9" i="30"/>
  <c r="G9" i="30"/>
  <c r="AD8" i="30"/>
  <c r="Z8" i="30"/>
  <c r="Y8" i="30"/>
  <c r="O8" i="30"/>
  <c r="K8" i="30"/>
  <c r="AF7" i="30"/>
  <c r="AE7" i="30"/>
  <c r="V7" i="30"/>
  <c r="U7" i="30"/>
  <c r="O7" i="30"/>
  <c r="M7" i="30"/>
  <c r="N7" i="30" s="1"/>
  <c r="K7" i="30"/>
  <c r="G7" i="30"/>
  <c r="V6" i="30"/>
  <c r="U6" i="30"/>
  <c r="O6" i="30"/>
  <c r="N6" i="30"/>
  <c r="Q6" i="30" s="1"/>
  <c r="M6" i="30"/>
  <c r="AF6" i="30" s="1"/>
  <c r="K6" i="30"/>
  <c r="G6" i="30"/>
  <c r="V5" i="30"/>
  <c r="M5" i="30" s="1"/>
  <c r="O5" i="30"/>
  <c r="K5" i="30"/>
  <c r="G5" i="30"/>
  <c r="H2" i="30"/>
  <c r="H1" i="30"/>
  <c r="D1" i="30"/>
  <c r="M22" i="29"/>
  <c r="L22" i="29"/>
  <c r="K22" i="29"/>
  <c r="J22" i="29"/>
  <c r="I22" i="29"/>
  <c r="H22" i="29"/>
  <c r="G22" i="29"/>
  <c r="F22" i="29"/>
  <c r="E22" i="29"/>
  <c r="D22" i="29"/>
  <c r="M21" i="29"/>
  <c r="F21" i="29"/>
  <c r="E21" i="29"/>
  <c r="D21" i="29"/>
  <c r="M20" i="29"/>
  <c r="L20" i="29"/>
  <c r="K20" i="29"/>
  <c r="J20" i="29"/>
  <c r="I20" i="29"/>
  <c r="H20" i="29"/>
  <c r="G20" i="29"/>
  <c r="F20" i="29"/>
  <c r="E20" i="29"/>
  <c r="D20" i="29"/>
  <c r="M19" i="29"/>
  <c r="K19" i="29"/>
  <c r="F19" i="29"/>
  <c r="E19" i="29"/>
  <c r="D19" i="29"/>
  <c r="M18" i="29"/>
  <c r="L18" i="29"/>
  <c r="K18" i="29"/>
  <c r="J18" i="29"/>
  <c r="I18" i="29"/>
  <c r="H18" i="29"/>
  <c r="D18" i="29"/>
  <c r="M17" i="29"/>
  <c r="L17" i="29"/>
  <c r="K17" i="29"/>
  <c r="J17" i="29"/>
  <c r="I17" i="29"/>
  <c r="H17" i="29"/>
  <c r="G17" i="29"/>
  <c r="F17" i="29"/>
  <c r="E17" i="29"/>
  <c r="D17" i="29"/>
  <c r="M16" i="29"/>
  <c r="L16" i="29"/>
  <c r="K16" i="29"/>
  <c r="J16" i="29"/>
  <c r="I16" i="29"/>
  <c r="H16" i="29"/>
  <c r="G16" i="29"/>
  <c r="F16" i="29"/>
  <c r="E16" i="29"/>
  <c r="D16" i="29"/>
  <c r="M13" i="29"/>
  <c r="J13" i="29"/>
  <c r="G13" i="29"/>
  <c r="F13" i="29"/>
  <c r="E13" i="29"/>
  <c r="D13" i="29"/>
  <c r="M6" i="29"/>
  <c r="F3" i="29"/>
  <c r="C3" i="29"/>
  <c r="E8" i="39" l="1"/>
  <c r="D15" i="37"/>
  <c r="G7" i="37"/>
  <c r="F7" i="37"/>
  <c r="E7" i="37"/>
  <c r="I7" i="37"/>
  <c r="K15" i="37"/>
  <c r="I8" i="37" s="1"/>
  <c r="Q16" i="36"/>
  <c r="R10" i="36" s="1"/>
  <c r="P16" i="36"/>
  <c r="E14" i="35"/>
  <c r="E15" i="35" s="1"/>
  <c r="P79" i="36"/>
  <c r="M14" i="35"/>
  <c r="M15" i="35" s="1"/>
  <c r="Q79" i="36"/>
  <c r="R71" i="36" s="1"/>
  <c r="Q33" i="36"/>
  <c r="R25" i="36" s="1"/>
  <c r="P33" i="36"/>
  <c r="G14" i="35"/>
  <c r="G15" i="35" s="1"/>
  <c r="Q55" i="36"/>
  <c r="R51" i="36" s="1"/>
  <c r="P55" i="36"/>
  <c r="H14" i="35"/>
  <c r="H15" i="35" s="1"/>
  <c r="L15" i="35"/>
  <c r="F14" i="35"/>
  <c r="F15" i="35" s="1"/>
  <c r="Q24" i="36"/>
  <c r="R17" i="36" s="1"/>
  <c r="P24" i="36"/>
  <c r="Q9" i="36"/>
  <c r="R5" i="36" s="1"/>
  <c r="P9" i="36"/>
  <c r="D2" i="36"/>
  <c r="D14" i="35"/>
  <c r="P65" i="36"/>
  <c r="Q65" i="36"/>
  <c r="R56" i="36" s="1"/>
  <c r="I14" i="35"/>
  <c r="I15" i="35" s="1"/>
  <c r="G14" i="31"/>
  <c r="G15" i="31" s="1"/>
  <c r="Q33" i="32"/>
  <c r="R25" i="32" s="1"/>
  <c r="P33" i="32"/>
  <c r="Q44" i="32"/>
  <c r="P44" i="32"/>
  <c r="Q54" i="32"/>
  <c r="P54" i="32"/>
  <c r="Q61" i="32"/>
  <c r="P61" i="32"/>
  <c r="P32" i="32"/>
  <c r="Q32" i="32"/>
  <c r="Q72" i="32"/>
  <c r="P72" i="32"/>
  <c r="P25" i="32"/>
  <c r="Q25" i="32"/>
  <c r="AF42" i="32"/>
  <c r="AG34" i="32" s="1"/>
  <c r="AE42" i="32"/>
  <c r="N42" i="32"/>
  <c r="P59" i="32"/>
  <c r="Q59" i="32"/>
  <c r="P37" i="32"/>
  <c r="Q37" i="32"/>
  <c r="F14" i="31"/>
  <c r="F15" i="31" s="1"/>
  <c r="P24" i="32"/>
  <c r="Q24" i="32"/>
  <c r="R17" i="32" s="1"/>
  <c r="Q16" i="32"/>
  <c r="R10" i="32" s="1"/>
  <c r="E14" i="31"/>
  <c r="E15" i="31" s="1"/>
  <c r="P16" i="32"/>
  <c r="Q57" i="32"/>
  <c r="P57" i="32"/>
  <c r="AF51" i="32"/>
  <c r="AG43" i="32" s="1"/>
  <c r="AE51" i="32"/>
  <c r="N51" i="32"/>
  <c r="N71" i="32"/>
  <c r="AE71" i="32"/>
  <c r="AF71" i="32"/>
  <c r="AG67" i="32" s="1"/>
  <c r="P67" i="32"/>
  <c r="Q67" i="32"/>
  <c r="Q73" i="32"/>
  <c r="P73" i="32"/>
  <c r="Q74" i="32"/>
  <c r="P74" i="32"/>
  <c r="Q77" i="32"/>
  <c r="P77" i="32"/>
  <c r="AF9" i="32"/>
  <c r="AG5" i="32" s="1"/>
  <c r="AE9" i="32"/>
  <c r="N9" i="32"/>
  <c r="AF66" i="32"/>
  <c r="AG57" i="32" s="1"/>
  <c r="AE66" i="32"/>
  <c r="N66" i="32"/>
  <c r="Q28" i="32"/>
  <c r="P28" i="32"/>
  <c r="Q17" i="32"/>
  <c r="P17" i="32"/>
  <c r="Q70" i="32"/>
  <c r="P70" i="32"/>
  <c r="P38" i="32"/>
  <c r="Q38" i="32"/>
  <c r="Q50" i="32"/>
  <c r="P50" i="32"/>
  <c r="Q5" i="32"/>
  <c r="P5" i="32"/>
  <c r="Q68" i="32"/>
  <c r="P68" i="32"/>
  <c r="Q60" i="32"/>
  <c r="P60" i="32"/>
  <c r="AF56" i="32"/>
  <c r="AG52" i="32" s="1"/>
  <c r="AE56" i="32"/>
  <c r="N56" i="32"/>
  <c r="Q52" i="32"/>
  <c r="P52" i="32"/>
  <c r="Q75" i="32"/>
  <c r="P75" i="32"/>
  <c r="Q14" i="32"/>
  <c r="P14" i="32"/>
  <c r="AF81" i="32"/>
  <c r="AG72" i="32" s="1"/>
  <c r="AE81" i="32"/>
  <c r="N81" i="32"/>
  <c r="Q36" i="30"/>
  <c r="P36" i="30"/>
  <c r="G6" i="29"/>
  <c r="F2" i="30"/>
  <c r="I3" i="29"/>
  <c r="N17" i="30"/>
  <c r="AF17" i="30"/>
  <c r="M23" i="30"/>
  <c r="AE17" i="30"/>
  <c r="N63" i="30"/>
  <c r="AE63" i="30"/>
  <c r="AF63" i="30"/>
  <c r="AG59" i="30" s="1"/>
  <c r="Q15" i="30"/>
  <c r="P15" i="30"/>
  <c r="Q50" i="30"/>
  <c r="P50" i="30"/>
  <c r="N66" i="30"/>
  <c r="AF66" i="30"/>
  <c r="AE66" i="30"/>
  <c r="P47" i="30"/>
  <c r="Q47" i="30"/>
  <c r="N43" i="30"/>
  <c r="AF43" i="30"/>
  <c r="AE43" i="30"/>
  <c r="P70" i="30"/>
  <c r="Q70" i="30"/>
  <c r="N12" i="30"/>
  <c r="AF12" i="30"/>
  <c r="AE12" i="30"/>
  <c r="Q22" i="30"/>
  <c r="P22" i="30"/>
  <c r="N10" i="30"/>
  <c r="AF10" i="30"/>
  <c r="AE10" i="30"/>
  <c r="N33" i="30"/>
  <c r="AE33" i="30"/>
  <c r="M37" i="30"/>
  <c r="AF33" i="30"/>
  <c r="AE42" i="30"/>
  <c r="AF42" i="30"/>
  <c r="N42" i="30"/>
  <c r="N52" i="30"/>
  <c r="AE52" i="30"/>
  <c r="AF52" i="30"/>
  <c r="N5" i="30"/>
  <c r="AF5" i="30"/>
  <c r="M8" i="30"/>
  <c r="AE5" i="30"/>
  <c r="AE9" i="30"/>
  <c r="N9" i="30"/>
  <c r="AF9" i="30"/>
  <c r="M14" i="30"/>
  <c r="N19" i="30"/>
  <c r="AE19" i="30"/>
  <c r="AF19" i="30"/>
  <c r="N26" i="30"/>
  <c r="AE26" i="30"/>
  <c r="AF26" i="30"/>
  <c r="N61" i="30"/>
  <c r="AE61" i="30"/>
  <c r="AF61" i="30"/>
  <c r="Q31" i="30"/>
  <c r="P31" i="30"/>
  <c r="N54" i="30"/>
  <c r="AE54" i="30"/>
  <c r="AF54" i="30"/>
  <c r="N38" i="30"/>
  <c r="M44" i="30"/>
  <c r="AF38" i="30"/>
  <c r="AE38" i="30"/>
  <c r="N45" i="30"/>
  <c r="AF45" i="30"/>
  <c r="M49" i="30"/>
  <c r="AE45" i="30"/>
  <c r="N68" i="30"/>
  <c r="AF68" i="30"/>
  <c r="AE68" i="30"/>
  <c r="P56" i="30"/>
  <c r="Q56" i="30"/>
  <c r="N24" i="30"/>
  <c r="AE24" i="30"/>
  <c r="M30" i="30"/>
  <c r="AF24" i="30"/>
  <c r="Q28" i="30"/>
  <c r="P28" i="30"/>
  <c r="P40" i="30"/>
  <c r="Q40" i="30"/>
  <c r="Q7" i="30"/>
  <c r="P7" i="30"/>
  <c r="N65" i="30"/>
  <c r="N21" i="30"/>
  <c r="N35" i="30"/>
  <c r="M58" i="30"/>
  <c r="N16" i="30"/>
  <c r="N51" i="30"/>
  <c r="N60" i="30"/>
  <c r="N67" i="30"/>
  <c r="AE21" i="30"/>
  <c r="AE35" i="30"/>
  <c r="N11" i="30"/>
  <c r="N18" i="30"/>
  <c r="N25" i="30"/>
  <c r="N32" i="30"/>
  <c r="N53" i="30"/>
  <c r="N62" i="30"/>
  <c r="N69" i="30"/>
  <c r="E6" i="29"/>
  <c r="AE65" i="30"/>
  <c r="M71" i="30"/>
  <c r="F6" i="29"/>
  <c r="P6" i="30"/>
  <c r="N13" i="30"/>
  <c r="AE16" i="30"/>
  <c r="P20" i="30"/>
  <c r="P27" i="30"/>
  <c r="N29" i="30"/>
  <c r="P34" i="30"/>
  <c r="P39" i="30"/>
  <c r="N41" i="30"/>
  <c r="P46" i="30"/>
  <c r="N48" i="30"/>
  <c r="AE51" i="30"/>
  <c r="P55" i="30"/>
  <c r="N57" i="30"/>
  <c r="AE60" i="30"/>
  <c r="P64" i="30"/>
  <c r="AE67" i="30"/>
  <c r="AF11" i="30"/>
  <c r="AF18" i="30"/>
  <c r="AF25" i="30"/>
  <c r="AF32" i="30"/>
  <c r="AF53" i="30"/>
  <c r="AF62" i="30"/>
  <c r="Y2" i="30"/>
  <c r="K6" i="29" s="1"/>
  <c r="AE6" i="30"/>
  <c r="AE20" i="30"/>
  <c r="AE27" i="30"/>
  <c r="AE34" i="30"/>
  <c r="AE39" i="30"/>
  <c r="AE46" i="30"/>
  <c r="AE55" i="30"/>
  <c r="AE69" i="30"/>
  <c r="N59" i="30"/>
  <c r="AE13" i="30"/>
  <c r="AE29" i="30"/>
  <c r="AE41" i="30"/>
  <c r="AE48" i="30"/>
  <c r="AE57" i="30"/>
  <c r="AE64" i="30"/>
  <c r="AD67" i="20"/>
  <c r="Z67" i="20"/>
  <c r="Y67" i="20"/>
  <c r="O67" i="20"/>
  <c r="M67" i="20"/>
  <c r="N67" i="20" s="1"/>
  <c r="K67" i="20"/>
  <c r="AF66" i="20"/>
  <c r="V66" i="20"/>
  <c r="U66" i="20"/>
  <c r="O66" i="20"/>
  <c r="N66" i="20"/>
  <c r="M66" i="20"/>
  <c r="AE66" i="20" s="1"/>
  <c r="K66" i="20"/>
  <c r="G66" i="20"/>
  <c r="AE65" i="20"/>
  <c r="V65" i="20"/>
  <c r="U65" i="20"/>
  <c r="O65" i="20"/>
  <c r="N65" i="20"/>
  <c r="M65" i="20"/>
  <c r="AF65" i="20" s="1"/>
  <c r="K65" i="20"/>
  <c r="G65" i="20"/>
  <c r="AF64" i="20"/>
  <c r="V64" i="20"/>
  <c r="U64" i="20"/>
  <c r="O64" i="20"/>
  <c r="M64" i="20"/>
  <c r="K64" i="20"/>
  <c r="G64" i="20"/>
  <c r="AF63" i="20"/>
  <c r="AE63" i="20"/>
  <c r="V63" i="20"/>
  <c r="U63" i="20"/>
  <c r="O63" i="20"/>
  <c r="M63" i="20"/>
  <c r="N63" i="20" s="1"/>
  <c r="K63" i="20"/>
  <c r="G63" i="20"/>
  <c r="AF62" i="20"/>
  <c r="AE62" i="20"/>
  <c r="V62" i="20"/>
  <c r="M62" i="20" s="1"/>
  <c r="N62" i="20" s="1"/>
  <c r="P62" i="20" s="1"/>
  <c r="U62" i="20"/>
  <c r="Q62" i="20"/>
  <c r="O62" i="20"/>
  <c r="K62" i="20"/>
  <c r="G62" i="20"/>
  <c r="AF61" i="20"/>
  <c r="AE61" i="20"/>
  <c r="X61" i="20"/>
  <c r="W61" i="20"/>
  <c r="V61" i="20"/>
  <c r="O61" i="20"/>
  <c r="M61" i="20"/>
  <c r="N61" i="20" s="1"/>
  <c r="K61" i="20"/>
  <c r="G61" i="20"/>
  <c r="AF60" i="20"/>
  <c r="AG56" i="20" s="1"/>
  <c r="AD60" i="20"/>
  <c r="J21" i="19" s="1"/>
  <c r="Z60" i="20"/>
  <c r="Y60" i="20"/>
  <c r="O60" i="20"/>
  <c r="M60" i="20"/>
  <c r="N60" i="20" s="1"/>
  <c r="K60" i="20"/>
  <c r="AF59" i="20"/>
  <c r="AE59" i="20"/>
  <c r="V59" i="20"/>
  <c r="M59" i="20" s="1"/>
  <c r="N59" i="20" s="1"/>
  <c r="P59" i="20" s="1"/>
  <c r="U59" i="20"/>
  <c r="Q59" i="20"/>
  <c r="O59" i="20"/>
  <c r="K59" i="20"/>
  <c r="G59" i="20"/>
  <c r="AF58" i="20"/>
  <c r="AE58" i="20"/>
  <c r="V58" i="20"/>
  <c r="M58" i="20" s="1"/>
  <c r="N58" i="20" s="1"/>
  <c r="U58" i="20"/>
  <c r="Q58" i="20"/>
  <c r="P58" i="20"/>
  <c r="O58" i="20"/>
  <c r="K58" i="20"/>
  <c r="G58" i="20"/>
  <c r="AF57" i="20"/>
  <c r="AE57" i="20"/>
  <c r="V57" i="20"/>
  <c r="M57" i="20" s="1"/>
  <c r="N57" i="20" s="1"/>
  <c r="U57" i="20"/>
  <c r="Q57" i="20"/>
  <c r="P57" i="20"/>
  <c r="O57" i="20"/>
  <c r="K57" i="20"/>
  <c r="G57" i="20"/>
  <c r="AF56" i="20"/>
  <c r="AE56" i="20"/>
  <c r="V56" i="20"/>
  <c r="M56" i="20" s="1"/>
  <c r="N56" i="20" s="1"/>
  <c r="Q56" i="20"/>
  <c r="P56" i="20"/>
  <c r="O56" i="20"/>
  <c r="K56" i="20"/>
  <c r="G56" i="20"/>
  <c r="AD55" i="20"/>
  <c r="Z55" i="20"/>
  <c r="I19" i="19" s="1"/>
  <c r="Y55" i="20"/>
  <c r="Q55" i="20"/>
  <c r="R48" i="20" s="1"/>
  <c r="O55" i="20"/>
  <c r="K55" i="20"/>
  <c r="AE54" i="20"/>
  <c r="V54" i="20"/>
  <c r="U54" i="20"/>
  <c r="O54" i="20"/>
  <c r="N54" i="20"/>
  <c r="Q54" i="20" s="1"/>
  <c r="M54" i="20"/>
  <c r="AF54" i="20" s="1"/>
  <c r="K54" i="20"/>
  <c r="G54" i="20"/>
  <c r="V53" i="20"/>
  <c r="U53" i="20"/>
  <c r="P53" i="20"/>
  <c r="O53" i="20"/>
  <c r="N53" i="20"/>
  <c r="Q53" i="20" s="1"/>
  <c r="M53" i="20"/>
  <c r="K53" i="20"/>
  <c r="G53" i="20"/>
  <c r="V52" i="20"/>
  <c r="U52" i="20"/>
  <c r="Q52" i="20"/>
  <c r="O52" i="20"/>
  <c r="N52" i="20"/>
  <c r="P52" i="20" s="1"/>
  <c r="M52" i="20"/>
  <c r="K52" i="20"/>
  <c r="G52" i="20"/>
  <c r="V51" i="20"/>
  <c r="U51" i="20"/>
  <c r="Q51" i="20"/>
  <c r="P51" i="20"/>
  <c r="O51" i="20"/>
  <c r="N51" i="20"/>
  <c r="M51" i="20"/>
  <c r="K51" i="20"/>
  <c r="G51" i="20"/>
  <c r="AF50" i="20"/>
  <c r="V50" i="20"/>
  <c r="U50" i="20"/>
  <c r="O50" i="20"/>
  <c r="N50" i="20"/>
  <c r="Q50" i="20" s="1"/>
  <c r="M50" i="20"/>
  <c r="AE50" i="20" s="1"/>
  <c r="K50" i="20"/>
  <c r="G50" i="20"/>
  <c r="AF49" i="20"/>
  <c r="AE49" i="20"/>
  <c r="V49" i="20"/>
  <c r="U49" i="20"/>
  <c r="O49" i="20"/>
  <c r="N49" i="20"/>
  <c r="M49" i="20"/>
  <c r="K49" i="20"/>
  <c r="G49" i="20"/>
  <c r="AF48" i="20"/>
  <c r="AE48" i="20"/>
  <c r="V48" i="20"/>
  <c r="O48" i="20"/>
  <c r="N48" i="20"/>
  <c r="M48" i="20"/>
  <c r="M55" i="20" s="1"/>
  <c r="N55" i="20" s="1"/>
  <c r="I14" i="19" s="1"/>
  <c r="I15" i="19" s="1"/>
  <c r="K48" i="20"/>
  <c r="G48" i="20"/>
  <c r="AF47" i="20"/>
  <c r="AG43" i="20" s="1"/>
  <c r="AE47" i="20"/>
  <c r="AD47" i="20"/>
  <c r="Z47" i="20"/>
  <c r="Y47" i="20"/>
  <c r="O47" i="20"/>
  <c r="M47" i="20"/>
  <c r="N47" i="20" s="1"/>
  <c r="K47" i="20"/>
  <c r="AF46" i="20"/>
  <c r="AE46" i="20"/>
  <c r="V46" i="20"/>
  <c r="U46" i="20"/>
  <c r="O46" i="20"/>
  <c r="M46" i="20"/>
  <c r="N46" i="20" s="1"/>
  <c r="K46" i="20"/>
  <c r="G46" i="20"/>
  <c r="AF45" i="20"/>
  <c r="AE45" i="20"/>
  <c r="V45" i="20"/>
  <c r="M45" i="20" s="1"/>
  <c r="N45" i="20" s="1"/>
  <c r="P45" i="20" s="1"/>
  <c r="U45" i="20"/>
  <c r="Q45" i="20"/>
  <c r="O45" i="20"/>
  <c r="K45" i="20"/>
  <c r="G45" i="20"/>
  <c r="AF44" i="20"/>
  <c r="AE44" i="20"/>
  <c r="V44" i="20"/>
  <c r="M44" i="20" s="1"/>
  <c r="N44" i="20" s="1"/>
  <c r="U44" i="20"/>
  <c r="Q44" i="20"/>
  <c r="P44" i="20"/>
  <c r="O44" i="20"/>
  <c r="K44" i="20"/>
  <c r="G44" i="20"/>
  <c r="AF43" i="20"/>
  <c r="AE43" i="20"/>
  <c r="V43" i="20"/>
  <c r="M43" i="20" s="1"/>
  <c r="N43" i="20" s="1"/>
  <c r="Q43" i="20"/>
  <c r="P43" i="20"/>
  <c r="O43" i="20"/>
  <c r="K43" i="20"/>
  <c r="G43" i="20"/>
  <c r="AD42" i="20"/>
  <c r="L21" i="19" s="1"/>
  <c r="Z42" i="20"/>
  <c r="Y42" i="20"/>
  <c r="O42" i="20"/>
  <c r="K42" i="20"/>
  <c r="AF41" i="20"/>
  <c r="AE41" i="20"/>
  <c r="V41" i="20"/>
  <c r="M41" i="20" s="1"/>
  <c r="U41" i="20"/>
  <c r="Q41" i="20"/>
  <c r="P41" i="20"/>
  <c r="O41" i="20"/>
  <c r="N41" i="20"/>
  <c r="K41" i="20"/>
  <c r="G41" i="20"/>
  <c r="AE40" i="20"/>
  <c r="X40" i="20"/>
  <c r="W40" i="20"/>
  <c r="V40" i="20"/>
  <c r="M40" i="20" s="1"/>
  <c r="U40" i="20"/>
  <c r="O40" i="20"/>
  <c r="K40" i="20"/>
  <c r="G40" i="20"/>
  <c r="AF39" i="20"/>
  <c r="AE39" i="20"/>
  <c r="V39" i="20"/>
  <c r="M39" i="20" s="1"/>
  <c r="U39" i="20"/>
  <c r="Q39" i="20"/>
  <c r="O39" i="20"/>
  <c r="N39" i="20"/>
  <c r="P39" i="20" s="1"/>
  <c r="K39" i="20"/>
  <c r="G39" i="20"/>
  <c r="AE38" i="20"/>
  <c r="V38" i="20"/>
  <c r="U38" i="20"/>
  <c r="Q38" i="20"/>
  <c r="P38" i="20"/>
  <c r="O38" i="20"/>
  <c r="N38" i="20"/>
  <c r="M38" i="20"/>
  <c r="AF38" i="20" s="1"/>
  <c r="K38" i="20"/>
  <c r="G38" i="20"/>
  <c r="V37" i="20"/>
  <c r="U37" i="20"/>
  <c r="O37" i="20"/>
  <c r="N37" i="20"/>
  <c r="Q37" i="20" s="1"/>
  <c r="M37" i="20"/>
  <c r="K37" i="20"/>
  <c r="G37" i="20"/>
  <c r="X36" i="20"/>
  <c r="W36" i="20"/>
  <c r="V36" i="20"/>
  <c r="M36" i="20" s="1"/>
  <c r="Q36" i="20"/>
  <c r="P36" i="20"/>
  <c r="O36" i="20"/>
  <c r="N36" i="20"/>
  <c r="K36" i="20"/>
  <c r="G36" i="20"/>
  <c r="AD35" i="20"/>
  <c r="K21" i="19" s="1"/>
  <c r="Z35" i="20"/>
  <c r="Y35" i="20"/>
  <c r="O35" i="20"/>
  <c r="K35" i="20"/>
  <c r="V34" i="20"/>
  <c r="U34" i="20"/>
  <c r="O34" i="20"/>
  <c r="M34" i="20"/>
  <c r="N34" i="20" s="1"/>
  <c r="K34" i="20"/>
  <c r="G34" i="20"/>
  <c r="V33" i="20"/>
  <c r="U33" i="20"/>
  <c r="O33" i="20"/>
  <c r="N33" i="20"/>
  <c r="P33" i="20" s="1"/>
  <c r="M33" i="20"/>
  <c r="K33" i="20"/>
  <c r="G33" i="20"/>
  <c r="V32" i="20"/>
  <c r="U32" i="20"/>
  <c r="Q32" i="20"/>
  <c r="O32" i="20"/>
  <c r="N32" i="20"/>
  <c r="P32" i="20" s="1"/>
  <c r="M32" i="20"/>
  <c r="K32" i="20"/>
  <c r="G32" i="20"/>
  <c r="AF31" i="20"/>
  <c r="V31" i="20"/>
  <c r="U31" i="20"/>
  <c r="O31" i="20"/>
  <c r="N31" i="20"/>
  <c r="Q31" i="20" s="1"/>
  <c r="M31" i="20"/>
  <c r="AE31" i="20" s="1"/>
  <c r="K31" i="20"/>
  <c r="G31" i="20"/>
  <c r="AF30" i="20"/>
  <c r="X30" i="20"/>
  <c r="W30" i="20"/>
  <c r="V30" i="20"/>
  <c r="O30" i="20"/>
  <c r="N30" i="20"/>
  <c r="Q30" i="20" s="1"/>
  <c r="M30" i="20"/>
  <c r="K30" i="20"/>
  <c r="G30" i="20"/>
  <c r="AD29" i="20"/>
  <c r="Z29" i="20"/>
  <c r="G19" i="19" s="1"/>
  <c r="Y29" i="20"/>
  <c r="G18" i="19" s="1"/>
  <c r="O29" i="20"/>
  <c r="M29" i="20"/>
  <c r="N29" i="20" s="1"/>
  <c r="K29" i="20"/>
  <c r="G13" i="19" s="1"/>
  <c r="AF28" i="20"/>
  <c r="V28" i="20"/>
  <c r="U28" i="20"/>
  <c r="P28" i="20"/>
  <c r="O28" i="20"/>
  <c r="N28" i="20"/>
  <c r="Q28" i="20" s="1"/>
  <c r="M28" i="20"/>
  <c r="AE28" i="20" s="1"/>
  <c r="K28" i="20"/>
  <c r="G28" i="20"/>
  <c r="AF27" i="20"/>
  <c r="AE27" i="20"/>
  <c r="V27" i="20"/>
  <c r="U27" i="20"/>
  <c r="O27" i="20"/>
  <c r="N27" i="20"/>
  <c r="M27" i="20"/>
  <c r="K27" i="20"/>
  <c r="G27" i="20"/>
  <c r="AF26" i="20"/>
  <c r="AE26" i="20"/>
  <c r="V26" i="20"/>
  <c r="U26" i="20"/>
  <c r="O26" i="20"/>
  <c r="N26" i="20"/>
  <c r="M26" i="20"/>
  <c r="K26" i="20"/>
  <c r="G26" i="20"/>
  <c r="AF25" i="20"/>
  <c r="AE25" i="20"/>
  <c r="V25" i="20"/>
  <c r="U25" i="20"/>
  <c r="O25" i="20"/>
  <c r="M25" i="20"/>
  <c r="N25" i="20" s="1"/>
  <c r="K25" i="20"/>
  <c r="G25" i="20"/>
  <c r="AF24" i="20"/>
  <c r="AE24" i="20"/>
  <c r="V24" i="20"/>
  <c r="M24" i="20" s="1"/>
  <c r="N24" i="20" s="1"/>
  <c r="P24" i="20" s="1"/>
  <c r="U24" i="20"/>
  <c r="Q24" i="20"/>
  <c r="O24" i="20"/>
  <c r="K24" i="20"/>
  <c r="G24" i="20"/>
  <c r="AF23" i="20"/>
  <c r="AE23" i="20"/>
  <c r="V23" i="20"/>
  <c r="M23" i="20" s="1"/>
  <c r="N23" i="20" s="1"/>
  <c r="P23" i="20" s="1"/>
  <c r="Q23" i="20"/>
  <c r="O23" i="20"/>
  <c r="K23" i="20"/>
  <c r="G23" i="20"/>
  <c r="AD22" i="20"/>
  <c r="Z22" i="20"/>
  <c r="F19" i="19" s="1"/>
  <c r="Y22" i="20"/>
  <c r="F18" i="19" s="1"/>
  <c r="O22" i="20"/>
  <c r="K22" i="20"/>
  <c r="F13" i="19" s="1"/>
  <c r="AF21" i="20"/>
  <c r="AE21" i="20"/>
  <c r="V21" i="20"/>
  <c r="M21" i="20" s="1"/>
  <c r="N21" i="20" s="1"/>
  <c r="U21" i="20"/>
  <c r="Q21" i="20"/>
  <c r="P21" i="20"/>
  <c r="O21" i="20"/>
  <c r="K21" i="20"/>
  <c r="G21" i="20"/>
  <c r="AF20" i="20"/>
  <c r="AE20" i="20"/>
  <c r="V20" i="20"/>
  <c r="M20" i="20" s="1"/>
  <c r="U20" i="20"/>
  <c r="Q20" i="20"/>
  <c r="P20" i="20"/>
  <c r="O20" i="20"/>
  <c r="N20" i="20"/>
  <c r="K20" i="20"/>
  <c r="G20" i="20"/>
  <c r="AE19" i="20"/>
  <c r="V19" i="20"/>
  <c r="U19" i="20"/>
  <c r="Q19" i="20"/>
  <c r="O19" i="20"/>
  <c r="N19" i="20"/>
  <c r="P19" i="20" s="1"/>
  <c r="M19" i="20"/>
  <c r="AF19" i="20" s="1"/>
  <c r="K19" i="20"/>
  <c r="G19" i="20"/>
  <c r="V18" i="20"/>
  <c r="U18" i="20"/>
  <c r="O18" i="20"/>
  <c r="N18" i="20"/>
  <c r="Q18" i="20" s="1"/>
  <c r="M18" i="20"/>
  <c r="K18" i="20"/>
  <c r="G18" i="20"/>
  <c r="V17" i="20"/>
  <c r="U17" i="20"/>
  <c r="Q17" i="20"/>
  <c r="P17" i="20"/>
  <c r="O17" i="20"/>
  <c r="N17" i="20"/>
  <c r="M17" i="20"/>
  <c r="K17" i="20"/>
  <c r="G17" i="20"/>
  <c r="V16" i="20"/>
  <c r="U16" i="20"/>
  <c r="O16" i="20"/>
  <c r="N16" i="20"/>
  <c r="P16" i="20" s="1"/>
  <c r="M16" i="20"/>
  <c r="K16" i="20"/>
  <c r="G16" i="20"/>
  <c r="AF15" i="20"/>
  <c r="V15" i="20"/>
  <c r="U15" i="20"/>
  <c r="O15" i="20"/>
  <c r="N15" i="20"/>
  <c r="Q15" i="20" s="1"/>
  <c r="M15" i="20"/>
  <c r="AE15" i="20" s="1"/>
  <c r="K15" i="20"/>
  <c r="G15" i="20"/>
  <c r="AF14" i="20"/>
  <c r="V14" i="20"/>
  <c r="O14" i="20"/>
  <c r="N14" i="20"/>
  <c r="Q14" i="20" s="1"/>
  <c r="M14" i="20"/>
  <c r="K14" i="20"/>
  <c r="G14" i="20"/>
  <c r="AF13" i="20"/>
  <c r="AG9" i="20" s="1"/>
  <c r="AE13" i="20"/>
  <c r="AD13" i="20"/>
  <c r="Z13" i="20"/>
  <c r="Y13" i="20"/>
  <c r="O13" i="20"/>
  <c r="M13" i="20"/>
  <c r="N13" i="20" s="1"/>
  <c r="K13" i="20"/>
  <c r="AF12" i="20"/>
  <c r="AE12" i="20"/>
  <c r="V12" i="20"/>
  <c r="U12" i="20"/>
  <c r="O12" i="20"/>
  <c r="N12" i="20"/>
  <c r="M12" i="20"/>
  <c r="K12" i="20"/>
  <c r="G12" i="20"/>
  <c r="AF11" i="20"/>
  <c r="AE11" i="20"/>
  <c r="V11" i="20"/>
  <c r="U11" i="20"/>
  <c r="O11" i="20"/>
  <c r="M11" i="20"/>
  <c r="N11" i="20" s="1"/>
  <c r="K11" i="20"/>
  <c r="G11" i="20"/>
  <c r="AF10" i="20"/>
  <c r="AE10" i="20"/>
  <c r="V10" i="20"/>
  <c r="M10" i="20" s="1"/>
  <c r="N10" i="20" s="1"/>
  <c r="P10" i="20" s="1"/>
  <c r="U10" i="20"/>
  <c r="Q10" i="20"/>
  <c r="O10" i="20"/>
  <c r="K10" i="20"/>
  <c r="G10" i="20"/>
  <c r="AF9" i="20"/>
  <c r="AE9" i="20"/>
  <c r="X9" i="20"/>
  <c r="W9" i="20"/>
  <c r="V9" i="20"/>
  <c r="O9" i="20"/>
  <c r="M9" i="20"/>
  <c r="N9" i="20" s="1"/>
  <c r="K9" i="20"/>
  <c r="G9" i="20"/>
  <c r="AF8" i="20"/>
  <c r="AE8" i="20"/>
  <c r="AD8" i="20"/>
  <c r="Z8" i="20"/>
  <c r="Y8" i="20"/>
  <c r="O8" i="20"/>
  <c r="N8" i="20"/>
  <c r="M8" i="20"/>
  <c r="K8" i="20"/>
  <c r="AF7" i="20"/>
  <c r="AE7" i="20"/>
  <c r="V7" i="20"/>
  <c r="M7" i="20" s="1"/>
  <c r="N7" i="20" s="1"/>
  <c r="P7" i="20" s="1"/>
  <c r="U7" i="20"/>
  <c r="Q7" i="20"/>
  <c r="O7" i="20"/>
  <c r="K7" i="20"/>
  <c r="G7" i="20"/>
  <c r="AF6" i="20"/>
  <c r="AE6" i="20"/>
  <c r="V6" i="20"/>
  <c r="M6" i="20" s="1"/>
  <c r="N6" i="20" s="1"/>
  <c r="U6" i="20"/>
  <c r="Q6" i="20"/>
  <c r="P6" i="20"/>
  <c r="O6" i="20"/>
  <c r="K6" i="20"/>
  <c r="G6" i="20"/>
  <c r="AG5" i="20"/>
  <c r="AF5" i="20"/>
  <c r="AE5" i="20"/>
  <c r="V5" i="20"/>
  <c r="M5" i="20" s="1"/>
  <c r="N5" i="20" s="1"/>
  <c r="Q5" i="20"/>
  <c r="P5" i="20"/>
  <c r="O5" i="20"/>
  <c r="K5" i="20"/>
  <c r="G5" i="20"/>
  <c r="F1" i="20" s="1"/>
  <c r="AD2" i="20"/>
  <c r="N6" i="19" s="1"/>
  <c r="Z2" i="20"/>
  <c r="Y2" i="20"/>
  <c r="K6" i="19" s="1"/>
  <c r="H2" i="20"/>
  <c r="F2" i="20"/>
  <c r="H1" i="20"/>
  <c r="D1" i="20"/>
  <c r="M22" i="19"/>
  <c r="L22" i="19"/>
  <c r="K22" i="19"/>
  <c r="J22" i="19"/>
  <c r="I22" i="19"/>
  <c r="H22" i="19"/>
  <c r="G22" i="19"/>
  <c r="F22" i="19"/>
  <c r="E22" i="19"/>
  <c r="D22" i="19"/>
  <c r="M21" i="19"/>
  <c r="I21" i="19"/>
  <c r="H21" i="19"/>
  <c r="G21" i="19"/>
  <c r="F21" i="19"/>
  <c r="E21" i="19"/>
  <c r="D21" i="19"/>
  <c r="M20" i="19"/>
  <c r="L20" i="19"/>
  <c r="K20" i="19"/>
  <c r="J20" i="19"/>
  <c r="I20" i="19"/>
  <c r="H20" i="19"/>
  <c r="G20" i="19"/>
  <c r="F20" i="19"/>
  <c r="E20" i="19"/>
  <c r="D20" i="19"/>
  <c r="M19" i="19"/>
  <c r="L19" i="19"/>
  <c r="K19" i="19"/>
  <c r="J19" i="19"/>
  <c r="H19" i="19"/>
  <c r="E19" i="19"/>
  <c r="D19" i="19"/>
  <c r="M18" i="19"/>
  <c r="L18" i="19"/>
  <c r="K18" i="19"/>
  <c r="J18" i="19"/>
  <c r="I18" i="19"/>
  <c r="H18" i="19"/>
  <c r="E18" i="19"/>
  <c r="D18" i="19"/>
  <c r="M17" i="19"/>
  <c r="L17" i="19"/>
  <c r="K17" i="19"/>
  <c r="J17" i="19"/>
  <c r="I17" i="19"/>
  <c r="H17" i="19"/>
  <c r="G17" i="19"/>
  <c r="F17" i="19"/>
  <c r="E17" i="19"/>
  <c r="D17" i="19"/>
  <c r="M16" i="19"/>
  <c r="L16" i="19"/>
  <c r="K16" i="19"/>
  <c r="J16" i="19"/>
  <c r="I16" i="19"/>
  <c r="H16" i="19"/>
  <c r="G16" i="19"/>
  <c r="F16" i="19"/>
  <c r="E16" i="19"/>
  <c r="D16" i="19"/>
  <c r="J14" i="19"/>
  <c r="J15" i="19" s="1"/>
  <c r="D14" i="19"/>
  <c r="D15" i="19" s="1"/>
  <c r="M13" i="19"/>
  <c r="L13" i="19"/>
  <c r="K13" i="19"/>
  <c r="J13" i="19"/>
  <c r="I13" i="19"/>
  <c r="H13" i="19"/>
  <c r="E13" i="19"/>
  <c r="D13" i="19"/>
  <c r="M6" i="19"/>
  <c r="L6" i="19"/>
  <c r="I6" i="19"/>
  <c r="G6" i="19"/>
  <c r="F6" i="19"/>
  <c r="E6" i="19"/>
  <c r="I3" i="19"/>
  <c r="F3" i="19"/>
  <c r="C3" i="19"/>
  <c r="G8" i="37" l="1"/>
  <c r="F8" i="37"/>
  <c r="E8" i="37"/>
  <c r="I8" i="35"/>
  <c r="I7" i="35"/>
  <c r="D15" i="35"/>
  <c r="G7" i="35"/>
  <c r="F7" i="35"/>
  <c r="E7" i="35"/>
  <c r="Q81" i="32"/>
  <c r="R72" i="32" s="1"/>
  <c r="P81" i="32"/>
  <c r="M14" i="31"/>
  <c r="M15" i="31" s="1"/>
  <c r="I14" i="31"/>
  <c r="I15" i="31" s="1"/>
  <c r="Q66" i="32"/>
  <c r="R57" i="32" s="1"/>
  <c r="P66" i="32"/>
  <c r="H14" i="31"/>
  <c r="H15" i="31" s="1"/>
  <c r="Q56" i="32"/>
  <c r="R52" i="32" s="1"/>
  <c r="P56" i="32"/>
  <c r="D2" i="32"/>
  <c r="D14" i="31"/>
  <c r="Q9" i="32"/>
  <c r="R5" i="32" s="1"/>
  <c r="P9" i="32"/>
  <c r="Q71" i="32"/>
  <c r="R67" i="32" s="1"/>
  <c r="P71" i="32"/>
  <c r="J14" i="31"/>
  <c r="J15" i="31" s="1"/>
  <c r="P51" i="32"/>
  <c r="Q51" i="32"/>
  <c r="R43" i="32" s="1"/>
  <c r="L14" i="31"/>
  <c r="L15" i="31" s="1"/>
  <c r="P42" i="32"/>
  <c r="Q42" i="32"/>
  <c r="R34" i="32" s="1"/>
  <c r="K14" i="31"/>
  <c r="P41" i="30"/>
  <c r="Q41" i="30"/>
  <c r="Q11" i="30"/>
  <c r="P11" i="30"/>
  <c r="Q18" i="30"/>
  <c r="P18" i="30"/>
  <c r="P42" i="30"/>
  <c r="Q42" i="30"/>
  <c r="Q66" i="30"/>
  <c r="P66" i="30"/>
  <c r="P29" i="30"/>
  <c r="Q29" i="30"/>
  <c r="Q26" i="30"/>
  <c r="P26" i="30"/>
  <c r="P68" i="30"/>
  <c r="Q68" i="30"/>
  <c r="Q19" i="30"/>
  <c r="P19" i="30"/>
  <c r="Q13" i="30"/>
  <c r="P13" i="30"/>
  <c r="P21" i="30"/>
  <c r="Q21" i="30"/>
  <c r="Q45" i="30"/>
  <c r="P45" i="30"/>
  <c r="J14" i="29"/>
  <c r="J15" i="29" s="1"/>
  <c r="Q63" i="30"/>
  <c r="R59" i="30" s="1"/>
  <c r="P63" i="30"/>
  <c r="AF71" i="30"/>
  <c r="AG64" i="30" s="1"/>
  <c r="AE71" i="30"/>
  <c r="N71" i="30"/>
  <c r="AE23" i="30"/>
  <c r="AF23" i="30"/>
  <c r="AG15" i="30" s="1"/>
  <c r="N23" i="30"/>
  <c r="Q38" i="30"/>
  <c r="P38" i="30"/>
  <c r="AF8" i="30"/>
  <c r="AG5" i="30" s="1"/>
  <c r="AE8" i="30"/>
  <c r="N8" i="30"/>
  <c r="Q12" i="30"/>
  <c r="P12" i="30"/>
  <c r="Q69" i="30"/>
  <c r="P69" i="30"/>
  <c r="P17" i="30"/>
  <c r="Q17" i="30"/>
  <c r="AF49" i="30"/>
  <c r="AG45" i="30" s="1"/>
  <c r="AE49" i="30"/>
  <c r="N49" i="30"/>
  <c r="P48" i="30"/>
  <c r="Q48" i="30"/>
  <c r="AE37" i="30"/>
  <c r="AF37" i="30"/>
  <c r="AG31" i="30" s="1"/>
  <c r="N37" i="30"/>
  <c r="P60" i="30"/>
  <c r="Q60" i="30"/>
  <c r="P16" i="30"/>
  <c r="Q16" i="30"/>
  <c r="P10" i="30"/>
  <c r="Q10" i="30"/>
  <c r="Q5" i="30"/>
  <c r="P5" i="30"/>
  <c r="Q53" i="30"/>
  <c r="P53" i="30"/>
  <c r="Q59" i="30"/>
  <c r="P59" i="30"/>
  <c r="Q32" i="30"/>
  <c r="P32" i="30"/>
  <c r="Q24" i="30"/>
  <c r="P24" i="30"/>
  <c r="P61" i="30"/>
  <c r="Q61" i="30"/>
  <c r="P67" i="30"/>
  <c r="Q67" i="30"/>
  <c r="P51" i="30"/>
  <c r="Q51" i="30"/>
  <c r="Q33" i="30"/>
  <c r="P33" i="30"/>
  <c r="AF58" i="30"/>
  <c r="AG50" i="30" s="1"/>
  <c r="AE58" i="30"/>
  <c r="N58" i="30"/>
  <c r="Q35" i="30"/>
  <c r="P35" i="30"/>
  <c r="AF14" i="30"/>
  <c r="AG9" i="30" s="1"/>
  <c r="AE14" i="30"/>
  <c r="N14" i="30"/>
  <c r="P65" i="30"/>
  <c r="Q65" i="30"/>
  <c r="P9" i="30"/>
  <c r="Q9" i="30"/>
  <c r="AE44" i="30"/>
  <c r="AF44" i="30"/>
  <c r="AG38" i="30" s="1"/>
  <c r="N44" i="30"/>
  <c r="Q62" i="30"/>
  <c r="P62" i="30"/>
  <c r="P57" i="30"/>
  <c r="Q57" i="30"/>
  <c r="Q54" i="30"/>
  <c r="P54" i="30"/>
  <c r="Q25" i="30"/>
  <c r="P25" i="30"/>
  <c r="AF30" i="30"/>
  <c r="AG24" i="30" s="1"/>
  <c r="AE30" i="30"/>
  <c r="N30" i="30"/>
  <c r="P52" i="30"/>
  <c r="Q52" i="30"/>
  <c r="Q43" i="30"/>
  <c r="P43" i="30"/>
  <c r="P29" i="20"/>
  <c r="G14" i="19"/>
  <c r="G15" i="19" s="1"/>
  <c r="Q29" i="20"/>
  <c r="R23" i="20" s="1"/>
  <c r="Q13" i="20"/>
  <c r="R9" i="20" s="1"/>
  <c r="P13" i="20"/>
  <c r="E14" i="19"/>
  <c r="E15" i="19" s="1"/>
  <c r="P34" i="20"/>
  <c r="Q34" i="20"/>
  <c r="Q67" i="20"/>
  <c r="R61" i="20" s="1"/>
  <c r="P67" i="20"/>
  <c r="M14" i="19"/>
  <c r="M15" i="19" s="1"/>
  <c r="P55" i="20"/>
  <c r="AE60" i="20"/>
  <c r="Q16" i="20"/>
  <c r="Q33" i="20"/>
  <c r="P37" i="20"/>
  <c r="P50" i="20"/>
  <c r="P54" i="20"/>
  <c r="AE55" i="20"/>
  <c r="AF55" i="20"/>
  <c r="AG48" i="20" s="1"/>
  <c r="P15" i="20"/>
  <c r="P30" i="20"/>
  <c r="P14" i="20"/>
  <c r="P18" i="20"/>
  <c r="P31" i="20"/>
  <c r="Q8" i="20"/>
  <c r="R5" i="20" s="1"/>
  <c r="P8" i="20"/>
  <c r="Q9" i="20"/>
  <c r="P9" i="20"/>
  <c r="Q11" i="20"/>
  <c r="P11" i="20"/>
  <c r="Q12" i="20"/>
  <c r="P12" i="20"/>
  <c r="AE14" i="20"/>
  <c r="M22" i="20"/>
  <c r="AF16" i="20"/>
  <c r="AE16" i="20"/>
  <c r="AF17" i="20"/>
  <c r="AE17" i="20"/>
  <c r="AF18" i="20"/>
  <c r="AE18" i="20"/>
  <c r="Q25" i="20"/>
  <c r="P25" i="20"/>
  <c r="Q26" i="20"/>
  <c r="P26" i="20"/>
  <c r="Q27" i="20"/>
  <c r="P27" i="20"/>
  <c r="AF29" i="20"/>
  <c r="AG23" i="20" s="1"/>
  <c r="AE29" i="20"/>
  <c r="M35" i="20"/>
  <c r="AE30" i="20"/>
  <c r="AF32" i="20"/>
  <c r="AE32" i="20"/>
  <c r="AF33" i="20"/>
  <c r="AE33" i="20"/>
  <c r="AF34" i="20"/>
  <c r="AE34" i="20"/>
  <c r="M42" i="20"/>
  <c r="AF36" i="20"/>
  <c r="AE36" i="20"/>
  <c r="AF37" i="20"/>
  <c r="AE37" i="20"/>
  <c r="N40" i="20"/>
  <c r="AF40" i="20"/>
  <c r="Q46" i="20"/>
  <c r="P46" i="20"/>
  <c r="Q47" i="20"/>
  <c r="R43" i="20" s="1"/>
  <c r="P47" i="20"/>
  <c r="H14" i="19"/>
  <c r="H15" i="19" s="1"/>
  <c r="Q48" i="20"/>
  <c r="P48" i="20"/>
  <c r="Q49" i="20"/>
  <c r="P49" i="20"/>
  <c r="AF51" i="20"/>
  <c r="AE51" i="20"/>
  <c r="AF52" i="20"/>
  <c r="AE52" i="20"/>
  <c r="AF53" i="20"/>
  <c r="AE53" i="20"/>
  <c r="Q60" i="20"/>
  <c r="R56" i="20" s="1"/>
  <c r="P60" i="20"/>
  <c r="Q61" i="20"/>
  <c r="P61" i="20"/>
  <c r="Q63" i="20"/>
  <c r="P63" i="20"/>
  <c r="N64" i="20"/>
  <c r="AE64" i="20"/>
  <c r="Q65" i="20"/>
  <c r="P65" i="20"/>
  <c r="Q66" i="20"/>
  <c r="P66" i="20"/>
  <c r="AF67" i="20"/>
  <c r="AG61" i="20" s="1"/>
  <c r="AE67" i="20"/>
  <c r="AD73" i="18"/>
  <c r="Z73" i="18"/>
  <c r="Y73" i="18"/>
  <c r="O73" i="18"/>
  <c r="K73" i="18"/>
  <c r="V72" i="18"/>
  <c r="U72" i="18"/>
  <c r="O72" i="18"/>
  <c r="M72" i="18"/>
  <c r="AF72" i="18" s="1"/>
  <c r="K72" i="18"/>
  <c r="G72" i="18"/>
  <c r="AF71" i="18"/>
  <c r="AE71" i="18"/>
  <c r="V71" i="18"/>
  <c r="U71" i="18"/>
  <c r="O71" i="18"/>
  <c r="N71" i="18"/>
  <c r="Q71" i="18" s="1"/>
  <c r="M71" i="18"/>
  <c r="K71" i="18"/>
  <c r="G71" i="18"/>
  <c r="AF70" i="18"/>
  <c r="AE70" i="18"/>
  <c r="X70" i="18"/>
  <c r="W70" i="18"/>
  <c r="V70" i="18"/>
  <c r="U70" i="18"/>
  <c r="O70" i="18"/>
  <c r="M70" i="18"/>
  <c r="N70" i="18" s="1"/>
  <c r="K70" i="18"/>
  <c r="G70" i="18"/>
  <c r="AF69" i="18"/>
  <c r="AE69" i="18"/>
  <c r="V69" i="18"/>
  <c r="U69" i="18"/>
  <c r="O69" i="18"/>
  <c r="N69" i="18"/>
  <c r="Q69" i="18" s="1"/>
  <c r="M69" i="18"/>
  <c r="K69" i="18"/>
  <c r="G69" i="18"/>
  <c r="AE68" i="18"/>
  <c r="V68" i="18"/>
  <c r="U68" i="18"/>
  <c r="O68" i="18"/>
  <c r="M68" i="18"/>
  <c r="N68" i="18" s="1"/>
  <c r="K68" i="18"/>
  <c r="G68" i="18"/>
  <c r="AF67" i="18"/>
  <c r="AE67" i="18"/>
  <c r="V67" i="18"/>
  <c r="U67" i="18"/>
  <c r="Q67" i="18"/>
  <c r="P67" i="18"/>
  <c r="O67" i="18"/>
  <c r="N67" i="18"/>
  <c r="M67" i="18"/>
  <c r="K67" i="18"/>
  <c r="G67" i="18"/>
  <c r="AF66" i="18"/>
  <c r="AE66" i="18"/>
  <c r="V66" i="18"/>
  <c r="U66" i="18"/>
  <c r="Q66" i="18"/>
  <c r="P66" i="18"/>
  <c r="O66" i="18"/>
  <c r="N66" i="18"/>
  <c r="M66" i="18"/>
  <c r="K66" i="18"/>
  <c r="G66" i="18"/>
  <c r="X65" i="18"/>
  <c r="W65" i="18"/>
  <c r="V65" i="18"/>
  <c r="O65" i="18"/>
  <c r="M65" i="18"/>
  <c r="M73" i="18" s="1"/>
  <c r="K65" i="18"/>
  <c r="G65" i="18"/>
  <c r="AD64" i="18"/>
  <c r="Z64" i="18"/>
  <c r="Y64" i="18"/>
  <c r="O64" i="18"/>
  <c r="M64" i="18"/>
  <c r="AF64" i="18" s="1"/>
  <c r="AG60" i="18" s="1"/>
  <c r="K64" i="18"/>
  <c r="AF63" i="18"/>
  <c r="AE63" i="18"/>
  <c r="V63" i="18"/>
  <c r="U63" i="18"/>
  <c r="O63" i="18"/>
  <c r="M63" i="18"/>
  <c r="N63" i="18" s="1"/>
  <c r="K63" i="18"/>
  <c r="G63" i="18"/>
  <c r="AF62" i="18"/>
  <c r="AE62" i="18"/>
  <c r="V62" i="18"/>
  <c r="U62" i="18"/>
  <c r="O62" i="18"/>
  <c r="N62" i="18"/>
  <c r="Q62" i="18" s="1"/>
  <c r="M62" i="18"/>
  <c r="K62" i="18"/>
  <c r="G62" i="18"/>
  <c r="AE61" i="18"/>
  <c r="V61" i="18"/>
  <c r="U61" i="18"/>
  <c r="O61" i="18"/>
  <c r="M61" i="18"/>
  <c r="N61" i="18" s="1"/>
  <c r="K61" i="18"/>
  <c r="G61" i="18"/>
  <c r="AF60" i="18"/>
  <c r="V60" i="18"/>
  <c r="O60" i="18"/>
  <c r="M60" i="18"/>
  <c r="AE60" i="18" s="1"/>
  <c r="K60" i="18"/>
  <c r="G60" i="18"/>
  <c r="AD59" i="18"/>
  <c r="Z59" i="18"/>
  <c r="Y59" i="18"/>
  <c r="O59" i="18"/>
  <c r="K59" i="18"/>
  <c r="V58" i="18"/>
  <c r="U58" i="18"/>
  <c r="O58" i="18"/>
  <c r="M58" i="18"/>
  <c r="AF58" i="18" s="1"/>
  <c r="K58" i="18"/>
  <c r="G58" i="18"/>
  <c r="AF57" i="18"/>
  <c r="AE57" i="18"/>
  <c r="V57" i="18"/>
  <c r="U57" i="18"/>
  <c r="O57" i="18"/>
  <c r="N57" i="18"/>
  <c r="Q57" i="18" s="1"/>
  <c r="M57" i="18"/>
  <c r="K57" i="18"/>
  <c r="G57" i="18"/>
  <c r="V56" i="18"/>
  <c r="U56" i="18"/>
  <c r="O56" i="18"/>
  <c r="M56" i="18"/>
  <c r="M59" i="18" s="1"/>
  <c r="K56" i="18"/>
  <c r="G56" i="18"/>
  <c r="AF55" i="18"/>
  <c r="AE55" i="18"/>
  <c r="V55" i="18"/>
  <c r="U55" i="18"/>
  <c r="Q55" i="18"/>
  <c r="P55" i="18"/>
  <c r="O55" i="18"/>
  <c r="N55" i="18"/>
  <c r="M55" i="18"/>
  <c r="K55" i="18"/>
  <c r="G55" i="18"/>
  <c r="AF54" i="18"/>
  <c r="AE54" i="18"/>
  <c r="V54" i="18"/>
  <c r="U54" i="18"/>
  <c r="O54" i="18"/>
  <c r="M54" i="18"/>
  <c r="N54" i="18" s="1"/>
  <c r="K54" i="18"/>
  <c r="G54" i="18"/>
  <c r="AF53" i="18"/>
  <c r="AE53" i="18"/>
  <c r="V53" i="18"/>
  <c r="U53" i="18"/>
  <c r="O53" i="18"/>
  <c r="N53" i="18"/>
  <c r="Q53" i="18" s="1"/>
  <c r="M53" i="18"/>
  <c r="K53" i="18"/>
  <c r="G53" i="18"/>
  <c r="AF52" i="18"/>
  <c r="AE52" i="18"/>
  <c r="V52" i="18"/>
  <c r="O52" i="18"/>
  <c r="N52" i="18"/>
  <c r="Q52" i="18" s="1"/>
  <c r="M52" i="18"/>
  <c r="K52" i="18"/>
  <c r="G52" i="18"/>
  <c r="AD51" i="18"/>
  <c r="Z51" i="18"/>
  <c r="Y51" i="18"/>
  <c r="O51" i="18"/>
  <c r="K51" i="18"/>
  <c r="AF50" i="18"/>
  <c r="AE50" i="18"/>
  <c r="V50" i="18"/>
  <c r="U50" i="18"/>
  <c r="Q50" i="18"/>
  <c r="P50" i="18"/>
  <c r="O50" i="18"/>
  <c r="N50" i="18"/>
  <c r="M50" i="18"/>
  <c r="K50" i="18"/>
  <c r="G50" i="18"/>
  <c r="V49" i="18"/>
  <c r="U49" i="18"/>
  <c r="O49" i="18"/>
  <c r="M49" i="18"/>
  <c r="AF49" i="18" s="1"/>
  <c r="K49" i="18"/>
  <c r="G49" i="18"/>
  <c r="AF48" i="18"/>
  <c r="AE48" i="18"/>
  <c r="V48" i="18"/>
  <c r="U48" i="18"/>
  <c r="O48" i="18"/>
  <c r="N48" i="18"/>
  <c r="Q48" i="18" s="1"/>
  <c r="M48" i="18"/>
  <c r="K48" i="18"/>
  <c r="G48" i="18"/>
  <c r="AF47" i="18"/>
  <c r="AE47" i="18"/>
  <c r="V47" i="18"/>
  <c r="O47" i="18"/>
  <c r="N47" i="18"/>
  <c r="P47" i="18" s="1"/>
  <c r="M47" i="18"/>
  <c r="K47" i="18"/>
  <c r="G47" i="18"/>
  <c r="AD46" i="18"/>
  <c r="Z46" i="18"/>
  <c r="Y46" i="18"/>
  <c r="O46" i="18"/>
  <c r="K46" i="18"/>
  <c r="AE45" i="18"/>
  <c r="V45" i="18"/>
  <c r="U45" i="18"/>
  <c r="O45" i="18"/>
  <c r="M45" i="18"/>
  <c r="N45" i="18" s="1"/>
  <c r="K45" i="18"/>
  <c r="G45" i="18"/>
  <c r="AF44" i="18"/>
  <c r="AE44" i="18"/>
  <c r="V44" i="18"/>
  <c r="U44" i="18"/>
  <c r="Q44" i="18"/>
  <c r="P44" i="18"/>
  <c r="O44" i="18"/>
  <c r="N44" i="18"/>
  <c r="M44" i="18"/>
  <c r="K44" i="18"/>
  <c r="G44" i="18"/>
  <c r="AF43" i="18"/>
  <c r="AE43" i="18"/>
  <c r="V43" i="18"/>
  <c r="U43" i="18"/>
  <c r="O43" i="18"/>
  <c r="N43" i="18"/>
  <c r="Q43" i="18" s="1"/>
  <c r="M43" i="18"/>
  <c r="K43" i="18"/>
  <c r="G43" i="18"/>
  <c r="X42" i="18"/>
  <c r="W42" i="18"/>
  <c r="V42" i="18"/>
  <c r="U42" i="18"/>
  <c r="O42" i="18"/>
  <c r="M42" i="18"/>
  <c r="AF42" i="18" s="1"/>
  <c r="K42" i="18"/>
  <c r="G42" i="18"/>
  <c r="AF41" i="18"/>
  <c r="AE41" i="18"/>
  <c r="V41" i="18"/>
  <c r="U41" i="18"/>
  <c r="O41" i="18"/>
  <c r="N41" i="18"/>
  <c r="Q41" i="18" s="1"/>
  <c r="M41" i="18"/>
  <c r="K41" i="18"/>
  <c r="G41" i="18"/>
  <c r="V40" i="18"/>
  <c r="U40" i="18"/>
  <c r="O40" i="18"/>
  <c r="M40" i="18"/>
  <c r="AF40" i="18" s="1"/>
  <c r="K40" i="18"/>
  <c r="G40" i="18"/>
  <c r="AF39" i="18"/>
  <c r="AE39" i="18"/>
  <c r="V39" i="18"/>
  <c r="U39" i="18"/>
  <c r="Q39" i="18"/>
  <c r="P39" i="18"/>
  <c r="O39" i="18"/>
  <c r="N39" i="18"/>
  <c r="M39" i="18"/>
  <c r="K39" i="18"/>
  <c r="G39" i="18"/>
  <c r="AF38" i="18"/>
  <c r="AE38" i="18"/>
  <c r="X38" i="18"/>
  <c r="W38" i="18"/>
  <c r="V38" i="18"/>
  <c r="O38" i="18"/>
  <c r="N38" i="18"/>
  <c r="Q38" i="18" s="1"/>
  <c r="M38" i="18"/>
  <c r="K38" i="18"/>
  <c r="G38" i="18"/>
  <c r="AD37" i="18"/>
  <c r="Z37" i="18"/>
  <c r="Y37" i="18"/>
  <c r="O37" i="18"/>
  <c r="K37" i="18"/>
  <c r="AF36" i="18"/>
  <c r="AE36" i="18"/>
  <c r="V36" i="18"/>
  <c r="U36" i="18"/>
  <c r="Q36" i="18"/>
  <c r="P36" i="18"/>
  <c r="O36" i="18"/>
  <c r="N36" i="18"/>
  <c r="M36" i="18"/>
  <c r="K36" i="18"/>
  <c r="G36" i="18"/>
  <c r="X35" i="18"/>
  <c r="W35" i="18"/>
  <c r="V35" i="18"/>
  <c r="U35" i="18"/>
  <c r="O35" i="18"/>
  <c r="M35" i="18"/>
  <c r="AF35" i="18" s="1"/>
  <c r="K35" i="18"/>
  <c r="G35" i="18"/>
  <c r="AF34" i="18"/>
  <c r="AE34" i="18"/>
  <c r="V34" i="18"/>
  <c r="U34" i="18"/>
  <c r="Q34" i="18"/>
  <c r="P34" i="18"/>
  <c r="O34" i="18"/>
  <c r="N34" i="18"/>
  <c r="M34" i="18"/>
  <c r="K34" i="18"/>
  <c r="G34" i="18"/>
  <c r="AF33" i="18"/>
  <c r="AE33" i="18"/>
  <c r="V33" i="18"/>
  <c r="U33" i="18"/>
  <c r="O33" i="18"/>
  <c r="M33" i="18"/>
  <c r="N33" i="18" s="1"/>
  <c r="K33" i="18"/>
  <c r="G33" i="18"/>
  <c r="AF32" i="18"/>
  <c r="AE32" i="18"/>
  <c r="V32" i="18"/>
  <c r="U32" i="18"/>
  <c r="O32" i="18"/>
  <c r="N32" i="18"/>
  <c r="Q32" i="18" s="1"/>
  <c r="M32" i="18"/>
  <c r="K32" i="18"/>
  <c r="G32" i="18"/>
  <c r="AF31" i="18"/>
  <c r="AE31" i="18"/>
  <c r="X31" i="18"/>
  <c r="W31" i="18"/>
  <c r="V31" i="18"/>
  <c r="Q31" i="18"/>
  <c r="P31" i="18"/>
  <c r="O31" i="18"/>
  <c r="N31" i="18"/>
  <c r="M31" i="18"/>
  <c r="K31" i="18"/>
  <c r="G31" i="18"/>
  <c r="AD30" i="18"/>
  <c r="Z30" i="18"/>
  <c r="Y30" i="18"/>
  <c r="O30" i="18"/>
  <c r="K30" i="18"/>
  <c r="AF29" i="18"/>
  <c r="AE29" i="18"/>
  <c r="V29" i="18"/>
  <c r="U29" i="18"/>
  <c r="O29" i="18"/>
  <c r="N29" i="18"/>
  <c r="Q29" i="18" s="1"/>
  <c r="M29" i="18"/>
  <c r="K29" i="18"/>
  <c r="G29" i="18"/>
  <c r="V28" i="18"/>
  <c r="U28" i="18"/>
  <c r="O28" i="18"/>
  <c r="M28" i="18"/>
  <c r="AF28" i="18" s="1"/>
  <c r="K28" i="18"/>
  <c r="G28" i="18"/>
  <c r="AF27" i="18"/>
  <c r="AE27" i="18"/>
  <c r="V27" i="18"/>
  <c r="U27" i="18"/>
  <c r="Q27" i="18"/>
  <c r="P27" i="18"/>
  <c r="O27" i="18"/>
  <c r="N27" i="18"/>
  <c r="M27" i="18"/>
  <c r="K27" i="18"/>
  <c r="G27" i="18"/>
  <c r="AF26" i="18"/>
  <c r="V26" i="18"/>
  <c r="U26" i="18"/>
  <c r="O26" i="18"/>
  <c r="M26" i="18"/>
  <c r="N26" i="18" s="1"/>
  <c r="K26" i="18"/>
  <c r="G26" i="18"/>
  <c r="AF25" i="18"/>
  <c r="AE25" i="18"/>
  <c r="V25" i="18"/>
  <c r="U25" i="18"/>
  <c r="O25" i="18"/>
  <c r="N25" i="18"/>
  <c r="Q25" i="18" s="1"/>
  <c r="M25" i="18"/>
  <c r="K25" i="18"/>
  <c r="G25" i="18"/>
  <c r="AF24" i="18"/>
  <c r="AE24" i="18"/>
  <c r="V24" i="18"/>
  <c r="O24" i="18"/>
  <c r="N24" i="18"/>
  <c r="Q24" i="18" s="1"/>
  <c r="M24" i="18"/>
  <c r="K24" i="18"/>
  <c r="G24" i="18"/>
  <c r="AD23" i="18"/>
  <c r="Z23" i="18"/>
  <c r="Y23" i="18"/>
  <c r="O23" i="18"/>
  <c r="K23" i="18"/>
  <c r="AF22" i="18"/>
  <c r="AE22" i="18"/>
  <c r="V22" i="18"/>
  <c r="U22" i="18"/>
  <c r="Q22" i="18"/>
  <c r="P22" i="18"/>
  <c r="O22" i="18"/>
  <c r="N22" i="18"/>
  <c r="M22" i="18"/>
  <c r="K22" i="18"/>
  <c r="G22" i="18"/>
  <c r="V21" i="18"/>
  <c r="U21" i="18"/>
  <c r="O21" i="18"/>
  <c r="M21" i="18"/>
  <c r="AF21" i="18" s="1"/>
  <c r="K21" i="18"/>
  <c r="G21" i="18"/>
  <c r="AF20" i="18"/>
  <c r="AE20" i="18"/>
  <c r="V20" i="18"/>
  <c r="U20" i="18"/>
  <c r="O20" i="18"/>
  <c r="N20" i="18"/>
  <c r="Q20" i="18" s="1"/>
  <c r="M20" i="18"/>
  <c r="K20" i="18"/>
  <c r="G20" i="18"/>
  <c r="V19" i="18"/>
  <c r="U19" i="18"/>
  <c r="O19" i="18"/>
  <c r="M19" i="18"/>
  <c r="AF19" i="18" s="1"/>
  <c r="K19" i="18"/>
  <c r="G19" i="18"/>
  <c r="AF18" i="18"/>
  <c r="AE18" i="18"/>
  <c r="V18" i="18"/>
  <c r="U18" i="18"/>
  <c r="Q18" i="18"/>
  <c r="P18" i="18"/>
  <c r="O18" i="18"/>
  <c r="N18" i="18"/>
  <c r="M18" i="18"/>
  <c r="K18" i="18"/>
  <c r="G18" i="18"/>
  <c r="AF17" i="18"/>
  <c r="V17" i="18"/>
  <c r="U17" i="18"/>
  <c r="O17" i="18"/>
  <c r="M17" i="18"/>
  <c r="N17" i="18" s="1"/>
  <c r="K17" i="18"/>
  <c r="G17" i="18"/>
  <c r="AF16" i="18"/>
  <c r="AE16" i="18"/>
  <c r="V16" i="18"/>
  <c r="U16" i="18"/>
  <c r="O16" i="18"/>
  <c r="N16" i="18"/>
  <c r="Q16" i="18" s="1"/>
  <c r="M16" i="18"/>
  <c r="K16" i="18"/>
  <c r="G16" i="18"/>
  <c r="AF15" i="18"/>
  <c r="AE15" i="18"/>
  <c r="V15" i="18"/>
  <c r="O15" i="18"/>
  <c r="N15" i="18"/>
  <c r="Q15" i="18" s="1"/>
  <c r="M15" i="18"/>
  <c r="K15" i="18"/>
  <c r="G15" i="18"/>
  <c r="AD14" i="18"/>
  <c r="Z14" i="18"/>
  <c r="Y14" i="18"/>
  <c r="O14" i="18"/>
  <c r="K14" i="18"/>
  <c r="AF13" i="18"/>
  <c r="AE13" i="18"/>
  <c r="V13" i="18"/>
  <c r="U13" i="18"/>
  <c r="Q13" i="18"/>
  <c r="P13" i="18"/>
  <c r="O13" i="18"/>
  <c r="N13" i="18"/>
  <c r="M13" i="18"/>
  <c r="K13" i="18"/>
  <c r="G13" i="18"/>
  <c r="X12" i="18"/>
  <c r="W12" i="18"/>
  <c r="V12" i="18"/>
  <c r="U12" i="18"/>
  <c r="O12" i="18"/>
  <c r="M12" i="18"/>
  <c r="AF12" i="18" s="1"/>
  <c r="K12" i="18"/>
  <c r="G12" i="18"/>
  <c r="AF11" i="18"/>
  <c r="AE11" i="18"/>
  <c r="V11" i="18"/>
  <c r="U11" i="18"/>
  <c r="Q11" i="18"/>
  <c r="P11" i="18"/>
  <c r="O11" i="18"/>
  <c r="N11" i="18"/>
  <c r="M11" i="18"/>
  <c r="K11" i="18"/>
  <c r="G11" i="18"/>
  <c r="AF10" i="18"/>
  <c r="V10" i="18"/>
  <c r="U10" i="18"/>
  <c r="O10" i="18"/>
  <c r="M10" i="18"/>
  <c r="N10" i="18" s="1"/>
  <c r="K10" i="18"/>
  <c r="G10" i="18"/>
  <c r="X9" i="18"/>
  <c r="W9" i="18"/>
  <c r="V9" i="18"/>
  <c r="O9" i="18"/>
  <c r="M9" i="18"/>
  <c r="AF9" i="18" s="1"/>
  <c r="K9" i="18"/>
  <c r="G9" i="18"/>
  <c r="AD8" i="18"/>
  <c r="Z8" i="18"/>
  <c r="Y8" i="18"/>
  <c r="O8" i="18"/>
  <c r="K8" i="18"/>
  <c r="V7" i="18"/>
  <c r="U7" i="18"/>
  <c r="O7" i="18"/>
  <c r="M7" i="18"/>
  <c r="M8" i="18" s="1"/>
  <c r="K7" i="18"/>
  <c r="G7" i="18"/>
  <c r="AF6" i="18"/>
  <c r="AE6" i="18"/>
  <c r="V6" i="18"/>
  <c r="U6" i="18"/>
  <c r="O6" i="18"/>
  <c r="N6" i="18"/>
  <c r="Q6" i="18" s="1"/>
  <c r="M6" i="18"/>
  <c r="K6" i="18"/>
  <c r="G6" i="18"/>
  <c r="AF5" i="18"/>
  <c r="AE5" i="18"/>
  <c r="V5" i="18"/>
  <c r="O5" i="18"/>
  <c r="N5" i="18"/>
  <c r="P5" i="18" s="1"/>
  <c r="M5" i="18"/>
  <c r="K5" i="18"/>
  <c r="G5" i="18"/>
  <c r="AD2" i="18"/>
  <c r="N6" i="17" s="1"/>
  <c r="Z2" i="18"/>
  <c r="Y2" i="18"/>
  <c r="H2" i="18"/>
  <c r="F2" i="18"/>
  <c r="H1" i="18"/>
  <c r="F1" i="18"/>
  <c r="I3" i="17" s="1"/>
  <c r="D1" i="18"/>
  <c r="M22" i="17"/>
  <c r="L22" i="17"/>
  <c r="K22" i="17"/>
  <c r="J22" i="17"/>
  <c r="I22" i="17"/>
  <c r="H22" i="17"/>
  <c r="G22" i="17"/>
  <c r="F22" i="17"/>
  <c r="E22" i="17"/>
  <c r="D22" i="17"/>
  <c r="M21" i="17"/>
  <c r="L21" i="17"/>
  <c r="K21" i="17"/>
  <c r="J21" i="17"/>
  <c r="I21" i="17"/>
  <c r="H21" i="17"/>
  <c r="G21" i="17"/>
  <c r="F21" i="17"/>
  <c r="E21" i="17"/>
  <c r="D21" i="17"/>
  <c r="M20" i="17"/>
  <c r="L20" i="17"/>
  <c r="K20" i="17"/>
  <c r="J20" i="17"/>
  <c r="I20" i="17"/>
  <c r="H20" i="17"/>
  <c r="G20" i="17"/>
  <c r="F20" i="17"/>
  <c r="E20" i="17"/>
  <c r="D20" i="17"/>
  <c r="M19" i="17"/>
  <c r="L19" i="17"/>
  <c r="K19" i="17"/>
  <c r="J19" i="17"/>
  <c r="I19" i="17"/>
  <c r="H19" i="17"/>
  <c r="G19" i="17"/>
  <c r="F19" i="17"/>
  <c r="E19" i="17"/>
  <c r="D19" i="17"/>
  <c r="M18" i="17"/>
  <c r="L18" i="17"/>
  <c r="K18" i="17"/>
  <c r="J18" i="17"/>
  <c r="I18" i="17"/>
  <c r="H18" i="17"/>
  <c r="G18" i="17"/>
  <c r="F18" i="17"/>
  <c r="E18" i="17"/>
  <c r="D18" i="17"/>
  <c r="M17" i="17"/>
  <c r="L17" i="17"/>
  <c r="K17" i="17"/>
  <c r="J17" i="17"/>
  <c r="I17" i="17"/>
  <c r="H17" i="17"/>
  <c r="G17" i="17"/>
  <c r="F17" i="17"/>
  <c r="E17" i="17"/>
  <c r="D17" i="17"/>
  <c r="M16" i="17"/>
  <c r="L16" i="17"/>
  <c r="K16" i="17"/>
  <c r="J16" i="17"/>
  <c r="I16" i="17"/>
  <c r="H16" i="17"/>
  <c r="G16" i="17"/>
  <c r="F16" i="17"/>
  <c r="E16" i="17"/>
  <c r="D16" i="17"/>
  <c r="M13" i="17"/>
  <c r="L13" i="17"/>
  <c r="I6" i="17" s="1"/>
  <c r="K13" i="17"/>
  <c r="J13" i="17"/>
  <c r="I13" i="17"/>
  <c r="F6" i="17" s="1"/>
  <c r="H13" i="17"/>
  <c r="G13" i="17"/>
  <c r="F13" i="17"/>
  <c r="E13" i="17"/>
  <c r="D13" i="17"/>
  <c r="M6" i="17"/>
  <c r="L6" i="17"/>
  <c r="K6" i="17"/>
  <c r="F3" i="17"/>
  <c r="C3" i="17"/>
  <c r="G8" i="35" l="1"/>
  <c r="F8" i="35"/>
  <c r="E8" i="35"/>
  <c r="G7" i="31"/>
  <c r="F7" i="31"/>
  <c r="E7" i="31"/>
  <c r="D15" i="31"/>
  <c r="K15" i="31"/>
  <c r="I8" i="31" s="1"/>
  <c r="I7" i="31"/>
  <c r="E14" i="29"/>
  <c r="E15" i="29" s="1"/>
  <c r="Q14" i="30"/>
  <c r="R9" i="30" s="1"/>
  <c r="P14" i="30"/>
  <c r="D14" i="29"/>
  <c r="Q8" i="30"/>
  <c r="R5" i="30" s="1"/>
  <c r="P8" i="30"/>
  <c r="D2" i="30"/>
  <c r="L14" i="29"/>
  <c r="L15" i="29" s="1"/>
  <c r="P44" i="30"/>
  <c r="Q44" i="30"/>
  <c r="R38" i="30" s="1"/>
  <c r="P71" i="30"/>
  <c r="Q71" i="30"/>
  <c r="R64" i="30" s="1"/>
  <c r="M14" i="29"/>
  <c r="M15" i="29" s="1"/>
  <c r="G14" i="29"/>
  <c r="G15" i="29" s="1"/>
  <c r="Q30" i="30"/>
  <c r="R24" i="30" s="1"/>
  <c r="P30" i="30"/>
  <c r="Q58" i="30"/>
  <c r="R50" i="30" s="1"/>
  <c r="I14" i="29"/>
  <c r="I15" i="29" s="1"/>
  <c r="P58" i="30"/>
  <c r="F14" i="29"/>
  <c r="F15" i="29" s="1"/>
  <c r="P23" i="30"/>
  <c r="Q23" i="30"/>
  <c r="R15" i="30" s="1"/>
  <c r="K14" i="29"/>
  <c r="P37" i="30"/>
  <c r="Q37" i="30"/>
  <c r="R31" i="30" s="1"/>
  <c r="Q49" i="30"/>
  <c r="R45" i="30" s="1"/>
  <c r="H14" i="29"/>
  <c r="H15" i="29" s="1"/>
  <c r="P49" i="30"/>
  <c r="AF35" i="20"/>
  <c r="AG30" i="20" s="1"/>
  <c r="N35" i="20"/>
  <c r="AE35" i="20"/>
  <c r="N42" i="20"/>
  <c r="AE42" i="20"/>
  <c r="AF42" i="20"/>
  <c r="AG36" i="20" s="1"/>
  <c r="P40" i="20"/>
  <c r="Q40" i="20"/>
  <c r="N22" i="20"/>
  <c r="AE22" i="20"/>
  <c r="AF22" i="20"/>
  <c r="AG14" i="20" s="1"/>
  <c r="Q64" i="20"/>
  <c r="P64" i="20"/>
  <c r="Q10" i="18"/>
  <c r="P10" i="18"/>
  <c r="N8" i="18"/>
  <c r="AE8" i="18"/>
  <c r="AF8" i="18"/>
  <c r="AG5" i="18" s="1"/>
  <c r="AE59" i="18"/>
  <c r="N59" i="18"/>
  <c r="AF59" i="18"/>
  <c r="AG52" i="18" s="1"/>
  <c r="Q54" i="18"/>
  <c r="P54" i="18"/>
  <c r="Q33" i="18"/>
  <c r="P33" i="18"/>
  <c r="Q26" i="18"/>
  <c r="P26" i="18"/>
  <c r="Q70" i="18"/>
  <c r="P70" i="18"/>
  <c r="P45" i="18"/>
  <c r="Q45" i="18"/>
  <c r="AE73" i="18"/>
  <c r="N73" i="18"/>
  <c r="AF73" i="18"/>
  <c r="AG65" i="18" s="1"/>
  <c r="Q63" i="18"/>
  <c r="P63" i="18"/>
  <c r="P68" i="18"/>
  <c r="Q68" i="18"/>
  <c r="Q17" i="18"/>
  <c r="P17" i="18"/>
  <c r="P61" i="18"/>
  <c r="Q61" i="18"/>
  <c r="Q5" i="18"/>
  <c r="N7" i="18"/>
  <c r="M14" i="18"/>
  <c r="N21" i="18"/>
  <c r="M23" i="18"/>
  <c r="M37" i="18"/>
  <c r="N42" i="18"/>
  <c r="Q47" i="18"/>
  <c r="N49" i="18"/>
  <c r="M51" i="18"/>
  <c r="N58" i="18"/>
  <c r="N72" i="18"/>
  <c r="N9" i="18"/>
  <c r="AE10" i="18"/>
  <c r="AE17" i="18"/>
  <c r="AE26" i="18"/>
  <c r="AF45" i="18"/>
  <c r="N60" i="18"/>
  <c r="N12" i="18"/>
  <c r="N19" i="18"/>
  <c r="N28" i="18"/>
  <c r="M30" i="18"/>
  <c r="N35" i="18"/>
  <c r="N40" i="18"/>
  <c r="N56" i="18"/>
  <c r="N65" i="18"/>
  <c r="AF61" i="18"/>
  <c r="AF68" i="18"/>
  <c r="AE19" i="18"/>
  <c r="AE28" i="18"/>
  <c r="AE40" i="18"/>
  <c r="M46" i="18"/>
  <c r="AE56" i="18"/>
  <c r="AF56" i="18"/>
  <c r="AE7" i="18"/>
  <c r="AE12" i="18"/>
  <c r="AE21" i="18"/>
  <c r="AE35" i="18"/>
  <c r="AE49" i="18"/>
  <c r="AE58" i="18"/>
  <c r="N64" i="18"/>
  <c r="AE65" i="18"/>
  <c r="AE72" i="18"/>
  <c r="AF7" i="18"/>
  <c r="P16" i="18"/>
  <c r="P25" i="18"/>
  <c r="P32" i="18"/>
  <c r="P53" i="18"/>
  <c r="P62" i="18"/>
  <c r="AF65" i="18"/>
  <c r="P69" i="18"/>
  <c r="AE42" i="18"/>
  <c r="AE9" i="18"/>
  <c r="G6" i="17"/>
  <c r="P6" i="18"/>
  <c r="P20" i="18"/>
  <c r="P29" i="18"/>
  <c r="P41" i="18"/>
  <c r="P48" i="18"/>
  <c r="P57" i="18"/>
  <c r="P71" i="18"/>
  <c r="E6" i="17"/>
  <c r="P24" i="18"/>
  <c r="P38" i="18"/>
  <c r="P43" i="18"/>
  <c r="P52" i="18"/>
  <c r="AE64" i="18"/>
  <c r="P15" i="18"/>
  <c r="AD78" i="12"/>
  <c r="Z78" i="12"/>
  <c r="Y78" i="12"/>
  <c r="O78" i="12"/>
  <c r="K78" i="12"/>
  <c r="M13" i="11" s="1"/>
  <c r="V77" i="12"/>
  <c r="U77" i="12"/>
  <c r="O77" i="12"/>
  <c r="M77" i="12"/>
  <c r="AE77" i="12" s="1"/>
  <c r="K77" i="12"/>
  <c r="G77" i="12"/>
  <c r="V76" i="12"/>
  <c r="U76" i="12"/>
  <c r="O76" i="12"/>
  <c r="M76" i="12"/>
  <c r="K76" i="12"/>
  <c r="G76" i="12"/>
  <c r="AF75" i="12"/>
  <c r="V75" i="12"/>
  <c r="M75" i="12" s="1"/>
  <c r="N75" i="12" s="1"/>
  <c r="Q75" i="12" s="1"/>
  <c r="U75" i="12"/>
  <c r="P75" i="12"/>
  <c r="O75" i="12"/>
  <c r="K75" i="12"/>
  <c r="G75" i="12"/>
  <c r="X74" i="12"/>
  <c r="W74" i="12"/>
  <c r="V74" i="12"/>
  <c r="U74" i="12"/>
  <c r="O74" i="12"/>
  <c r="N74" i="12"/>
  <c r="Q74" i="12" s="1"/>
  <c r="M74" i="12"/>
  <c r="K74" i="12"/>
  <c r="G74" i="12"/>
  <c r="V73" i="12"/>
  <c r="M73" i="12" s="1"/>
  <c r="U73" i="12"/>
  <c r="O73" i="12"/>
  <c r="K73" i="12"/>
  <c r="G73" i="12"/>
  <c r="V72" i="12"/>
  <c r="M72" i="12" s="1"/>
  <c r="U72" i="12"/>
  <c r="O72" i="12"/>
  <c r="K72" i="12"/>
  <c r="G72" i="12"/>
  <c r="AF71" i="12"/>
  <c r="V71" i="12"/>
  <c r="U71" i="12"/>
  <c r="O71" i="12"/>
  <c r="M71" i="12"/>
  <c r="AE71" i="12" s="1"/>
  <c r="K71" i="12"/>
  <c r="G71" i="12"/>
  <c r="AF70" i="12"/>
  <c r="AE70" i="12"/>
  <c r="V70" i="12"/>
  <c r="U70" i="12"/>
  <c r="O70" i="12"/>
  <c r="M70" i="12"/>
  <c r="N70" i="12" s="1"/>
  <c r="K70" i="12"/>
  <c r="G70" i="12"/>
  <c r="X69" i="12"/>
  <c r="W69" i="12"/>
  <c r="V69" i="12"/>
  <c r="O69" i="12"/>
  <c r="N69" i="12"/>
  <c r="M69" i="12"/>
  <c r="AF69" i="12" s="1"/>
  <c r="K69" i="12"/>
  <c r="G69" i="12"/>
  <c r="AD68" i="12"/>
  <c r="Z68" i="12"/>
  <c r="J19" i="11" s="1"/>
  <c r="Y68" i="12"/>
  <c r="O68" i="12"/>
  <c r="K68" i="12"/>
  <c r="V67" i="12"/>
  <c r="U67" i="12"/>
  <c r="O67" i="12"/>
  <c r="N67" i="12"/>
  <c r="Q67" i="12" s="1"/>
  <c r="M67" i="12"/>
  <c r="K67" i="12"/>
  <c r="G67" i="12"/>
  <c r="V66" i="12"/>
  <c r="M66" i="12" s="1"/>
  <c r="U66" i="12"/>
  <c r="O66" i="12"/>
  <c r="K66" i="12"/>
  <c r="G66" i="12"/>
  <c r="V65" i="12"/>
  <c r="M65" i="12" s="1"/>
  <c r="U65" i="12"/>
  <c r="O65" i="12"/>
  <c r="K65" i="12"/>
  <c r="G65" i="12"/>
  <c r="V64" i="12"/>
  <c r="M64" i="12" s="1"/>
  <c r="O64" i="12"/>
  <c r="K64" i="12"/>
  <c r="G64" i="12"/>
  <c r="AD63" i="12"/>
  <c r="Z63" i="12"/>
  <c r="Y63" i="12"/>
  <c r="O63" i="12"/>
  <c r="K63" i="12"/>
  <c r="V62" i="12"/>
  <c r="U62" i="12"/>
  <c r="O62" i="12"/>
  <c r="M62" i="12"/>
  <c r="K62" i="12"/>
  <c r="G62" i="12"/>
  <c r="AF61" i="12"/>
  <c r="AE61" i="12"/>
  <c r="V61" i="12"/>
  <c r="M61" i="12" s="1"/>
  <c r="N61" i="12" s="1"/>
  <c r="Q61" i="12" s="1"/>
  <c r="U61" i="12"/>
  <c r="P61" i="12"/>
  <c r="O61" i="12"/>
  <c r="K61" i="12"/>
  <c r="G61" i="12"/>
  <c r="AE60" i="12"/>
  <c r="V60" i="12"/>
  <c r="U60" i="12"/>
  <c r="O60" i="12"/>
  <c r="N60" i="12"/>
  <c r="M60" i="12"/>
  <c r="AF60" i="12" s="1"/>
  <c r="K60" i="12"/>
  <c r="G60" i="12"/>
  <c r="AE59" i="12"/>
  <c r="V59" i="12"/>
  <c r="M59" i="12" s="1"/>
  <c r="U59" i="12"/>
  <c r="O59" i="12"/>
  <c r="K59" i="12"/>
  <c r="G59" i="12"/>
  <c r="V58" i="12"/>
  <c r="U58" i="12"/>
  <c r="O58" i="12"/>
  <c r="M58" i="12"/>
  <c r="AF58" i="12" s="1"/>
  <c r="K58" i="12"/>
  <c r="G58" i="12"/>
  <c r="V57" i="12"/>
  <c r="M57" i="12" s="1"/>
  <c r="U57" i="12"/>
  <c r="O57" i="12"/>
  <c r="K57" i="12"/>
  <c r="G57" i="12"/>
  <c r="V56" i="12"/>
  <c r="M56" i="12" s="1"/>
  <c r="U56" i="12"/>
  <c r="O56" i="12"/>
  <c r="K56" i="12"/>
  <c r="G56" i="12"/>
  <c r="V55" i="12"/>
  <c r="M55" i="12" s="1"/>
  <c r="O55" i="12"/>
  <c r="N55" i="12"/>
  <c r="K55" i="12"/>
  <c r="G55" i="12"/>
  <c r="AD54" i="12"/>
  <c r="H21" i="11" s="1"/>
  <c r="Z54" i="12"/>
  <c r="H19" i="11" s="1"/>
  <c r="Y54" i="12"/>
  <c r="O54" i="12"/>
  <c r="K54" i="12"/>
  <c r="V53" i="12"/>
  <c r="U53" i="12"/>
  <c r="O53" i="12"/>
  <c r="N53" i="12"/>
  <c r="Q53" i="12" s="1"/>
  <c r="M53" i="12"/>
  <c r="K53" i="12"/>
  <c r="G53" i="12"/>
  <c r="V52" i="12"/>
  <c r="M52" i="12" s="1"/>
  <c r="N52" i="12" s="1"/>
  <c r="Q52" i="12" s="1"/>
  <c r="U52" i="12"/>
  <c r="P52" i="12"/>
  <c r="O52" i="12"/>
  <c r="K52" i="12"/>
  <c r="G52" i="12"/>
  <c r="V51" i="12"/>
  <c r="U51" i="12"/>
  <c r="P51" i="12"/>
  <c r="O51" i="12"/>
  <c r="N51" i="12"/>
  <c r="M51" i="12"/>
  <c r="AF51" i="12" s="1"/>
  <c r="K51" i="12"/>
  <c r="G51" i="12"/>
  <c r="AF50" i="12"/>
  <c r="V50" i="12"/>
  <c r="M50" i="12" s="1"/>
  <c r="O50" i="12"/>
  <c r="K50" i="12"/>
  <c r="G50" i="12"/>
  <c r="AD49" i="12"/>
  <c r="L21" i="11" s="1"/>
  <c r="Z49" i="12"/>
  <c r="L19" i="11" s="1"/>
  <c r="Y49" i="12"/>
  <c r="L18" i="11" s="1"/>
  <c r="O49" i="12"/>
  <c r="K49" i="12"/>
  <c r="L13" i="11" s="1"/>
  <c r="AF48" i="12"/>
  <c r="AE48" i="12"/>
  <c r="V48" i="12"/>
  <c r="U48" i="12"/>
  <c r="O48" i="12"/>
  <c r="M48" i="12"/>
  <c r="N48" i="12" s="1"/>
  <c r="K48" i="12"/>
  <c r="G48" i="12"/>
  <c r="V47" i="12"/>
  <c r="M47" i="12" s="1"/>
  <c r="AF47" i="12" s="1"/>
  <c r="U47" i="12"/>
  <c r="Q47" i="12"/>
  <c r="P47" i="12"/>
  <c r="O47" i="12"/>
  <c r="N47" i="12"/>
  <c r="K47" i="12"/>
  <c r="G47" i="12"/>
  <c r="V46" i="12"/>
  <c r="M46" i="12" s="1"/>
  <c r="U46" i="12"/>
  <c r="O46" i="12"/>
  <c r="K46" i="12"/>
  <c r="G46" i="12"/>
  <c r="AF45" i="12"/>
  <c r="AE45" i="12"/>
  <c r="X45" i="12"/>
  <c r="W45" i="12"/>
  <c r="V45" i="12"/>
  <c r="M45" i="12" s="1"/>
  <c r="N45" i="12" s="1"/>
  <c r="Q45" i="12" s="1"/>
  <c r="U45" i="12"/>
  <c r="P45" i="12"/>
  <c r="O45" i="12"/>
  <c r="K45" i="12"/>
  <c r="G45" i="12"/>
  <c r="V44" i="12"/>
  <c r="U44" i="12"/>
  <c r="O44" i="12"/>
  <c r="M44" i="12"/>
  <c r="K44" i="12"/>
  <c r="G44" i="12"/>
  <c r="V43" i="12"/>
  <c r="M43" i="12" s="1"/>
  <c r="N43" i="12" s="1"/>
  <c r="P43" i="12" s="1"/>
  <c r="U43" i="12"/>
  <c r="O43" i="12"/>
  <c r="K43" i="12"/>
  <c r="G43" i="12"/>
  <c r="V42" i="12"/>
  <c r="U42" i="12"/>
  <c r="O42" i="12"/>
  <c r="N42" i="12"/>
  <c r="M42" i="12"/>
  <c r="AF42" i="12" s="1"/>
  <c r="K42" i="12"/>
  <c r="Q42" i="12" s="1"/>
  <c r="G42" i="12"/>
  <c r="X41" i="12"/>
  <c r="W41" i="12"/>
  <c r="V41" i="12"/>
  <c r="M41" i="12" s="1"/>
  <c r="AF41" i="12" s="1"/>
  <c r="O41" i="12"/>
  <c r="K41" i="12"/>
  <c r="G41" i="12"/>
  <c r="AD40" i="12"/>
  <c r="Z40" i="12"/>
  <c r="K19" i="11" s="1"/>
  <c r="Y40" i="12"/>
  <c r="K18" i="11" s="1"/>
  <c r="O40" i="12"/>
  <c r="K40" i="12"/>
  <c r="V39" i="12"/>
  <c r="U39" i="12"/>
  <c r="O39" i="12"/>
  <c r="N39" i="12"/>
  <c r="Q39" i="12" s="1"/>
  <c r="M39" i="12"/>
  <c r="K39" i="12"/>
  <c r="G39" i="12"/>
  <c r="V38" i="12"/>
  <c r="M38" i="12" s="1"/>
  <c r="N38" i="12" s="1"/>
  <c r="U38" i="12"/>
  <c r="Q38" i="12"/>
  <c r="P38" i="12"/>
  <c r="O38" i="12"/>
  <c r="K38" i="12"/>
  <c r="G38" i="12"/>
  <c r="X37" i="12"/>
  <c r="W37" i="12"/>
  <c r="V37" i="12"/>
  <c r="U37" i="12"/>
  <c r="O37" i="12"/>
  <c r="N37" i="12"/>
  <c r="Q37" i="12" s="1"/>
  <c r="M37" i="12"/>
  <c r="K37" i="12"/>
  <c r="G37" i="12"/>
  <c r="V36" i="12"/>
  <c r="M36" i="12" s="1"/>
  <c r="N36" i="12" s="1"/>
  <c r="U36" i="12"/>
  <c r="O36" i="12"/>
  <c r="K36" i="12"/>
  <c r="G36" i="12"/>
  <c r="V35" i="12"/>
  <c r="M35" i="12" s="1"/>
  <c r="U35" i="12"/>
  <c r="O35" i="12"/>
  <c r="K35" i="12"/>
  <c r="G35" i="12"/>
  <c r="V34" i="12"/>
  <c r="U34" i="12"/>
  <c r="O34" i="12"/>
  <c r="M34" i="12"/>
  <c r="AE34" i="12" s="1"/>
  <c r="K34" i="12"/>
  <c r="G34" i="12"/>
  <c r="X33" i="12"/>
  <c r="W33" i="12"/>
  <c r="V33" i="12"/>
  <c r="M33" i="12" s="1"/>
  <c r="AE33" i="12" s="1"/>
  <c r="O33" i="12"/>
  <c r="K33" i="12"/>
  <c r="G33" i="12"/>
  <c r="AD32" i="12"/>
  <c r="G21" i="11" s="1"/>
  <c r="Z32" i="12"/>
  <c r="Y32" i="12"/>
  <c r="O32" i="12"/>
  <c r="K32" i="12"/>
  <c r="AE31" i="12"/>
  <c r="V31" i="12"/>
  <c r="M31" i="12" s="1"/>
  <c r="N31" i="12" s="1"/>
  <c r="P31" i="12" s="1"/>
  <c r="U31" i="12"/>
  <c r="Q31" i="12"/>
  <c r="O31" i="12"/>
  <c r="K31" i="12"/>
  <c r="G31" i="12"/>
  <c r="AE30" i="12"/>
  <c r="X30" i="12"/>
  <c r="W30" i="12"/>
  <c r="V30" i="12"/>
  <c r="U30" i="12"/>
  <c r="O30" i="12"/>
  <c r="M30" i="12"/>
  <c r="AF30" i="12" s="1"/>
  <c r="K30" i="12"/>
  <c r="G30" i="12"/>
  <c r="AF29" i="12"/>
  <c r="V29" i="12"/>
  <c r="U29" i="12"/>
  <c r="O29" i="12"/>
  <c r="M29" i="12"/>
  <c r="AE29" i="12" s="1"/>
  <c r="K29" i="12"/>
  <c r="G29" i="12"/>
  <c r="AF28" i="12"/>
  <c r="V28" i="12"/>
  <c r="U28" i="12"/>
  <c r="O28" i="12"/>
  <c r="M28" i="12"/>
  <c r="AE28" i="12" s="1"/>
  <c r="K28" i="12"/>
  <c r="G28" i="12"/>
  <c r="V27" i="12"/>
  <c r="U27" i="12"/>
  <c r="O27" i="12"/>
  <c r="M27" i="12"/>
  <c r="K27" i="12"/>
  <c r="G27" i="12"/>
  <c r="V26" i="12"/>
  <c r="M26" i="12" s="1"/>
  <c r="AF26" i="12" s="1"/>
  <c r="U26" i="12"/>
  <c r="O26" i="12"/>
  <c r="K26" i="12"/>
  <c r="G26" i="12"/>
  <c r="V25" i="12"/>
  <c r="U25" i="12"/>
  <c r="O25" i="12"/>
  <c r="N25" i="12"/>
  <c r="M25" i="12"/>
  <c r="K25" i="12"/>
  <c r="Q25" i="12" s="1"/>
  <c r="G25" i="12"/>
  <c r="V24" i="12"/>
  <c r="M24" i="12" s="1"/>
  <c r="N24" i="12" s="1"/>
  <c r="P24" i="12" s="1"/>
  <c r="Q24" i="12"/>
  <c r="O24" i="12"/>
  <c r="K24" i="12"/>
  <c r="G24" i="12"/>
  <c r="AD23" i="12"/>
  <c r="Z23" i="12"/>
  <c r="F19" i="11" s="1"/>
  <c r="Y23" i="12"/>
  <c r="F18" i="11" s="1"/>
  <c r="O23" i="12"/>
  <c r="K23" i="12"/>
  <c r="F13" i="11" s="1"/>
  <c r="V22" i="12"/>
  <c r="M22" i="12" s="1"/>
  <c r="N22" i="12" s="1"/>
  <c r="U22" i="12"/>
  <c r="O22" i="12"/>
  <c r="K22" i="12"/>
  <c r="G22" i="12"/>
  <c r="X21" i="12"/>
  <c r="W21" i="12"/>
  <c r="V21" i="12"/>
  <c r="U21" i="12"/>
  <c r="O21" i="12"/>
  <c r="M21" i="12"/>
  <c r="AF21" i="12" s="1"/>
  <c r="K21" i="12"/>
  <c r="G21" i="12"/>
  <c r="V20" i="12"/>
  <c r="U20" i="12"/>
  <c r="O20" i="12"/>
  <c r="M20" i="12"/>
  <c r="K20" i="12"/>
  <c r="G20" i="12"/>
  <c r="V19" i="12"/>
  <c r="M19" i="12" s="1"/>
  <c r="AF19" i="12" s="1"/>
  <c r="U19" i="12"/>
  <c r="O19" i="12"/>
  <c r="N19" i="12"/>
  <c r="Q19" i="12" s="1"/>
  <c r="K19" i="12"/>
  <c r="G19" i="12"/>
  <c r="V18" i="12"/>
  <c r="U18" i="12"/>
  <c r="O18" i="12"/>
  <c r="M18" i="12"/>
  <c r="K18" i="12"/>
  <c r="G18" i="12"/>
  <c r="AF17" i="12"/>
  <c r="AE17" i="12"/>
  <c r="V17" i="12"/>
  <c r="M17" i="12" s="1"/>
  <c r="N17" i="12" s="1"/>
  <c r="U17" i="12"/>
  <c r="Q17" i="12"/>
  <c r="P17" i="12"/>
  <c r="O17" i="12"/>
  <c r="K17" i="12"/>
  <c r="G17" i="12"/>
  <c r="V16" i="12"/>
  <c r="M16" i="12" s="1"/>
  <c r="U16" i="12"/>
  <c r="O16" i="12"/>
  <c r="K16" i="12"/>
  <c r="G16" i="12"/>
  <c r="AF15" i="12"/>
  <c r="AE15" i="12"/>
  <c r="V15" i="12"/>
  <c r="M15" i="12" s="1"/>
  <c r="N15" i="12" s="1"/>
  <c r="O15" i="12"/>
  <c r="K15" i="12"/>
  <c r="G15" i="12"/>
  <c r="AD14" i="12"/>
  <c r="Z14" i="12"/>
  <c r="Z2" i="12" s="1"/>
  <c r="L6" i="11" s="1"/>
  <c r="Y14" i="12"/>
  <c r="E18" i="11" s="1"/>
  <c r="O14" i="12"/>
  <c r="M14" i="12"/>
  <c r="AF14" i="12" s="1"/>
  <c r="AG9" i="12" s="1"/>
  <c r="K14" i="12"/>
  <c r="E13" i="11" s="1"/>
  <c r="V13" i="12"/>
  <c r="U13" i="12"/>
  <c r="O13" i="12"/>
  <c r="N13" i="12"/>
  <c r="M13" i="12"/>
  <c r="AE13" i="12" s="1"/>
  <c r="K13" i="12"/>
  <c r="G13" i="12"/>
  <c r="X12" i="12"/>
  <c r="W12" i="12"/>
  <c r="V12" i="12"/>
  <c r="M12" i="12" s="1"/>
  <c r="AE12" i="12" s="1"/>
  <c r="U12" i="12"/>
  <c r="Q12" i="12"/>
  <c r="O12" i="12"/>
  <c r="N12" i="12"/>
  <c r="P12" i="12" s="1"/>
  <c r="K12" i="12"/>
  <c r="G12" i="12"/>
  <c r="V11" i="12"/>
  <c r="U11" i="12"/>
  <c r="O11" i="12"/>
  <c r="N11" i="12"/>
  <c r="P11" i="12" s="1"/>
  <c r="M11" i="12"/>
  <c r="K11" i="12"/>
  <c r="G11" i="12"/>
  <c r="V10" i="12"/>
  <c r="M10" i="12" s="1"/>
  <c r="N10" i="12" s="1"/>
  <c r="U10" i="12"/>
  <c r="Q10" i="12"/>
  <c r="P10" i="12"/>
  <c r="O10" i="12"/>
  <c r="K10" i="12"/>
  <c r="G10" i="12"/>
  <c r="AF9" i="12"/>
  <c r="AE9" i="12"/>
  <c r="X9" i="12"/>
  <c r="W9" i="12"/>
  <c r="V9" i="12"/>
  <c r="O9" i="12"/>
  <c r="M9" i="12"/>
  <c r="N9" i="12" s="1"/>
  <c r="K9" i="12"/>
  <c r="G9" i="12"/>
  <c r="AD8" i="12"/>
  <c r="Z8" i="12"/>
  <c r="Y8" i="12"/>
  <c r="D18" i="11" s="1"/>
  <c r="O8" i="12"/>
  <c r="K8" i="12"/>
  <c r="AF7" i="12"/>
  <c r="AE7" i="12"/>
  <c r="V7" i="12"/>
  <c r="U7" i="12"/>
  <c r="O7" i="12"/>
  <c r="N7" i="12"/>
  <c r="Q7" i="12" s="1"/>
  <c r="M7" i="12"/>
  <c r="K7" i="12"/>
  <c r="G7" i="12"/>
  <c r="V6" i="12"/>
  <c r="U6" i="12"/>
  <c r="O6" i="12"/>
  <c r="M6" i="12"/>
  <c r="K6" i="12"/>
  <c r="G6" i="12"/>
  <c r="F1" i="12" s="1"/>
  <c r="V5" i="12"/>
  <c r="M5" i="12" s="1"/>
  <c r="AF5" i="12" s="1"/>
  <c r="O5" i="12"/>
  <c r="K5" i="12"/>
  <c r="G5" i="12"/>
  <c r="H2" i="12"/>
  <c r="H1" i="12"/>
  <c r="D1" i="12"/>
  <c r="M22" i="11"/>
  <c r="L22" i="11"/>
  <c r="K22" i="11"/>
  <c r="J22" i="11"/>
  <c r="I22" i="11"/>
  <c r="H22" i="11"/>
  <c r="G22" i="11"/>
  <c r="F22" i="11"/>
  <c r="E22" i="11"/>
  <c r="D22" i="11"/>
  <c r="M21" i="11"/>
  <c r="K21" i="11"/>
  <c r="J21" i="11"/>
  <c r="I21" i="11"/>
  <c r="F21" i="11"/>
  <c r="D21" i="11"/>
  <c r="M20" i="11"/>
  <c r="L20" i="11"/>
  <c r="K20" i="11"/>
  <c r="J20" i="11"/>
  <c r="I20" i="11"/>
  <c r="H20" i="11"/>
  <c r="G20" i="11"/>
  <c r="F20" i="11"/>
  <c r="E20" i="11"/>
  <c r="D20" i="11"/>
  <c r="M19" i="11"/>
  <c r="I19" i="11"/>
  <c r="G19" i="11"/>
  <c r="D19" i="11"/>
  <c r="M18" i="11"/>
  <c r="J18" i="11"/>
  <c r="I18" i="11"/>
  <c r="H18" i="11"/>
  <c r="G18" i="11"/>
  <c r="M17" i="11"/>
  <c r="L17" i="11"/>
  <c r="K17" i="11"/>
  <c r="J17" i="11"/>
  <c r="I17" i="11"/>
  <c r="H17" i="11"/>
  <c r="G17" i="11"/>
  <c r="F17" i="11"/>
  <c r="E17" i="11"/>
  <c r="D17" i="11"/>
  <c r="M16" i="11"/>
  <c r="L16" i="11"/>
  <c r="K16" i="11"/>
  <c r="J16" i="11"/>
  <c r="I16" i="11"/>
  <c r="H16" i="11"/>
  <c r="G16" i="11"/>
  <c r="F16" i="11"/>
  <c r="E16" i="11"/>
  <c r="D16" i="11"/>
  <c r="K13" i="11"/>
  <c r="I6" i="11" s="1"/>
  <c r="J13" i="11"/>
  <c r="I13" i="11"/>
  <c r="H13" i="11"/>
  <c r="G13" i="11"/>
  <c r="D13" i="11"/>
  <c r="M6" i="11"/>
  <c r="F3" i="11"/>
  <c r="C3" i="11"/>
  <c r="F8" i="31" l="1"/>
  <c r="G8" i="31"/>
  <c r="E8" i="31"/>
  <c r="F7" i="29"/>
  <c r="E7" i="29"/>
  <c r="G7" i="29"/>
  <c r="D15" i="29"/>
  <c r="K15" i="29"/>
  <c r="I8" i="29" s="1"/>
  <c r="I7" i="29"/>
  <c r="L14" i="19"/>
  <c r="L15" i="19" s="1"/>
  <c r="Q42" i="20"/>
  <c r="R36" i="20" s="1"/>
  <c r="P42" i="20"/>
  <c r="P35" i="20"/>
  <c r="K14" i="19"/>
  <c r="Q35" i="20"/>
  <c r="R30" i="20" s="1"/>
  <c r="P22" i="20"/>
  <c r="Q22" i="20"/>
  <c r="R14" i="20" s="1"/>
  <c r="F14" i="19"/>
  <c r="D2" i="20"/>
  <c r="Q58" i="18"/>
  <c r="P58" i="18"/>
  <c r="AF51" i="18"/>
  <c r="AG47" i="18" s="1"/>
  <c r="AE51" i="18"/>
  <c r="N51" i="18"/>
  <c r="Q42" i="18"/>
  <c r="P42" i="18"/>
  <c r="AF37" i="18"/>
  <c r="AG31" i="18" s="1"/>
  <c r="AE37" i="18"/>
  <c r="N37" i="18"/>
  <c r="Q65" i="18"/>
  <c r="P65" i="18"/>
  <c r="AF23" i="18"/>
  <c r="AG15" i="18" s="1"/>
  <c r="AE23" i="18"/>
  <c r="N23" i="18"/>
  <c r="Q21" i="18"/>
  <c r="P21" i="18"/>
  <c r="AF14" i="18"/>
  <c r="AG9" i="18" s="1"/>
  <c r="AE14" i="18"/>
  <c r="N14" i="18"/>
  <c r="D2" i="18" s="1"/>
  <c r="AF30" i="18"/>
  <c r="AG24" i="18" s="1"/>
  <c r="AE30" i="18"/>
  <c r="N30" i="18"/>
  <c r="Q7" i="18"/>
  <c r="P7" i="18"/>
  <c r="Q64" i="18"/>
  <c r="R60" i="18" s="1"/>
  <c r="P64" i="18"/>
  <c r="J14" i="17"/>
  <c r="J15" i="17" s="1"/>
  <c r="Q28" i="18"/>
  <c r="P28" i="18"/>
  <c r="Q19" i="18"/>
  <c r="P19" i="18"/>
  <c r="Q12" i="18"/>
  <c r="P12" i="18"/>
  <c r="Q49" i="18"/>
  <c r="P49" i="18"/>
  <c r="Q56" i="18"/>
  <c r="P56" i="18"/>
  <c r="Q40" i="18"/>
  <c r="P40" i="18"/>
  <c r="Q35" i="18"/>
  <c r="P35" i="18"/>
  <c r="Q60" i="18"/>
  <c r="P60" i="18"/>
  <c r="Q59" i="18"/>
  <c r="R52" i="18" s="1"/>
  <c r="P59" i="18"/>
  <c r="I14" i="17"/>
  <c r="I15" i="17" s="1"/>
  <c r="D14" i="17"/>
  <c r="Q8" i="18"/>
  <c r="R5" i="18" s="1"/>
  <c r="P8" i="18"/>
  <c r="Q73" i="18"/>
  <c r="R65" i="18" s="1"/>
  <c r="P73" i="18"/>
  <c r="M14" i="17"/>
  <c r="M15" i="17" s="1"/>
  <c r="Q9" i="18"/>
  <c r="P9" i="18"/>
  <c r="AF46" i="18"/>
  <c r="AG38" i="18" s="1"/>
  <c r="AE46" i="18"/>
  <c r="N46" i="18"/>
  <c r="Q72" i="18"/>
  <c r="P72" i="18"/>
  <c r="AF16" i="12"/>
  <c r="AE16" i="12"/>
  <c r="M23" i="12"/>
  <c r="N16" i="12"/>
  <c r="AF35" i="12"/>
  <c r="N35" i="12"/>
  <c r="AE35" i="12"/>
  <c r="F2" i="12"/>
  <c r="I3" i="11"/>
  <c r="AF56" i="12"/>
  <c r="N56" i="12"/>
  <c r="AE56" i="12"/>
  <c r="Q9" i="12"/>
  <c r="P9" i="12"/>
  <c r="G6" i="11"/>
  <c r="N14" i="12"/>
  <c r="AF25" i="12"/>
  <c r="AE25" i="12"/>
  <c r="P25" i="12"/>
  <c r="AF76" i="12"/>
  <c r="AE76" i="12"/>
  <c r="N76" i="12"/>
  <c r="M40" i="12"/>
  <c r="N33" i="12"/>
  <c r="N73" i="12"/>
  <c r="AF73" i="12"/>
  <c r="N21" i="12"/>
  <c r="AF31" i="12"/>
  <c r="AF33" i="12"/>
  <c r="N59" i="12"/>
  <c r="AF59" i="12"/>
  <c r="AF62" i="12"/>
  <c r="AE62" i="12"/>
  <c r="N62" i="12"/>
  <c r="AF74" i="12"/>
  <c r="AE74" i="12"/>
  <c r="N5" i="12"/>
  <c r="M8" i="12"/>
  <c r="AF27" i="12"/>
  <c r="AE27" i="12"/>
  <c r="N27" i="12"/>
  <c r="P42" i="12"/>
  <c r="AF44" i="12"/>
  <c r="AE44" i="12"/>
  <c r="E6" i="11"/>
  <c r="F6" i="11"/>
  <c r="AE73" i="12"/>
  <c r="M32" i="12"/>
  <c r="N30" i="12"/>
  <c r="AD2" i="12"/>
  <c r="N6" i="11" s="1"/>
  <c r="P19" i="12"/>
  <c r="AE14" i="12"/>
  <c r="N34" i="12"/>
  <c r="AE36" i="12"/>
  <c r="AE38" i="12"/>
  <c r="AE42" i="12"/>
  <c r="Q60" i="12"/>
  <c r="P60" i="12"/>
  <c r="Q69" i="12"/>
  <c r="P69" i="12"/>
  <c r="N26" i="12"/>
  <c r="AF36" i="12"/>
  <c r="AF38" i="12"/>
  <c r="AE47" i="12"/>
  <c r="AE52" i="12"/>
  <c r="Q55" i="12"/>
  <c r="P55" i="12"/>
  <c r="N66" i="12"/>
  <c r="AF66" i="12"/>
  <c r="N77" i="12"/>
  <c r="AF10" i="12"/>
  <c r="AF12" i="12"/>
  <c r="AF52" i="12"/>
  <c r="AE66" i="12"/>
  <c r="E19" i="11"/>
  <c r="Y2" i="12"/>
  <c r="K6" i="11" s="1"/>
  <c r="AE19" i="12"/>
  <c r="AE21" i="12"/>
  <c r="N41" i="12"/>
  <c r="M63" i="12"/>
  <c r="AF55" i="12"/>
  <c r="AE55" i="12"/>
  <c r="N58" i="12"/>
  <c r="AE5" i="12"/>
  <c r="N44" i="12"/>
  <c r="AF46" i="12"/>
  <c r="AE46" i="12"/>
  <c r="M49" i="12"/>
  <c r="AF65" i="12"/>
  <c r="AE65" i="12"/>
  <c r="N65" i="12"/>
  <c r="AF6" i="12"/>
  <c r="AE6" i="12"/>
  <c r="N6" i="12"/>
  <c r="N57" i="12"/>
  <c r="AF57" i="12"/>
  <c r="P74" i="12"/>
  <c r="N28" i="12"/>
  <c r="Q36" i="12"/>
  <c r="P36" i="12"/>
  <c r="AE57" i="12"/>
  <c r="E21" i="11"/>
  <c r="AE10" i="12"/>
  <c r="Q15" i="12"/>
  <c r="P15" i="12"/>
  <c r="AF34" i="12"/>
  <c r="AF37" i="12"/>
  <c r="AE37" i="12"/>
  <c r="AF39" i="12"/>
  <c r="AE39" i="12"/>
  <c r="Q43" i="12"/>
  <c r="M54" i="12"/>
  <c r="N50" i="12"/>
  <c r="AE50" i="12"/>
  <c r="AF11" i="12"/>
  <c r="AE11" i="12"/>
  <c r="P48" i="12"/>
  <c r="Q48" i="12"/>
  <c r="AF53" i="12"/>
  <c r="AE53" i="12"/>
  <c r="AF67" i="12"/>
  <c r="AE67" i="12"/>
  <c r="AF77" i="12"/>
  <c r="P13" i="12"/>
  <c r="Q13" i="12"/>
  <c r="AF72" i="12"/>
  <c r="AE72" i="12"/>
  <c r="N72" i="12"/>
  <c r="P7" i="12"/>
  <c r="AF20" i="12"/>
  <c r="AE20" i="12"/>
  <c r="N20" i="12"/>
  <c r="AE26" i="12"/>
  <c r="P37" i="12"/>
  <c r="P39" i="12"/>
  <c r="AE43" i="12"/>
  <c r="P70" i="12"/>
  <c r="Q11" i="12"/>
  <c r="Q22" i="12"/>
  <c r="P22" i="12"/>
  <c r="AE24" i="12"/>
  <c r="AE41" i="12"/>
  <c r="AF43" i="12"/>
  <c r="P53" i="12"/>
  <c r="P67" i="12"/>
  <c r="AF18" i="12"/>
  <c r="AE18" i="12"/>
  <c r="AE22" i="12"/>
  <c r="AF24" i="12"/>
  <c r="N46" i="12"/>
  <c r="AE58" i="12"/>
  <c r="AF64" i="12"/>
  <c r="AE64" i="12"/>
  <c r="M68" i="12"/>
  <c r="N64" i="12"/>
  <c r="Q70" i="12"/>
  <c r="AF13" i="12"/>
  <c r="N18" i="12"/>
  <c r="AF22" i="12"/>
  <c r="N29" i="12"/>
  <c r="Q51" i="12"/>
  <c r="AE75" i="12"/>
  <c r="M78" i="12"/>
  <c r="N71" i="12"/>
  <c r="AE69" i="12"/>
  <c r="AE51" i="12"/>
  <c r="AD80" i="10"/>
  <c r="Z80" i="10"/>
  <c r="Y80" i="10"/>
  <c r="O80" i="10"/>
  <c r="K80" i="10"/>
  <c r="M13" i="9" s="1"/>
  <c r="V79" i="10"/>
  <c r="M79" i="10" s="1"/>
  <c r="U79" i="10"/>
  <c r="O79" i="10"/>
  <c r="K79" i="10"/>
  <c r="G79" i="10"/>
  <c r="V78" i="10"/>
  <c r="U78" i="10"/>
  <c r="O78" i="10"/>
  <c r="M78" i="10"/>
  <c r="AF78" i="10" s="1"/>
  <c r="K78" i="10"/>
  <c r="G78" i="10"/>
  <c r="AF77" i="10"/>
  <c r="AE77" i="10"/>
  <c r="V77" i="10"/>
  <c r="M77" i="10" s="1"/>
  <c r="N77" i="10" s="1"/>
  <c r="U77" i="10"/>
  <c r="Q77" i="10"/>
  <c r="P77" i="10"/>
  <c r="O77" i="10"/>
  <c r="K77" i="10"/>
  <c r="G77" i="10"/>
  <c r="X76" i="10"/>
  <c r="W76" i="10"/>
  <c r="V76" i="10"/>
  <c r="U76" i="10"/>
  <c r="P76" i="10"/>
  <c r="O76" i="10"/>
  <c r="N76" i="10"/>
  <c r="M76" i="10"/>
  <c r="K76" i="10"/>
  <c r="G76" i="10"/>
  <c r="V75" i="10"/>
  <c r="M75" i="10" s="1"/>
  <c r="N75" i="10" s="1"/>
  <c r="U75" i="10"/>
  <c r="O75" i="10"/>
  <c r="K75" i="10"/>
  <c r="G75" i="10"/>
  <c r="V74" i="10"/>
  <c r="U74" i="10"/>
  <c r="O74" i="10"/>
  <c r="N74" i="10"/>
  <c r="Q74" i="10" s="1"/>
  <c r="M74" i="10"/>
  <c r="K74" i="10"/>
  <c r="G74" i="10"/>
  <c r="AF73" i="10"/>
  <c r="AE73" i="10"/>
  <c r="V73" i="10"/>
  <c r="U73" i="10"/>
  <c r="O73" i="10"/>
  <c r="N73" i="10"/>
  <c r="M73" i="10"/>
  <c r="K73" i="10"/>
  <c r="G73" i="10"/>
  <c r="V72" i="10"/>
  <c r="U72" i="10"/>
  <c r="O72" i="10"/>
  <c r="M72" i="10"/>
  <c r="AF72" i="10" s="1"/>
  <c r="K72" i="10"/>
  <c r="G72" i="10"/>
  <c r="X71" i="10"/>
  <c r="W71" i="10"/>
  <c r="V71" i="10"/>
  <c r="O71" i="10"/>
  <c r="M71" i="10"/>
  <c r="N71" i="10" s="1"/>
  <c r="K71" i="10"/>
  <c r="G71" i="10"/>
  <c r="AD70" i="10"/>
  <c r="Z70" i="10"/>
  <c r="Z2" i="10" s="1"/>
  <c r="L6" i="9" s="1"/>
  <c r="Y70" i="10"/>
  <c r="J18" i="9" s="1"/>
  <c r="O70" i="10"/>
  <c r="K70" i="10"/>
  <c r="AF69" i="10"/>
  <c r="AE69" i="10"/>
  <c r="V69" i="10"/>
  <c r="U69" i="10"/>
  <c r="O69" i="10"/>
  <c r="M69" i="10"/>
  <c r="N69" i="10" s="1"/>
  <c r="K69" i="10"/>
  <c r="G69" i="10"/>
  <c r="AF68" i="10"/>
  <c r="AE68" i="10"/>
  <c r="V68" i="10"/>
  <c r="M68" i="10" s="1"/>
  <c r="N68" i="10" s="1"/>
  <c r="U68" i="10"/>
  <c r="O68" i="10"/>
  <c r="K68" i="10"/>
  <c r="G68" i="10"/>
  <c r="V67" i="10"/>
  <c r="U67" i="10"/>
  <c r="O67" i="10"/>
  <c r="M67" i="10"/>
  <c r="K67" i="10"/>
  <c r="G67" i="10"/>
  <c r="AF66" i="10"/>
  <c r="AE66" i="10"/>
  <c r="V66" i="10"/>
  <c r="O66" i="10"/>
  <c r="N66" i="10"/>
  <c r="M66" i="10"/>
  <c r="K66" i="10"/>
  <c r="G66" i="10"/>
  <c r="AD65" i="10"/>
  <c r="I21" i="9" s="1"/>
  <c r="Z65" i="10"/>
  <c r="I19" i="9" s="1"/>
  <c r="Y65" i="10"/>
  <c r="I18" i="9" s="1"/>
  <c r="O65" i="10"/>
  <c r="K65" i="10"/>
  <c r="AF64" i="10"/>
  <c r="AE64" i="10"/>
  <c r="V64" i="10"/>
  <c r="U64" i="10"/>
  <c r="Q64" i="10"/>
  <c r="P64" i="10"/>
  <c r="O64" i="10"/>
  <c r="N64" i="10"/>
  <c r="M64" i="10"/>
  <c r="K64" i="10"/>
  <c r="G64" i="10"/>
  <c r="AE63" i="10"/>
  <c r="X63" i="10"/>
  <c r="W63" i="10"/>
  <c r="V63" i="10"/>
  <c r="M63" i="10" s="1"/>
  <c r="N63" i="10" s="1"/>
  <c r="P63" i="10" s="1"/>
  <c r="U63" i="10"/>
  <c r="O63" i="10"/>
  <c r="K63" i="10"/>
  <c r="G63" i="10"/>
  <c r="V62" i="10"/>
  <c r="U62" i="10"/>
  <c r="O62" i="10"/>
  <c r="M62" i="10"/>
  <c r="AE62" i="10" s="1"/>
  <c r="K62" i="10"/>
  <c r="G62" i="10"/>
  <c r="AF61" i="10"/>
  <c r="AE61" i="10"/>
  <c r="V61" i="10"/>
  <c r="M61" i="10" s="1"/>
  <c r="N61" i="10" s="1"/>
  <c r="U61" i="10"/>
  <c r="O61" i="10"/>
  <c r="K61" i="10"/>
  <c r="G61" i="10"/>
  <c r="V60" i="10"/>
  <c r="U60" i="10"/>
  <c r="O60" i="10"/>
  <c r="M60" i="10"/>
  <c r="K60" i="10"/>
  <c r="G60" i="10"/>
  <c r="AF59" i="10"/>
  <c r="AE59" i="10"/>
  <c r="V59" i="10"/>
  <c r="U59" i="10"/>
  <c r="O59" i="10"/>
  <c r="N59" i="10"/>
  <c r="M59" i="10"/>
  <c r="K59" i="10"/>
  <c r="G59" i="10"/>
  <c r="V58" i="10"/>
  <c r="M58" i="10" s="1"/>
  <c r="U58" i="10"/>
  <c r="O58" i="10"/>
  <c r="K58" i="10"/>
  <c r="G58" i="10"/>
  <c r="AF57" i="10"/>
  <c r="AE57" i="10"/>
  <c r="V57" i="10"/>
  <c r="U57" i="10"/>
  <c r="Q57" i="10"/>
  <c r="P57" i="10"/>
  <c r="O57" i="10"/>
  <c r="N57" i="10"/>
  <c r="M57" i="10"/>
  <c r="K57" i="10"/>
  <c r="G57" i="10"/>
  <c r="AF56" i="10"/>
  <c r="AE56" i="10"/>
  <c r="V56" i="10"/>
  <c r="M56" i="10" s="1"/>
  <c r="O56" i="10"/>
  <c r="K56" i="10"/>
  <c r="G56" i="10"/>
  <c r="AD55" i="10"/>
  <c r="Z55" i="10"/>
  <c r="Y55" i="10"/>
  <c r="O55" i="10"/>
  <c r="K55" i="10"/>
  <c r="V54" i="10"/>
  <c r="M54" i="10" s="1"/>
  <c r="N54" i="10" s="1"/>
  <c r="P54" i="10" s="1"/>
  <c r="U54" i="10"/>
  <c r="O54" i="10"/>
  <c r="K54" i="10"/>
  <c r="G54" i="10"/>
  <c r="V53" i="10"/>
  <c r="U53" i="10"/>
  <c r="O53" i="10"/>
  <c r="M53" i="10"/>
  <c r="AF53" i="10" s="1"/>
  <c r="K53" i="10"/>
  <c r="G53" i="10"/>
  <c r="AF52" i="10"/>
  <c r="V52" i="10"/>
  <c r="M52" i="10" s="1"/>
  <c r="N52" i="10" s="1"/>
  <c r="U52" i="10"/>
  <c r="O52" i="10"/>
  <c r="K52" i="10"/>
  <c r="G52" i="10"/>
  <c r="V51" i="10"/>
  <c r="O51" i="10"/>
  <c r="M51" i="10"/>
  <c r="N51" i="10" s="1"/>
  <c r="K51" i="10"/>
  <c r="G51" i="10"/>
  <c r="AD50" i="10"/>
  <c r="Z50" i="10"/>
  <c r="Y50" i="10"/>
  <c r="O50" i="10"/>
  <c r="K50" i="10"/>
  <c r="V49" i="10"/>
  <c r="M49" i="10" s="1"/>
  <c r="U49" i="10"/>
  <c r="O49" i="10"/>
  <c r="K49" i="10"/>
  <c r="G49" i="10"/>
  <c r="V48" i="10"/>
  <c r="U48" i="10"/>
  <c r="O48" i="10"/>
  <c r="M48" i="10"/>
  <c r="AF48" i="10" s="1"/>
  <c r="K48" i="10"/>
  <c r="G48" i="10"/>
  <c r="V47" i="10"/>
  <c r="M47" i="10" s="1"/>
  <c r="N47" i="10" s="1"/>
  <c r="Q47" i="10" s="1"/>
  <c r="U47" i="10"/>
  <c r="O47" i="10"/>
  <c r="K47" i="10"/>
  <c r="G47" i="10"/>
  <c r="X46" i="10"/>
  <c r="W46" i="10"/>
  <c r="V46" i="10"/>
  <c r="U46" i="10"/>
  <c r="O46" i="10"/>
  <c r="M46" i="10"/>
  <c r="K46" i="10"/>
  <c r="G46" i="10"/>
  <c r="AF45" i="10"/>
  <c r="V45" i="10"/>
  <c r="M45" i="10" s="1"/>
  <c r="N45" i="10" s="1"/>
  <c r="U45" i="10"/>
  <c r="O45" i="10"/>
  <c r="K45" i="10"/>
  <c r="G45" i="10"/>
  <c r="V44" i="10"/>
  <c r="U44" i="10"/>
  <c r="O44" i="10"/>
  <c r="M44" i="10"/>
  <c r="N44" i="10" s="1"/>
  <c r="K44" i="10"/>
  <c r="G44" i="10"/>
  <c r="AF43" i="10"/>
  <c r="AE43" i="10"/>
  <c r="V43" i="10"/>
  <c r="U43" i="10"/>
  <c r="O43" i="10"/>
  <c r="N43" i="10"/>
  <c r="M43" i="10"/>
  <c r="K43" i="10"/>
  <c r="G43" i="10"/>
  <c r="AF42" i="10"/>
  <c r="AE42" i="10"/>
  <c r="X42" i="10"/>
  <c r="W42" i="10"/>
  <c r="V42" i="10"/>
  <c r="M42" i="10" s="1"/>
  <c r="O42" i="10"/>
  <c r="K42" i="10"/>
  <c r="G42" i="10"/>
  <c r="AD41" i="10"/>
  <c r="Z41" i="10"/>
  <c r="Y41" i="10"/>
  <c r="O41" i="10"/>
  <c r="K41" i="10"/>
  <c r="AF40" i="10"/>
  <c r="AE40" i="10"/>
  <c r="V40" i="10"/>
  <c r="M40" i="10" s="1"/>
  <c r="N40" i="10" s="1"/>
  <c r="P40" i="10" s="1"/>
  <c r="U40" i="10"/>
  <c r="Q40" i="10"/>
  <c r="O40" i="10"/>
  <c r="K40" i="10"/>
  <c r="G40" i="10"/>
  <c r="V39" i="10"/>
  <c r="U39" i="10"/>
  <c r="O39" i="10"/>
  <c r="N39" i="10"/>
  <c r="Q39" i="10" s="1"/>
  <c r="M39" i="10"/>
  <c r="AF39" i="10" s="1"/>
  <c r="K39" i="10"/>
  <c r="G39" i="10"/>
  <c r="AF38" i="10"/>
  <c r="AE38" i="10"/>
  <c r="X38" i="10"/>
  <c r="W38" i="10"/>
  <c r="V38" i="10"/>
  <c r="U38" i="10"/>
  <c r="O38" i="10"/>
  <c r="N38" i="10"/>
  <c r="M38" i="10"/>
  <c r="K38" i="10"/>
  <c r="G38" i="10"/>
  <c r="V37" i="10"/>
  <c r="U37" i="10"/>
  <c r="O37" i="10"/>
  <c r="M37" i="10"/>
  <c r="AF37" i="10" s="1"/>
  <c r="K37" i="10"/>
  <c r="G37" i="10"/>
  <c r="AF36" i="10"/>
  <c r="AE36" i="10"/>
  <c r="V36" i="10"/>
  <c r="U36" i="10"/>
  <c r="Q36" i="10"/>
  <c r="P36" i="10"/>
  <c r="O36" i="10"/>
  <c r="N36" i="10"/>
  <c r="M36" i="10"/>
  <c r="K36" i="10"/>
  <c r="G36" i="10"/>
  <c r="AF35" i="10"/>
  <c r="AE35" i="10"/>
  <c r="V35" i="10"/>
  <c r="M35" i="10" s="1"/>
  <c r="U35" i="10"/>
  <c r="Q35" i="10"/>
  <c r="O35" i="10"/>
  <c r="N35" i="10"/>
  <c r="P35" i="10" s="1"/>
  <c r="K35" i="10"/>
  <c r="G35" i="10"/>
  <c r="X34" i="10"/>
  <c r="W34" i="10"/>
  <c r="V34" i="10"/>
  <c r="P34" i="10"/>
  <c r="O34" i="10"/>
  <c r="N34" i="10"/>
  <c r="M34" i="10"/>
  <c r="K34" i="10"/>
  <c r="G34" i="10"/>
  <c r="AD33" i="10"/>
  <c r="Z33" i="10"/>
  <c r="Y33" i="10"/>
  <c r="O33" i="10"/>
  <c r="K33" i="10"/>
  <c r="V32" i="10"/>
  <c r="U32" i="10"/>
  <c r="O32" i="10"/>
  <c r="M32" i="10"/>
  <c r="K32" i="10"/>
  <c r="G32" i="10"/>
  <c r="AF31" i="10"/>
  <c r="AE31" i="10"/>
  <c r="X31" i="10"/>
  <c r="W31" i="10"/>
  <c r="V31" i="10"/>
  <c r="U31" i="10"/>
  <c r="Q31" i="10"/>
  <c r="P31" i="10"/>
  <c r="O31" i="10"/>
  <c r="N31" i="10"/>
  <c r="M31" i="10"/>
  <c r="K31" i="10"/>
  <c r="G31" i="10"/>
  <c r="V30" i="10"/>
  <c r="M30" i="10" s="1"/>
  <c r="N30" i="10" s="1"/>
  <c r="U30" i="10"/>
  <c r="O30" i="10"/>
  <c r="K30" i="10"/>
  <c r="G30" i="10"/>
  <c r="V29" i="10"/>
  <c r="U29" i="10"/>
  <c r="O29" i="10"/>
  <c r="M29" i="10"/>
  <c r="K29" i="10"/>
  <c r="G29" i="10"/>
  <c r="AF28" i="10"/>
  <c r="AE28" i="10"/>
  <c r="V28" i="10"/>
  <c r="M28" i="10" s="1"/>
  <c r="N28" i="10" s="1"/>
  <c r="U28" i="10"/>
  <c r="Q28" i="10"/>
  <c r="P28" i="10"/>
  <c r="O28" i="10"/>
  <c r="K28" i="10"/>
  <c r="G28" i="10"/>
  <c r="V27" i="10"/>
  <c r="U27" i="10"/>
  <c r="O27" i="10"/>
  <c r="M27" i="10"/>
  <c r="AF27" i="10" s="1"/>
  <c r="K27" i="10"/>
  <c r="G27" i="10"/>
  <c r="AF26" i="10"/>
  <c r="AE26" i="10"/>
  <c r="V26" i="10"/>
  <c r="M26" i="10" s="1"/>
  <c r="N26" i="10" s="1"/>
  <c r="U26" i="10"/>
  <c r="O26" i="10"/>
  <c r="K26" i="10"/>
  <c r="G26" i="10"/>
  <c r="V25" i="10"/>
  <c r="O25" i="10"/>
  <c r="M25" i="10"/>
  <c r="N25" i="10" s="1"/>
  <c r="K25" i="10"/>
  <c r="G25" i="10"/>
  <c r="AD24" i="10"/>
  <c r="Z24" i="10"/>
  <c r="Y24" i="10"/>
  <c r="O24" i="10"/>
  <c r="K24" i="10"/>
  <c r="AE23" i="10"/>
  <c r="V23" i="10"/>
  <c r="U23" i="10"/>
  <c r="O23" i="10"/>
  <c r="M23" i="10"/>
  <c r="AF23" i="10" s="1"/>
  <c r="K23" i="10"/>
  <c r="G23" i="10"/>
  <c r="X22" i="10"/>
  <c r="W22" i="10"/>
  <c r="V22" i="10"/>
  <c r="U22" i="10"/>
  <c r="O22" i="10"/>
  <c r="M22" i="10"/>
  <c r="K22" i="10"/>
  <c r="G22" i="10"/>
  <c r="AF21" i="10"/>
  <c r="AE21" i="10"/>
  <c r="V21" i="10"/>
  <c r="M21" i="10" s="1"/>
  <c r="N21" i="10" s="1"/>
  <c r="U21" i="10"/>
  <c r="Q21" i="10"/>
  <c r="P21" i="10"/>
  <c r="O21" i="10"/>
  <c r="K21" i="10"/>
  <c r="G21" i="10"/>
  <c r="V20" i="10"/>
  <c r="U20" i="10"/>
  <c r="O20" i="10"/>
  <c r="M20" i="10"/>
  <c r="AF20" i="10" s="1"/>
  <c r="K20" i="10"/>
  <c r="G20" i="10"/>
  <c r="AF19" i="10"/>
  <c r="V19" i="10"/>
  <c r="M19" i="10" s="1"/>
  <c r="N19" i="10" s="1"/>
  <c r="U19" i="10"/>
  <c r="O19" i="10"/>
  <c r="K19" i="10"/>
  <c r="G19" i="10"/>
  <c r="AF18" i="10"/>
  <c r="V18" i="10"/>
  <c r="U18" i="10"/>
  <c r="Q18" i="10"/>
  <c r="O18" i="10"/>
  <c r="N18" i="10"/>
  <c r="P18" i="10" s="1"/>
  <c r="M18" i="10"/>
  <c r="AE18" i="10" s="1"/>
  <c r="K18" i="10"/>
  <c r="G18" i="10"/>
  <c r="AF17" i="10"/>
  <c r="AE17" i="10"/>
  <c r="V17" i="10"/>
  <c r="U17" i="10"/>
  <c r="O17" i="10"/>
  <c r="N17" i="10"/>
  <c r="Q17" i="10" s="1"/>
  <c r="M17" i="10"/>
  <c r="K17" i="10"/>
  <c r="G17" i="10"/>
  <c r="V16" i="10"/>
  <c r="M16" i="10" s="1"/>
  <c r="O16" i="10"/>
  <c r="K16" i="10"/>
  <c r="G16" i="10"/>
  <c r="AD15" i="10"/>
  <c r="Z15" i="10"/>
  <c r="Y15" i="10"/>
  <c r="O15" i="10"/>
  <c r="K15" i="10"/>
  <c r="AF14" i="10"/>
  <c r="V14" i="10"/>
  <c r="M14" i="10" s="1"/>
  <c r="AE14" i="10" s="1"/>
  <c r="U14" i="10"/>
  <c r="O14" i="10"/>
  <c r="K14" i="10"/>
  <c r="G14" i="10"/>
  <c r="X13" i="10"/>
  <c r="W13" i="10"/>
  <c r="V13" i="10"/>
  <c r="U13" i="10"/>
  <c r="O13" i="10"/>
  <c r="M13" i="10"/>
  <c r="K13" i="10"/>
  <c r="G13" i="10"/>
  <c r="AF12" i="10"/>
  <c r="AE12" i="10"/>
  <c r="V12" i="10"/>
  <c r="M12" i="10" s="1"/>
  <c r="N12" i="10" s="1"/>
  <c r="U12" i="10"/>
  <c r="O12" i="10"/>
  <c r="K12" i="10"/>
  <c r="G12" i="10"/>
  <c r="AF11" i="10"/>
  <c r="V11" i="10"/>
  <c r="U11" i="10"/>
  <c r="O11" i="10"/>
  <c r="M11" i="10"/>
  <c r="N11" i="10" s="1"/>
  <c r="K11" i="10"/>
  <c r="G11" i="10"/>
  <c r="AF10" i="10"/>
  <c r="AE10" i="10"/>
  <c r="X10" i="10"/>
  <c r="W10" i="10"/>
  <c r="V10" i="10"/>
  <c r="Q10" i="10"/>
  <c r="P10" i="10"/>
  <c r="O10" i="10"/>
  <c r="N10" i="10"/>
  <c r="M10" i="10"/>
  <c r="K10" i="10"/>
  <c r="G10" i="10"/>
  <c r="AD9" i="10"/>
  <c r="Z9" i="10"/>
  <c r="Y9" i="10"/>
  <c r="D18" i="9" s="1"/>
  <c r="O9" i="10"/>
  <c r="K9" i="10"/>
  <c r="V8" i="10"/>
  <c r="U8" i="10"/>
  <c r="O8" i="10"/>
  <c r="M8" i="10"/>
  <c r="K8" i="10"/>
  <c r="G8" i="10"/>
  <c r="AF7" i="10"/>
  <c r="AE7" i="10"/>
  <c r="X7" i="10"/>
  <c r="W7" i="10"/>
  <c r="V7" i="10"/>
  <c r="M7" i="10" s="1"/>
  <c r="N7" i="10" s="1"/>
  <c r="U7" i="10"/>
  <c r="O7" i="10"/>
  <c r="K7" i="10"/>
  <c r="G7" i="10"/>
  <c r="AF6" i="10"/>
  <c r="V6" i="10"/>
  <c r="U6" i="10"/>
  <c r="Q6" i="10"/>
  <c r="O6" i="10"/>
  <c r="N6" i="10"/>
  <c r="P6" i="10" s="1"/>
  <c r="M6" i="10"/>
  <c r="K6" i="10"/>
  <c r="G6" i="10"/>
  <c r="F1" i="10" s="1"/>
  <c r="AF5" i="10"/>
  <c r="AE5" i="10"/>
  <c r="V5" i="10"/>
  <c r="O5" i="10"/>
  <c r="N5" i="10"/>
  <c r="M5" i="10"/>
  <c r="K5" i="10"/>
  <c r="G5" i="10"/>
  <c r="H2" i="10"/>
  <c r="H1" i="10"/>
  <c r="D1" i="10"/>
  <c r="F3" i="9" s="1"/>
  <c r="M22" i="9"/>
  <c r="L22" i="9"/>
  <c r="K22" i="9"/>
  <c r="J22" i="9"/>
  <c r="I22" i="9"/>
  <c r="H22" i="9"/>
  <c r="G22" i="9"/>
  <c r="F22" i="9"/>
  <c r="E22" i="9"/>
  <c r="D22" i="9"/>
  <c r="M21" i="9"/>
  <c r="L21" i="9"/>
  <c r="K21" i="9"/>
  <c r="J21" i="9"/>
  <c r="H21" i="9"/>
  <c r="G21" i="9"/>
  <c r="F21" i="9"/>
  <c r="E21" i="9"/>
  <c r="D21" i="9"/>
  <c r="M20" i="9"/>
  <c r="L20" i="9"/>
  <c r="K20" i="9"/>
  <c r="J20" i="9"/>
  <c r="I20" i="9"/>
  <c r="H20" i="9"/>
  <c r="G20" i="9"/>
  <c r="F20" i="9"/>
  <c r="E20" i="9"/>
  <c r="D20" i="9"/>
  <c r="M19" i="9"/>
  <c r="L19" i="9"/>
  <c r="K19" i="9"/>
  <c r="J19" i="9"/>
  <c r="H19" i="9"/>
  <c r="G19" i="9"/>
  <c r="F19" i="9"/>
  <c r="E19" i="9"/>
  <c r="D19" i="9"/>
  <c r="M18" i="9"/>
  <c r="L18" i="9"/>
  <c r="K18" i="9"/>
  <c r="H18" i="9"/>
  <c r="G18" i="9"/>
  <c r="F18" i="9"/>
  <c r="E18" i="9"/>
  <c r="M17" i="9"/>
  <c r="L17" i="9"/>
  <c r="K17" i="9"/>
  <c r="J17" i="9"/>
  <c r="I17" i="9"/>
  <c r="H17" i="9"/>
  <c r="G17" i="9"/>
  <c r="F17" i="9"/>
  <c r="E17" i="9"/>
  <c r="D17" i="9"/>
  <c r="M16" i="9"/>
  <c r="L16" i="9"/>
  <c r="K16" i="9"/>
  <c r="J16" i="9"/>
  <c r="I16" i="9"/>
  <c r="H16" i="9"/>
  <c r="G16" i="9"/>
  <c r="F16" i="9"/>
  <c r="E16" i="9"/>
  <c r="D16" i="9"/>
  <c r="L13" i="9"/>
  <c r="K13" i="9"/>
  <c r="J13" i="9"/>
  <c r="I13" i="9"/>
  <c r="G6" i="9" s="1"/>
  <c r="H13" i="9"/>
  <c r="G13" i="9"/>
  <c r="F13" i="9"/>
  <c r="F6" i="9" s="1"/>
  <c r="E13" i="9"/>
  <c r="D13" i="9"/>
  <c r="M6" i="9"/>
  <c r="I6" i="9"/>
  <c r="C3" i="9"/>
  <c r="F8" i="29" l="1"/>
  <c r="E8" i="29"/>
  <c r="G8" i="29"/>
  <c r="F15" i="19"/>
  <c r="G7" i="19"/>
  <c r="F7" i="19"/>
  <c r="E7" i="19"/>
  <c r="K15" i="19"/>
  <c r="I8" i="19" s="1"/>
  <c r="I7" i="19"/>
  <c r="P30" i="18"/>
  <c r="Q30" i="18"/>
  <c r="R24" i="18" s="1"/>
  <c r="G14" i="17"/>
  <c r="G15" i="17" s="1"/>
  <c r="Q23" i="18"/>
  <c r="R15" i="18" s="1"/>
  <c r="P23" i="18"/>
  <c r="F14" i="17"/>
  <c r="F15" i="17" s="1"/>
  <c r="H14" i="17"/>
  <c r="H15" i="17" s="1"/>
  <c r="Q51" i="18"/>
  <c r="R47" i="18" s="1"/>
  <c r="P51" i="18"/>
  <c r="E14" i="17"/>
  <c r="E15" i="17" s="1"/>
  <c r="Q14" i="18"/>
  <c r="R9" i="18" s="1"/>
  <c r="P14" i="18"/>
  <c r="Q46" i="18"/>
  <c r="R38" i="18" s="1"/>
  <c r="P46" i="18"/>
  <c r="L14" i="17"/>
  <c r="L15" i="17" s="1"/>
  <c r="Q37" i="18"/>
  <c r="R31" i="18" s="1"/>
  <c r="P37" i="18"/>
  <c r="K14" i="17"/>
  <c r="F7" i="17"/>
  <c r="D15" i="17"/>
  <c r="Q29" i="12"/>
  <c r="P29" i="12"/>
  <c r="E14" i="11"/>
  <c r="E15" i="11" s="1"/>
  <c r="Q14" i="12"/>
  <c r="R9" i="12" s="1"/>
  <c r="P14" i="12"/>
  <c r="P18" i="12"/>
  <c r="Q18" i="12"/>
  <c r="Q28" i="12"/>
  <c r="P28" i="12"/>
  <c r="Q5" i="12"/>
  <c r="P5" i="12"/>
  <c r="Q57" i="12"/>
  <c r="P57" i="12"/>
  <c r="N68" i="12"/>
  <c r="AF68" i="12"/>
  <c r="AG64" i="12" s="1"/>
  <c r="AE68" i="12"/>
  <c r="Q6" i="12"/>
  <c r="P6" i="12"/>
  <c r="Q20" i="12"/>
  <c r="P20" i="12"/>
  <c r="AE54" i="12"/>
  <c r="AF54" i="12"/>
  <c r="AG50" i="12" s="1"/>
  <c r="N54" i="12"/>
  <c r="Q65" i="12"/>
  <c r="P65" i="12"/>
  <c r="Q56" i="12"/>
  <c r="P56" i="12"/>
  <c r="Q77" i="12"/>
  <c r="P77" i="12"/>
  <c r="P59" i="12"/>
  <c r="Q59" i="12"/>
  <c r="Q30" i="12"/>
  <c r="P30" i="12"/>
  <c r="Q72" i="12"/>
  <c r="P72" i="12"/>
  <c r="AE49" i="12"/>
  <c r="AF49" i="12"/>
  <c r="AG41" i="12" s="1"/>
  <c r="N49" i="12"/>
  <c r="Q66" i="12"/>
  <c r="P66" i="12"/>
  <c r="AF32" i="12"/>
  <c r="AG24" i="12" s="1"/>
  <c r="AE32" i="12"/>
  <c r="N32" i="12"/>
  <c r="Q34" i="12"/>
  <c r="P34" i="12"/>
  <c r="Q21" i="12"/>
  <c r="P21" i="12"/>
  <c r="P35" i="12"/>
  <c r="Q35" i="12"/>
  <c r="Q44" i="12"/>
  <c r="P44" i="12"/>
  <c r="Q73" i="12"/>
  <c r="P73" i="12"/>
  <c r="Q46" i="12"/>
  <c r="P46" i="12"/>
  <c r="Q71" i="12"/>
  <c r="P71" i="12"/>
  <c r="Q33" i="12"/>
  <c r="P33" i="12"/>
  <c r="Q16" i="12"/>
  <c r="P16" i="12"/>
  <c r="AF78" i="12"/>
  <c r="AG69" i="12" s="1"/>
  <c r="AE78" i="12"/>
  <c r="N78" i="12"/>
  <c r="Q58" i="12"/>
  <c r="P58" i="12"/>
  <c r="AE40" i="12"/>
  <c r="N40" i="12"/>
  <c r="AF40" i="12"/>
  <c r="AG33" i="12" s="1"/>
  <c r="AF23" i="12"/>
  <c r="AG15" i="12" s="1"/>
  <c r="AE23" i="12"/>
  <c r="N23" i="12"/>
  <c r="AE63" i="12"/>
  <c r="AF63" i="12"/>
  <c r="AG55" i="12" s="1"/>
  <c r="N63" i="12"/>
  <c r="Q41" i="12"/>
  <c r="P41" i="12"/>
  <c r="AE8" i="12"/>
  <c r="AF8" i="12"/>
  <c r="AG5" i="12" s="1"/>
  <c r="N8" i="12"/>
  <c r="Q64" i="12"/>
  <c r="P64" i="12"/>
  <c r="Q62" i="12"/>
  <c r="P62" i="12"/>
  <c r="Q50" i="12"/>
  <c r="P50" i="12"/>
  <c r="Q76" i="12"/>
  <c r="P76" i="12"/>
  <c r="Q26" i="12"/>
  <c r="P26" i="12"/>
  <c r="Q27" i="12"/>
  <c r="P27" i="12"/>
  <c r="P11" i="10"/>
  <c r="Q11" i="10"/>
  <c r="P44" i="10"/>
  <c r="Q44" i="10"/>
  <c r="P51" i="10"/>
  <c r="Q51" i="10"/>
  <c r="Q69" i="10"/>
  <c r="P69" i="10"/>
  <c r="AF58" i="10"/>
  <c r="N58" i="10"/>
  <c r="AE58" i="10"/>
  <c r="Q30" i="10"/>
  <c r="P30" i="10"/>
  <c r="M24" i="10"/>
  <c r="AF16" i="10"/>
  <c r="N16" i="10"/>
  <c r="AE16" i="10"/>
  <c r="N49" i="10"/>
  <c r="AF49" i="10"/>
  <c r="AE49" i="10"/>
  <c r="Q25" i="10"/>
  <c r="P25" i="10"/>
  <c r="I3" i="9"/>
  <c r="F2" i="10"/>
  <c r="Q71" i="10"/>
  <c r="P71" i="10"/>
  <c r="AE79" i="10"/>
  <c r="N79" i="10"/>
  <c r="AF79" i="10"/>
  <c r="AF46" i="10"/>
  <c r="AE46" i="10"/>
  <c r="AE72" i="10"/>
  <c r="AE13" i="10"/>
  <c r="AF13" i="10"/>
  <c r="AE22" i="10"/>
  <c r="AF22" i="10"/>
  <c r="N22" i="10"/>
  <c r="AF29" i="10"/>
  <c r="AE29" i="10"/>
  <c r="N29" i="10"/>
  <c r="N46" i="10"/>
  <c r="N53" i="10"/>
  <c r="Y2" i="10"/>
  <c r="K6" i="9" s="1"/>
  <c r="P66" i="10"/>
  <c r="Q66" i="10"/>
  <c r="P75" i="10"/>
  <c r="Q75" i="10"/>
  <c r="N14" i="10"/>
  <c r="N23" i="10"/>
  <c r="AF32" i="10"/>
  <c r="AE32" i="10"/>
  <c r="P47" i="10"/>
  <c r="Q54" i="10"/>
  <c r="M70" i="10"/>
  <c r="AF67" i="10"/>
  <c r="AE67" i="10"/>
  <c r="N32" i="10"/>
  <c r="Q63" i="10"/>
  <c r="N67" i="10"/>
  <c r="AF74" i="10"/>
  <c r="AE74" i="10"/>
  <c r="AE30" i="10"/>
  <c r="AE54" i="10"/>
  <c r="N72" i="10"/>
  <c r="AF8" i="10"/>
  <c r="AE8" i="10"/>
  <c r="N8" i="10"/>
  <c r="AF30" i="10"/>
  <c r="P45" i="10"/>
  <c r="Q45" i="10"/>
  <c r="AE47" i="10"/>
  <c r="P52" i="10"/>
  <c r="Q52" i="10"/>
  <c r="AF54" i="10"/>
  <c r="P74" i="10"/>
  <c r="M9" i="10"/>
  <c r="AE6" i="10"/>
  <c r="Q12" i="10"/>
  <c r="P12" i="10"/>
  <c r="M41" i="10"/>
  <c r="P43" i="10"/>
  <c r="Q43" i="10"/>
  <c r="AE45" i="10"/>
  <c r="AF47" i="10"/>
  <c r="AE52" i="10"/>
  <c r="P61" i="10"/>
  <c r="Q61" i="10"/>
  <c r="M55" i="10"/>
  <c r="Q59" i="10"/>
  <c r="P59" i="10"/>
  <c r="E6" i="9"/>
  <c r="Q19" i="10"/>
  <c r="P19" i="10"/>
  <c r="AF63" i="10"/>
  <c r="AE19" i="10"/>
  <c r="Q26" i="10"/>
  <c r="P26" i="10"/>
  <c r="M33" i="10"/>
  <c r="N37" i="10"/>
  <c r="N13" i="10"/>
  <c r="P39" i="10"/>
  <c r="N62" i="10"/>
  <c r="P68" i="10"/>
  <c r="Q68" i="10"/>
  <c r="N27" i="10"/>
  <c r="AE37" i="10"/>
  <c r="AE39" i="10"/>
  <c r="AF60" i="10"/>
  <c r="AE60" i="10"/>
  <c r="AF75" i="10"/>
  <c r="AD2" i="10"/>
  <c r="N6" i="9" s="1"/>
  <c r="AE53" i="10"/>
  <c r="N60" i="10"/>
  <c r="Q5" i="10"/>
  <c r="P5" i="10"/>
  <c r="Q7" i="10"/>
  <c r="P7" i="10"/>
  <c r="AE20" i="10"/>
  <c r="AF34" i="10"/>
  <c r="AE34" i="10"/>
  <c r="N42" i="10"/>
  <c r="M50" i="10"/>
  <c r="AF62" i="10"/>
  <c r="AF76" i="10"/>
  <c r="AE76" i="10"/>
  <c r="AE11" i="10"/>
  <c r="M15" i="10"/>
  <c r="N20" i="10"/>
  <c r="AF44" i="10"/>
  <c r="AE44" i="10"/>
  <c r="AF51" i="10"/>
  <c r="AE51" i="10"/>
  <c r="AF71" i="10"/>
  <c r="AE71" i="10"/>
  <c r="M80" i="10"/>
  <c r="Q73" i="10"/>
  <c r="P73" i="10"/>
  <c r="AE75" i="10"/>
  <c r="AF25" i="10"/>
  <c r="AE25" i="10"/>
  <c r="AE27" i="10"/>
  <c r="Q34" i="10"/>
  <c r="Q38" i="10"/>
  <c r="P38" i="10"/>
  <c r="M65" i="10"/>
  <c r="N56" i="10"/>
  <c r="Q76" i="10"/>
  <c r="N48" i="10"/>
  <c r="N78" i="10"/>
  <c r="P17" i="10"/>
  <c r="AE78" i="10"/>
  <c r="AE48" i="10"/>
  <c r="AD83" i="6"/>
  <c r="Z83" i="6"/>
  <c r="Y83" i="6"/>
  <c r="O83" i="6"/>
  <c r="K83" i="6"/>
  <c r="V82" i="6"/>
  <c r="U82" i="6"/>
  <c r="O82" i="6"/>
  <c r="M82" i="6"/>
  <c r="N82" i="6" s="1"/>
  <c r="K82" i="6"/>
  <c r="G82" i="6"/>
  <c r="V81" i="6"/>
  <c r="U81" i="6"/>
  <c r="Q81" i="6"/>
  <c r="O81" i="6"/>
  <c r="N81" i="6"/>
  <c r="P81" i="6" s="1"/>
  <c r="M81" i="6"/>
  <c r="K81" i="6"/>
  <c r="G81" i="6"/>
  <c r="AF80" i="6"/>
  <c r="AE80" i="6"/>
  <c r="V80" i="6"/>
  <c r="M80" i="6" s="1"/>
  <c r="N80" i="6" s="1"/>
  <c r="U80" i="6"/>
  <c r="Q80" i="6"/>
  <c r="P80" i="6"/>
  <c r="O80" i="6"/>
  <c r="K80" i="6"/>
  <c r="G80" i="6"/>
  <c r="AE79" i="6"/>
  <c r="V79" i="6"/>
  <c r="U79" i="6"/>
  <c r="P79" i="6"/>
  <c r="O79" i="6"/>
  <c r="N79" i="6"/>
  <c r="Q79" i="6" s="1"/>
  <c r="M79" i="6"/>
  <c r="AF79" i="6" s="1"/>
  <c r="K79" i="6"/>
  <c r="G79" i="6"/>
  <c r="AF78" i="6"/>
  <c r="AE78" i="6"/>
  <c r="X78" i="6"/>
  <c r="W78" i="6"/>
  <c r="V78" i="6"/>
  <c r="U78" i="6"/>
  <c r="O78" i="6"/>
  <c r="M78" i="6"/>
  <c r="N78" i="6" s="1"/>
  <c r="K78" i="6"/>
  <c r="G78" i="6"/>
  <c r="AE77" i="6"/>
  <c r="V77" i="6"/>
  <c r="U77" i="6"/>
  <c r="Q77" i="6"/>
  <c r="P77" i="6"/>
  <c r="O77" i="6"/>
  <c r="N77" i="6"/>
  <c r="M77" i="6"/>
  <c r="AF77" i="6" s="1"/>
  <c r="K77" i="6"/>
  <c r="G77" i="6"/>
  <c r="AF76" i="6"/>
  <c r="V76" i="6"/>
  <c r="U76" i="6"/>
  <c r="O76" i="6"/>
  <c r="N76" i="6"/>
  <c r="M76" i="6"/>
  <c r="AE76" i="6" s="1"/>
  <c r="K76" i="6"/>
  <c r="G76" i="6"/>
  <c r="AF75" i="6"/>
  <c r="AE75" i="6"/>
  <c r="V75" i="6"/>
  <c r="U75" i="6"/>
  <c r="O75" i="6"/>
  <c r="M75" i="6"/>
  <c r="N75" i="6" s="1"/>
  <c r="K75" i="6"/>
  <c r="G75" i="6"/>
  <c r="V74" i="6"/>
  <c r="U74" i="6"/>
  <c r="O74" i="6"/>
  <c r="M74" i="6"/>
  <c r="K74" i="6"/>
  <c r="G74" i="6"/>
  <c r="AF73" i="6"/>
  <c r="AE73" i="6"/>
  <c r="X73" i="6"/>
  <c r="W73" i="6"/>
  <c r="V73" i="6"/>
  <c r="M73" i="6" s="1"/>
  <c r="N73" i="6" s="1"/>
  <c r="P73" i="6" s="1"/>
  <c r="Q73" i="6"/>
  <c r="O73" i="6"/>
  <c r="K73" i="6"/>
  <c r="G73" i="6"/>
  <c r="AD72" i="6"/>
  <c r="Z72" i="6"/>
  <c r="J19" i="5" s="1"/>
  <c r="Y72" i="6"/>
  <c r="O72" i="6"/>
  <c r="M72" i="6"/>
  <c r="AE72" i="6" s="1"/>
  <c r="K72" i="6"/>
  <c r="AF71" i="6"/>
  <c r="AE71" i="6"/>
  <c r="V71" i="6"/>
  <c r="U71" i="6"/>
  <c r="O71" i="6"/>
  <c r="M71" i="6"/>
  <c r="N71" i="6" s="1"/>
  <c r="K71" i="6"/>
  <c r="G71" i="6"/>
  <c r="V70" i="6"/>
  <c r="U70" i="6"/>
  <c r="O70" i="6"/>
  <c r="M70" i="6"/>
  <c r="AF70" i="6" s="1"/>
  <c r="K70" i="6"/>
  <c r="G70" i="6"/>
  <c r="AF69" i="6"/>
  <c r="V69" i="6"/>
  <c r="U69" i="6"/>
  <c r="O69" i="6"/>
  <c r="N69" i="6"/>
  <c r="M69" i="6"/>
  <c r="AE69" i="6" s="1"/>
  <c r="K69" i="6"/>
  <c r="G69" i="6"/>
  <c r="V68" i="6"/>
  <c r="O68" i="6"/>
  <c r="M68" i="6"/>
  <c r="AF68" i="6" s="1"/>
  <c r="K68" i="6"/>
  <c r="G68" i="6"/>
  <c r="AD67" i="6"/>
  <c r="I21" i="5" s="1"/>
  <c r="Z67" i="6"/>
  <c r="I19" i="5" s="1"/>
  <c r="Y67" i="6"/>
  <c r="O67" i="6"/>
  <c r="M67" i="6"/>
  <c r="N67" i="6" s="1"/>
  <c r="I14" i="5" s="1"/>
  <c r="I15" i="5" s="1"/>
  <c r="K67" i="6"/>
  <c r="AF66" i="6"/>
  <c r="AE66" i="6"/>
  <c r="V66" i="6"/>
  <c r="M66" i="6" s="1"/>
  <c r="N66" i="6" s="1"/>
  <c r="U66" i="6"/>
  <c r="Q66" i="6"/>
  <c r="P66" i="6"/>
  <c r="O66" i="6"/>
  <c r="K66" i="6"/>
  <c r="G66" i="6"/>
  <c r="AE65" i="6"/>
  <c r="X65" i="6"/>
  <c r="W65" i="6"/>
  <c r="V65" i="6"/>
  <c r="U65" i="6"/>
  <c r="O65" i="6"/>
  <c r="N65" i="6"/>
  <c r="P65" i="6" s="1"/>
  <c r="M65" i="6"/>
  <c r="AF65" i="6" s="1"/>
  <c r="K65" i="6"/>
  <c r="G65" i="6"/>
  <c r="AF64" i="6"/>
  <c r="AE64" i="6"/>
  <c r="V64" i="6"/>
  <c r="U64" i="6"/>
  <c r="O64" i="6"/>
  <c r="M64" i="6"/>
  <c r="N64" i="6" s="1"/>
  <c r="K64" i="6"/>
  <c r="G64" i="6"/>
  <c r="AE63" i="6"/>
  <c r="V63" i="6"/>
  <c r="U63" i="6"/>
  <c r="Q63" i="6"/>
  <c r="P63" i="6"/>
  <c r="O63" i="6"/>
  <c r="N63" i="6"/>
  <c r="M63" i="6"/>
  <c r="AF63" i="6" s="1"/>
  <c r="K63" i="6"/>
  <c r="G63" i="6"/>
  <c r="AF62" i="6"/>
  <c r="V62" i="6"/>
  <c r="U62" i="6"/>
  <c r="O62" i="6"/>
  <c r="N62" i="6"/>
  <c r="M62" i="6"/>
  <c r="AE62" i="6" s="1"/>
  <c r="K62" i="6"/>
  <c r="G62" i="6"/>
  <c r="AF61" i="6"/>
  <c r="AE61" i="6"/>
  <c r="V61" i="6"/>
  <c r="U61" i="6"/>
  <c r="Q61" i="6"/>
  <c r="P61" i="6"/>
  <c r="O61" i="6"/>
  <c r="N61" i="6"/>
  <c r="M61" i="6"/>
  <c r="K61" i="6"/>
  <c r="G61" i="6"/>
  <c r="V60" i="6"/>
  <c r="U60" i="6"/>
  <c r="O60" i="6"/>
  <c r="M60" i="6"/>
  <c r="K60" i="6"/>
  <c r="G60" i="6"/>
  <c r="AF59" i="6"/>
  <c r="AE59" i="6"/>
  <c r="V59" i="6"/>
  <c r="M59" i="6" s="1"/>
  <c r="U59" i="6"/>
  <c r="O59" i="6"/>
  <c r="N59" i="6"/>
  <c r="P59" i="6" s="1"/>
  <c r="K59" i="6"/>
  <c r="G59" i="6"/>
  <c r="V58" i="6"/>
  <c r="U58" i="6"/>
  <c r="O58" i="6"/>
  <c r="N58" i="6"/>
  <c r="M58" i="6"/>
  <c r="K58" i="6"/>
  <c r="G58" i="6"/>
  <c r="X57" i="6"/>
  <c r="W57" i="6"/>
  <c r="V57" i="6"/>
  <c r="O57" i="6"/>
  <c r="M57" i="6"/>
  <c r="N57" i="6" s="1"/>
  <c r="K57" i="6"/>
  <c r="G57" i="6"/>
  <c r="AD56" i="6"/>
  <c r="Z56" i="6"/>
  <c r="Y56" i="6"/>
  <c r="O56" i="6"/>
  <c r="M56" i="6"/>
  <c r="AF56" i="6" s="1"/>
  <c r="AG52" i="6" s="1"/>
  <c r="K56" i="6"/>
  <c r="AF55" i="6"/>
  <c r="V55" i="6"/>
  <c r="U55" i="6"/>
  <c r="O55" i="6"/>
  <c r="N55" i="6"/>
  <c r="M55" i="6"/>
  <c r="AE55" i="6" s="1"/>
  <c r="K55" i="6"/>
  <c r="G55" i="6"/>
  <c r="AF54" i="6"/>
  <c r="AE54" i="6"/>
  <c r="V54" i="6"/>
  <c r="U54" i="6"/>
  <c r="O54" i="6"/>
  <c r="N54" i="6"/>
  <c r="Q54" i="6" s="1"/>
  <c r="M54" i="6"/>
  <c r="K54" i="6"/>
  <c r="G54" i="6"/>
  <c r="V53" i="6"/>
  <c r="U53" i="6"/>
  <c r="O53" i="6"/>
  <c r="M53" i="6"/>
  <c r="K53" i="6"/>
  <c r="G53" i="6"/>
  <c r="AF52" i="6"/>
  <c r="AE52" i="6"/>
  <c r="V52" i="6"/>
  <c r="M52" i="6" s="1"/>
  <c r="N52" i="6" s="1"/>
  <c r="Q52" i="6"/>
  <c r="P52" i="6"/>
  <c r="O52" i="6"/>
  <c r="K52" i="6"/>
  <c r="G52" i="6"/>
  <c r="AD51" i="6"/>
  <c r="Z51" i="6"/>
  <c r="Y51" i="6"/>
  <c r="O51" i="6"/>
  <c r="K51" i="6"/>
  <c r="AF50" i="6"/>
  <c r="AE50" i="6"/>
  <c r="V50" i="6"/>
  <c r="M50" i="6" s="1"/>
  <c r="N50" i="6" s="1"/>
  <c r="P50" i="6" s="1"/>
  <c r="U50" i="6"/>
  <c r="Q50" i="6"/>
  <c r="O50" i="6"/>
  <c r="K50" i="6"/>
  <c r="G50" i="6"/>
  <c r="AF49" i="6"/>
  <c r="V49" i="6"/>
  <c r="U49" i="6"/>
  <c r="Q49" i="6"/>
  <c r="P49" i="6"/>
  <c r="O49" i="6"/>
  <c r="N49" i="6"/>
  <c r="M49" i="6"/>
  <c r="AE49" i="6" s="1"/>
  <c r="K49" i="6"/>
  <c r="G49" i="6"/>
  <c r="AF48" i="6"/>
  <c r="AE48" i="6"/>
  <c r="V48" i="6"/>
  <c r="U48" i="6"/>
  <c r="O48" i="6"/>
  <c r="M48" i="6"/>
  <c r="N48" i="6" s="1"/>
  <c r="K48" i="6"/>
  <c r="G48" i="6"/>
  <c r="AE47" i="6"/>
  <c r="X47" i="6"/>
  <c r="W47" i="6"/>
  <c r="V47" i="6"/>
  <c r="U47" i="6"/>
  <c r="O47" i="6"/>
  <c r="M47" i="6"/>
  <c r="AF47" i="6" s="1"/>
  <c r="K47" i="6"/>
  <c r="G47" i="6"/>
  <c r="V46" i="6"/>
  <c r="U46" i="6"/>
  <c r="O46" i="6"/>
  <c r="M46" i="6"/>
  <c r="K46" i="6"/>
  <c r="G46" i="6"/>
  <c r="AF45" i="6"/>
  <c r="AE45" i="6"/>
  <c r="V45" i="6"/>
  <c r="M45" i="6" s="1"/>
  <c r="U45" i="6"/>
  <c r="Q45" i="6"/>
  <c r="P45" i="6"/>
  <c r="O45" i="6"/>
  <c r="N45" i="6"/>
  <c r="K45" i="6"/>
  <c r="G45" i="6"/>
  <c r="V44" i="6"/>
  <c r="U44" i="6"/>
  <c r="O44" i="6"/>
  <c r="M44" i="6"/>
  <c r="M51" i="6" s="1"/>
  <c r="K44" i="6"/>
  <c r="G44" i="6"/>
  <c r="AF43" i="6"/>
  <c r="AE43" i="6"/>
  <c r="X43" i="6"/>
  <c r="W43" i="6"/>
  <c r="V43" i="6"/>
  <c r="O43" i="6"/>
  <c r="M43" i="6"/>
  <c r="N43" i="6" s="1"/>
  <c r="K43" i="6"/>
  <c r="G43" i="6"/>
  <c r="AD42" i="6"/>
  <c r="Z42" i="6"/>
  <c r="Y42" i="6"/>
  <c r="O42" i="6"/>
  <c r="M42" i="6"/>
  <c r="AF42" i="6" s="1"/>
  <c r="AG35" i="6" s="1"/>
  <c r="K42" i="6"/>
  <c r="AF41" i="6"/>
  <c r="V41" i="6"/>
  <c r="U41" i="6"/>
  <c r="P41" i="6"/>
  <c r="O41" i="6"/>
  <c r="N41" i="6"/>
  <c r="Q41" i="6" s="1"/>
  <c r="M41" i="6"/>
  <c r="AE41" i="6" s="1"/>
  <c r="K41" i="6"/>
  <c r="G41" i="6"/>
  <c r="V40" i="6"/>
  <c r="U40" i="6"/>
  <c r="O40" i="6"/>
  <c r="M40" i="6"/>
  <c r="AF40" i="6" s="1"/>
  <c r="K40" i="6"/>
  <c r="G40" i="6"/>
  <c r="X39" i="6"/>
  <c r="W39" i="6"/>
  <c r="V39" i="6"/>
  <c r="U39" i="6"/>
  <c r="O39" i="6"/>
  <c r="N39" i="6"/>
  <c r="M39" i="6"/>
  <c r="K39" i="6"/>
  <c r="G39" i="6"/>
  <c r="AF38" i="6"/>
  <c r="AE38" i="6"/>
  <c r="V38" i="6"/>
  <c r="M38" i="6" s="1"/>
  <c r="N38" i="6" s="1"/>
  <c r="U38" i="6"/>
  <c r="Q38" i="6"/>
  <c r="P38" i="6"/>
  <c r="O38" i="6"/>
  <c r="K38" i="6"/>
  <c r="G38" i="6"/>
  <c r="AF37" i="6"/>
  <c r="AE37" i="6"/>
  <c r="V37" i="6"/>
  <c r="U37" i="6"/>
  <c r="O37" i="6"/>
  <c r="N37" i="6"/>
  <c r="Q37" i="6" s="1"/>
  <c r="M37" i="6"/>
  <c r="K37" i="6"/>
  <c r="G37" i="6"/>
  <c r="AF36" i="6"/>
  <c r="AE36" i="6"/>
  <c r="V36" i="6"/>
  <c r="U36" i="6"/>
  <c r="O36" i="6"/>
  <c r="M36" i="6"/>
  <c r="N36" i="6" s="1"/>
  <c r="K36" i="6"/>
  <c r="G36" i="6"/>
  <c r="AE35" i="6"/>
  <c r="X35" i="6"/>
  <c r="W35" i="6"/>
  <c r="V35" i="6"/>
  <c r="O35" i="6"/>
  <c r="N35" i="6"/>
  <c r="Q35" i="6" s="1"/>
  <c r="M35" i="6"/>
  <c r="AF35" i="6" s="1"/>
  <c r="K35" i="6"/>
  <c r="G35" i="6"/>
  <c r="AD34" i="6"/>
  <c r="Z34" i="6"/>
  <c r="Y34" i="6"/>
  <c r="G18" i="5" s="1"/>
  <c r="O34" i="6"/>
  <c r="K34" i="6"/>
  <c r="AF33" i="6"/>
  <c r="AE33" i="6"/>
  <c r="V33" i="6"/>
  <c r="M33" i="6" s="1"/>
  <c r="U33" i="6"/>
  <c r="Q33" i="6"/>
  <c r="P33" i="6"/>
  <c r="O33" i="6"/>
  <c r="N33" i="6"/>
  <c r="K33" i="6"/>
  <c r="G33" i="6"/>
  <c r="AE32" i="6"/>
  <c r="V32" i="6"/>
  <c r="U32" i="6"/>
  <c r="O32" i="6"/>
  <c r="M32" i="6"/>
  <c r="AF32" i="6" s="1"/>
  <c r="K32" i="6"/>
  <c r="G32" i="6"/>
  <c r="X31" i="6"/>
  <c r="W31" i="6"/>
  <c r="V31" i="6"/>
  <c r="U31" i="6"/>
  <c r="O31" i="6"/>
  <c r="M31" i="6"/>
  <c r="N31" i="6" s="1"/>
  <c r="K31" i="6"/>
  <c r="G31" i="6"/>
  <c r="V30" i="6"/>
  <c r="U30" i="6"/>
  <c r="Q30" i="6"/>
  <c r="P30" i="6"/>
  <c r="O30" i="6"/>
  <c r="N30" i="6"/>
  <c r="M30" i="6"/>
  <c r="K30" i="6"/>
  <c r="G30" i="6"/>
  <c r="AF29" i="6"/>
  <c r="AE29" i="6"/>
  <c r="V29" i="6"/>
  <c r="U29" i="6"/>
  <c r="O29" i="6"/>
  <c r="N29" i="6"/>
  <c r="M29" i="6"/>
  <c r="K29" i="6"/>
  <c r="G29" i="6"/>
  <c r="AF28" i="6"/>
  <c r="AE28" i="6"/>
  <c r="V28" i="6"/>
  <c r="U28" i="6"/>
  <c r="Q28" i="6"/>
  <c r="P28" i="6"/>
  <c r="O28" i="6"/>
  <c r="N28" i="6"/>
  <c r="M28" i="6"/>
  <c r="K28" i="6"/>
  <c r="G28" i="6"/>
  <c r="V27" i="6"/>
  <c r="M27" i="6" s="1"/>
  <c r="U27" i="6"/>
  <c r="O27" i="6"/>
  <c r="K27" i="6"/>
  <c r="G27" i="6"/>
  <c r="AF26" i="6"/>
  <c r="AE26" i="6"/>
  <c r="V26" i="6"/>
  <c r="U26" i="6"/>
  <c r="Q26" i="6"/>
  <c r="O26" i="6"/>
  <c r="N26" i="6"/>
  <c r="P26" i="6" s="1"/>
  <c r="M26" i="6"/>
  <c r="K26" i="6"/>
  <c r="G26" i="6"/>
  <c r="V25" i="6"/>
  <c r="O25" i="6"/>
  <c r="M25" i="6"/>
  <c r="AF25" i="6" s="1"/>
  <c r="K25" i="6"/>
  <c r="G25" i="6"/>
  <c r="AD24" i="6"/>
  <c r="Z24" i="6"/>
  <c r="Y24" i="6"/>
  <c r="F18" i="5" s="1"/>
  <c r="O24" i="6"/>
  <c r="K24" i="6"/>
  <c r="AF23" i="6"/>
  <c r="AE23" i="6"/>
  <c r="V23" i="6"/>
  <c r="U23" i="6"/>
  <c r="Q23" i="6"/>
  <c r="P23" i="6"/>
  <c r="O23" i="6"/>
  <c r="N23" i="6"/>
  <c r="M23" i="6"/>
  <c r="K23" i="6"/>
  <c r="G23" i="6"/>
  <c r="V22" i="6"/>
  <c r="U22" i="6"/>
  <c r="O22" i="6"/>
  <c r="M22" i="6"/>
  <c r="N22" i="6" s="1"/>
  <c r="K22" i="6"/>
  <c r="G22" i="6"/>
  <c r="V21" i="6"/>
  <c r="U21" i="6"/>
  <c r="Q21" i="6"/>
  <c r="P21" i="6"/>
  <c r="O21" i="6"/>
  <c r="N21" i="6"/>
  <c r="M21" i="6"/>
  <c r="K21" i="6"/>
  <c r="G21" i="6"/>
  <c r="AF20" i="6"/>
  <c r="AE20" i="6"/>
  <c r="V20" i="6"/>
  <c r="U20" i="6"/>
  <c r="O20" i="6"/>
  <c r="N20" i="6"/>
  <c r="M20" i="6"/>
  <c r="K20" i="6"/>
  <c r="G20" i="6"/>
  <c r="AF19" i="6"/>
  <c r="AE19" i="6"/>
  <c r="V19" i="6"/>
  <c r="U19" i="6"/>
  <c r="Q19" i="6"/>
  <c r="P19" i="6"/>
  <c r="O19" i="6"/>
  <c r="N19" i="6"/>
  <c r="M19" i="6"/>
  <c r="K19" i="6"/>
  <c r="G19" i="6"/>
  <c r="V18" i="6"/>
  <c r="M18" i="6" s="1"/>
  <c r="U18" i="6"/>
  <c r="O18" i="6"/>
  <c r="K18" i="6"/>
  <c r="G18" i="6"/>
  <c r="AF17" i="6"/>
  <c r="AE17" i="6"/>
  <c r="X17" i="6"/>
  <c r="W17" i="6"/>
  <c r="V17" i="6"/>
  <c r="M17" i="6" s="1"/>
  <c r="O17" i="6"/>
  <c r="K17" i="6"/>
  <c r="G17" i="6"/>
  <c r="AD16" i="6"/>
  <c r="Z16" i="6"/>
  <c r="Y16" i="6"/>
  <c r="E18" i="5" s="1"/>
  <c r="O16" i="6"/>
  <c r="M16" i="6"/>
  <c r="AF16" i="6" s="1"/>
  <c r="AG10" i="6" s="1"/>
  <c r="K16" i="6"/>
  <c r="AF15" i="6"/>
  <c r="AE15" i="6"/>
  <c r="V15" i="6"/>
  <c r="U15" i="6"/>
  <c r="O15" i="6"/>
  <c r="M15" i="6"/>
  <c r="N15" i="6" s="1"/>
  <c r="K15" i="6"/>
  <c r="G15" i="6"/>
  <c r="V14" i="6"/>
  <c r="U14" i="6"/>
  <c r="O14" i="6"/>
  <c r="M14" i="6"/>
  <c r="N14" i="6" s="1"/>
  <c r="K14" i="6"/>
  <c r="G14" i="6"/>
  <c r="AF13" i="6"/>
  <c r="AE13" i="6"/>
  <c r="X13" i="6"/>
  <c r="W13" i="6"/>
  <c r="V13" i="6"/>
  <c r="M13" i="6" s="1"/>
  <c r="N13" i="6" s="1"/>
  <c r="U13" i="6"/>
  <c r="Q13" i="6"/>
  <c r="P13" i="6"/>
  <c r="O13" i="6"/>
  <c r="K13" i="6"/>
  <c r="G13" i="6"/>
  <c r="AF12" i="6"/>
  <c r="AE12" i="6"/>
  <c r="V12" i="6"/>
  <c r="U12" i="6"/>
  <c r="Q12" i="6"/>
  <c r="P12" i="6"/>
  <c r="O12" i="6"/>
  <c r="N12" i="6"/>
  <c r="M12" i="6"/>
  <c r="K12" i="6"/>
  <c r="G12" i="6"/>
  <c r="V11" i="6"/>
  <c r="U11" i="6"/>
  <c r="O11" i="6"/>
  <c r="M11" i="6"/>
  <c r="N11" i="6" s="1"/>
  <c r="K11" i="6"/>
  <c r="G11" i="6"/>
  <c r="AF10" i="6"/>
  <c r="AE10" i="6"/>
  <c r="X10" i="6"/>
  <c r="W10" i="6"/>
  <c r="V10" i="6"/>
  <c r="O10" i="6"/>
  <c r="M10" i="6"/>
  <c r="N10" i="6" s="1"/>
  <c r="K10" i="6"/>
  <c r="G10" i="6"/>
  <c r="AD9" i="6"/>
  <c r="Z9" i="6"/>
  <c r="Y9" i="6"/>
  <c r="O9" i="6"/>
  <c r="K9" i="6"/>
  <c r="AF8" i="6"/>
  <c r="AE8" i="6"/>
  <c r="V8" i="6"/>
  <c r="U8" i="6"/>
  <c r="O8" i="6"/>
  <c r="N8" i="6"/>
  <c r="M8" i="6"/>
  <c r="K8" i="6"/>
  <c r="G8" i="6"/>
  <c r="AF7" i="6"/>
  <c r="AE7" i="6"/>
  <c r="X7" i="6"/>
  <c r="W7" i="6"/>
  <c r="V7" i="6"/>
  <c r="U7" i="6"/>
  <c r="O7" i="6"/>
  <c r="M7" i="6"/>
  <c r="N7" i="6" s="1"/>
  <c r="K7" i="6"/>
  <c r="G7" i="6"/>
  <c r="V6" i="6"/>
  <c r="U6" i="6"/>
  <c r="O6" i="6"/>
  <c r="M6" i="6"/>
  <c r="M9" i="6" s="1"/>
  <c r="N9" i="6" s="1"/>
  <c r="K6" i="6"/>
  <c r="G6" i="6"/>
  <c r="AF5" i="6"/>
  <c r="AE5" i="6"/>
  <c r="V5" i="6"/>
  <c r="M5" i="6" s="1"/>
  <c r="N5" i="6" s="1"/>
  <c r="Q5" i="6"/>
  <c r="P5" i="6"/>
  <c r="O5" i="6"/>
  <c r="K5" i="6"/>
  <c r="G5" i="6"/>
  <c r="AD2" i="6"/>
  <c r="N6" i="5" s="1"/>
  <c r="Z2" i="6"/>
  <c r="H2" i="6"/>
  <c r="H1" i="6"/>
  <c r="F1" i="6"/>
  <c r="F2" i="6" s="1"/>
  <c r="D1" i="6"/>
  <c r="M22" i="5"/>
  <c r="L22" i="5"/>
  <c r="K22" i="5"/>
  <c r="J22" i="5"/>
  <c r="I22" i="5"/>
  <c r="H22" i="5"/>
  <c r="G22" i="5"/>
  <c r="F22" i="5"/>
  <c r="E22" i="5"/>
  <c r="D22" i="5"/>
  <c r="M21" i="5"/>
  <c r="L21" i="5"/>
  <c r="K21" i="5"/>
  <c r="J21" i="5"/>
  <c r="H21" i="5"/>
  <c r="G21" i="5"/>
  <c r="F21" i="5"/>
  <c r="E21" i="5"/>
  <c r="D21" i="5"/>
  <c r="M20" i="5"/>
  <c r="L20" i="5"/>
  <c r="K20" i="5"/>
  <c r="J20" i="5"/>
  <c r="I20" i="5"/>
  <c r="H20" i="5"/>
  <c r="G20" i="5"/>
  <c r="F20" i="5"/>
  <c r="E20" i="5"/>
  <c r="D20" i="5"/>
  <c r="M19" i="5"/>
  <c r="L19" i="5"/>
  <c r="K19" i="5"/>
  <c r="H19" i="5"/>
  <c r="G19" i="5"/>
  <c r="F19" i="5"/>
  <c r="E19" i="5"/>
  <c r="D19" i="5"/>
  <c r="M18" i="5"/>
  <c r="L18" i="5"/>
  <c r="K18" i="5"/>
  <c r="J18" i="5"/>
  <c r="I18" i="5"/>
  <c r="H18" i="5"/>
  <c r="M17" i="5"/>
  <c r="L17" i="5"/>
  <c r="K17" i="5"/>
  <c r="J17" i="5"/>
  <c r="I17" i="5"/>
  <c r="H17" i="5"/>
  <c r="G17" i="5"/>
  <c r="F17" i="5"/>
  <c r="E17" i="5"/>
  <c r="D17" i="5"/>
  <c r="M16" i="5"/>
  <c r="L16" i="5"/>
  <c r="K16" i="5"/>
  <c r="J16" i="5"/>
  <c r="I16" i="5"/>
  <c r="H16" i="5"/>
  <c r="G16" i="5"/>
  <c r="F16" i="5"/>
  <c r="E16" i="5"/>
  <c r="D16" i="5"/>
  <c r="M13" i="5"/>
  <c r="L13" i="5"/>
  <c r="K13" i="5"/>
  <c r="J13" i="5"/>
  <c r="I13" i="5"/>
  <c r="E6" i="5" s="1"/>
  <c r="H13" i="5"/>
  <c r="G13" i="5"/>
  <c r="F13" i="5"/>
  <c r="E13" i="5"/>
  <c r="D13" i="5"/>
  <c r="M6" i="5"/>
  <c r="L6" i="5"/>
  <c r="I6" i="5"/>
  <c r="I3" i="5"/>
  <c r="F3" i="5"/>
  <c r="C3" i="5"/>
  <c r="E8" i="19" l="1"/>
  <c r="F8" i="19"/>
  <c r="G8" i="19"/>
  <c r="K15" i="17"/>
  <c r="I8" i="17" s="1"/>
  <c r="I7" i="17"/>
  <c r="G8" i="17"/>
  <c r="F8" i="17"/>
  <c r="E8" i="17"/>
  <c r="G7" i="17"/>
  <c r="E7" i="17"/>
  <c r="D14" i="11"/>
  <c r="P8" i="12"/>
  <c r="Q8" i="12"/>
  <c r="R5" i="12" s="1"/>
  <c r="D2" i="12"/>
  <c r="K14" i="11"/>
  <c r="Q40" i="12"/>
  <c r="R33" i="12" s="1"/>
  <c r="P40" i="12"/>
  <c r="Q49" i="12"/>
  <c r="R41" i="12" s="1"/>
  <c r="P49" i="12"/>
  <c r="L14" i="11"/>
  <c r="L15" i="11" s="1"/>
  <c r="Q63" i="12"/>
  <c r="R55" i="12" s="1"/>
  <c r="P63" i="12"/>
  <c r="I14" i="11"/>
  <c r="I15" i="11" s="1"/>
  <c r="Q68" i="12"/>
  <c r="R64" i="12" s="1"/>
  <c r="P68" i="12"/>
  <c r="J14" i="11"/>
  <c r="J15" i="11" s="1"/>
  <c r="F14" i="11"/>
  <c r="F15" i="11" s="1"/>
  <c r="Q23" i="12"/>
  <c r="R15" i="12" s="1"/>
  <c r="P23" i="12"/>
  <c r="Q78" i="12"/>
  <c r="R69" i="12" s="1"/>
  <c r="P78" i="12"/>
  <c r="M14" i="11"/>
  <c r="M15" i="11" s="1"/>
  <c r="P32" i="12"/>
  <c r="Q32" i="12"/>
  <c r="R24" i="12" s="1"/>
  <c r="G14" i="11"/>
  <c r="G15" i="11" s="1"/>
  <c r="P54" i="12"/>
  <c r="H14" i="11"/>
  <c r="H15" i="11" s="1"/>
  <c r="Q54" i="12"/>
  <c r="R50" i="12" s="1"/>
  <c r="P58" i="10"/>
  <c r="Q58" i="10"/>
  <c r="Q42" i="10"/>
  <c r="P42" i="10"/>
  <c r="Q46" i="10"/>
  <c r="P46" i="10"/>
  <c r="Q13" i="10"/>
  <c r="P13" i="10"/>
  <c r="AE41" i="10"/>
  <c r="AF41" i="10"/>
  <c r="AG34" i="10" s="1"/>
  <c r="N41" i="10"/>
  <c r="P29" i="10"/>
  <c r="Q29" i="10"/>
  <c r="Q37" i="10"/>
  <c r="P37" i="10"/>
  <c r="Q67" i="10"/>
  <c r="P67" i="10"/>
  <c r="N33" i="10"/>
  <c r="AE33" i="10"/>
  <c r="AF33" i="10"/>
  <c r="AG25" i="10" s="1"/>
  <c r="Q49" i="10"/>
  <c r="P49" i="10"/>
  <c r="Q32" i="10"/>
  <c r="P32" i="10"/>
  <c r="P22" i="10"/>
  <c r="Q22" i="10"/>
  <c r="N9" i="10"/>
  <c r="AE9" i="10"/>
  <c r="AF9" i="10"/>
  <c r="AG5" i="10" s="1"/>
  <c r="Q16" i="10"/>
  <c r="P16" i="10"/>
  <c r="AF80" i="10"/>
  <c r="AG71" i="10" s="1"/>
  <c r="AE80" i="10"/>
  <c r="N80" i="10"/>
  <c r="N70" i="10"/>
  <c r="AF70" i="10"/>
  <c r="AG66" i="10" s="1"/>
  <c r="AE70" i="10"/>
  <c r="AE24" i="10"/>
  <c r="AF24" i="10"/>
  <c r="AG16" i="10" s="1"/>
  <c r="N24" i="10"/>
  <c r="Q60" i="10"/>
  <c r="P60" i="10"/>
  <c r="P78" i="10"/>
  <c r="Q78" i="10"/>
  <c r="Q23" i="10"/>
  <c r="P23" i="10"/>
  <c r="Q48" i="10"/>
  <c r="P48" i="10"/>
  <c r="Q20" i="10"/>
  <c r="P20" i="10"/>
  <c r="AE55" i="10"/>
  <c r="AF55" i="10"/>
  <c r="AG51" i="10" s="1"/>
  <c r="N55" i="10"/>
  <c r="Q14" i="10"/>
  <c r="P14" i="10"/>
  <c r="Q79" i="10"/>
  <c r="P79" i="10"/>
  <c r="AE15" i="10"/>
  <c r="AF15" i="10"/>
  <c r="AG10" i="10" s="1"/>
  <c r="N15" i="10"/>
  <c r="P8" i="10"/>
  <c r="Q8" i="10"/>
  <c r="Q56" i="10"/>
  <c r="P56" i="10"/>
  <c r="AF65" i="10"/>
  <c r="AG56" i="10" s="1"/>
  <c r="AE65" i="10"/>
  <c r="N65" i="10"/>
  <c r="Q27" i="10"/>
  <c r="P27" i="10"/>
  <c r="Q72" i="10"/>
  <c r="P72" i="10"/>
  <c r="AF50" i="10"/>
  <c r="AG42" i="10" s="1"/>
  <c r="AE50" i="10"/>
  <c r="N50" i="10"/>
  <c r="Q62" i="10"/>
  <c r="P62" i="10"/>
  <c r="Q53" i="10"/>
  <c r="P53" i="10"/>
  <c r="P11" i="6"/>
  <c r="Q11" i="6"/>
  <c r="Q75" i="6"/>
  <c r="P75" i="6"/>
  <c r="P82" i="6"/>
  <c r="Q82" i="6"/>
  <c r="AF51" i="6"/>
  <c r="AG43" i="6" s="1"/>
  <c r="N51" i="6"/>
  <c r="AE51" i="6"/>
  <c r="P7" i="6"/>
  <c r="Q7" i="6"/>
  <c r="Q14" i="6"/>
  <c r="P14" i="6"/>
  <c r="D14" i="5"/>
  <c r="P9" i="6"/>
  <c r="Q9" i="6"/>
  <c r="R5" i="6" s="1"/>
  <c r="N56" i="6"/>
  <c r="N72" i="6"/>
  <c r="P35" i="6"/>
  <c r="Q59" i="6"/>
  <c r="AF82" i="6"/>
  <c r="N25" i="6"/>
  <c r="Q25" i="6" s="1"/>
  <c r="AE31" i="6"/>
  <c r="N44" i="6"/>
  <c r="N68" i="6"/>
  <c r="N70" i="6"/>
  <c r="M34" i="6"/>
  <c r="N34" i="6" s="1"/>
  <c r="Q34" i="6" s="1"/>
  <c r="R25" i="6" s="1"/>
  <c r="F6" i="5"/>
  <c r="Q65" i="6"/>
  <c r="G6" i="5"/>
  <c r="AE56" i="6"/>
  <c r="N6" i="6"/>
  <c r="AF22" i="6"/>
  <c r="N42" i="6"/>
  <c r="AE25" i="6"/>
  <c r="AE57" i="6"/>
  <c r="AF72" i="6"/>
  <c r="AG68" i="6" s="1"/>
  <c r="N32" i="6"/>
  <c r="Q32" i="6" s="1"/>
  <c r="N47" i="6"/>
  <c r="AF57" i="6"/>
  <c r="N16" i="6"/>
  <c r="P37" i="6"/>
  <c r="P54" i="6"/>
  <c r="AE82" i="6"/>
  <c r="AE16" i="6"/>
  <c r="N40" i="6"/>
  <c r="M83" i="6"/>
  <c r="AE40" i="6"/>
  <c r="AE42" i="6"/>
  <c r="AE68" i="6"/>
  <c r="AE70" i="6"/>
  <c r="AE22" i="6"/>
  <c r="AF31" i="6"/>
  <c r="AF6" i="6"/>
  <c r="AE6" i="6"/>
  <c r="Q8" i="6"/>
  <c r="P8" i="6"/>
  <c r="AF9" i="6"/>
  <c r="AG5" i="6" s="1"/>
  <c r="AE9" i="6"/>
  <c r="D18" i="5"/>
  <c r="Y2" i="6"/>
  <c r="K6" i="5" s="1"/>
  <c r="Q10" i="6"/>
  <c r="P10" i="6"/>
  <c r="AF11" i="6"/>
  <c r="AE11" i="6"/>
  <c r="AF14" i="6"/>
  <c r="AE14" i="6"/>
  <c r="Q15" i="6"/>
  <c r="P15" i="6"/>
  <c r="M24" i="6"/>
  <c r="N17" i="6"/>
  <c r="AF18" i="6"/>
  <c r="AE18" i="6"/>
  <c r="N18" i="6"/>
  <c r="Q20" i="6"/>
  <c r="P20" i="6"/>
  <c r="AF21" i="6"/>
  <c r="AE21" i="6"/>
  <c r="Q22" i="6"/>
  <c r="P22" i="6"/>
  <c r="AF27" i="6"/>
  <c r="AE27" i="6"/>
  <c r="N27" i="6"/>
  <c r="Q29" i="6"/>
  <c r="P29" i="6"/>
  <c r="AF30" i="6"/>
  <c r="AE30" i="6"/>
  <c r="Q31" i="6"/>
  <c r="P31" i="6"/>
  <c r="AE34" i="6"/>
  <c r="AF34" i="6"/>
  <c r="AG25" i="6" s="1"/>
  <c r="G14" i="5"/>
  <c r="G15" i="5" s="1"/>
  <c r="P34" i="6"/>
  <c r="Q36" i="6"/>
  <c r="P36" i="6"/>
  <c r="AE39" i="6"/>
  <c r="AF39" i="6"/>
  <c r="Q39" i="6"/>
  <c r="P39" i="6"/>
  <c r="P43" i="6"/>
  <c r="Q43" i="6"/>
  <c r="AF44" i="6"/>
  <c r="AE44" i="6"/>
  <c r="Q44" i="6"/>
  <c r="P44" i="6"/>
  <c r="AE46" i="6"/>
  <c r="AF46" i="6"/>
  <c r="N46" i="6"/>
  <c r="P48" i="6"/>
  <c r="Q48" i="6"/>
  <c r="AF53" i="6"/>
  <c r="AE53" i="6"/>
  <c r="N53" i="6"/>
  <c r="Q55" i="6"/>
  <c r="P55" i="6"/>
  <c r="P57" i="6"/>
  <c r="Q57" i="6"/>
  <c r="AE58" i="6"/>
  <c r="AF58" i="6"/>
  <c r="Q58" i="6"/>
  <c r="P58" i="6"/>
  <c r="AE60" i="6"/>
  <c r="AF60" i="6"/>
  <c r="N60" i="6"/>
  <c r="P62" i="6"/>
  <c r="Q62" i="6"/>
  <c r="P64" i="6"/>
  <c r="Q64" i="6"/>
  <c r="AF67" i="6"/>
  <c r="AG57" i="6" s="1"/>
  <c r="AE67" i="6"/>
  <c r="Q67" i="6"/>
  <c r="R57" i="6" s="1"/>
  <c r="P67" i="6"/>
  <c r="P69" i="6"/>
  <c r="Q69" i="6"/>
  <c r="P71" i="6"/>
  <c r="Q71" i="6"/>
  <c r="AE74" i="6"/>
  <c r="AF74" i="6"/>
  <c r="N74" i="6"/>
  <c r="P76" i="6"/>
  <c r="Q76" i="6"/>
  <c r="P78" i="6"/>
  <c r="Q78" i="6"/>
  <c r="AF81" i="6"/>
  <c r="AE81" i="6"/>
  <c r="AF83" i="6"/>
  <c r="AG73" i="6" s="1"/>
  <c r="AE83" i="6"/>
  <c r="N83" i="6"/>
  <c r="AD84" i="4"/>
  <c r="Z84" i="4"/>
  <c r="Y84" i="4"/>
  <c r="O84" i="4"/>
  <c r="K84" i="4"/>
  <c r="AF83" i="4"/>
  <c r="V83" i="4"/>
  <c r="U83" i="4"/>
  <c r="O83" i="4"/>
  <c r="N83" i="4"/>
  <c r="Q83" i="4" s="1"/>
  <c r="M83" i="4"/>
  <c r="AE83" i="4" s="1"/>
  <c r="K83" i="4"/>
  <c r="G83" i="4"/>
  <c r="AE82" i="4"/>
  <c r="V82" i="4"/>
  <c r="U82" i="4"/>
  <c r="O82" i="4"/>
  <c r="M82" i="4"/>
  <c r="N82" i="4" s="1"/>
  <c r="K82" i="4"/>
  <c r="G82" i="4"/>
  <c r="V81" i="4"/>
  <c r="M81" i="4" s="1"/>
  <c r="U81" i="4"/>
  <c r="O81" i="4"/>
  <c r="K81" i="4"/>
  <c r="G81" i="4"/>
  <c r="V80" i="4"/>
  <c r="M80" i="4" s="1"/>
  <c r="U80" i="4"/>
  <c r="O80" i="4"/>
  <c r="K80" i="4"/>
  <c r="G80" i="4"/>
  <c r="X79" i="4"/>
  <c r="W79" i="4"/>
  <c r="V79" i="4"/>
  <c r="M79" i="4" s="1"/>
  <c r="U79" i="4"/>
  <c r="O79" i="4"/>
  <c r="K79" i="4"/>
  <c r="G79" i="4"/>
  <c r="V78" i="4"/>
  <c r="M78" i="4" s="1"/>
  <c r="U78" i="4"/>
  <c r="O78" i="4"/>
  <c r="K78" i="4"/>
  <c r="G78" i="4"/>
  <c r="V77" i="4"/>
  <c r="M77" i="4" s="1"/>
  <c r="U77" i="4"/>
  <c r="O77" i="4"/>
  <c r="K77" i="4"/>
  <c r="G77" i="4"/>
  <c r="V76" i="4"/>
  <c r="M76" i="4" s="1"/>
  <c r="U76" i="4"/>
  <c r="O76" i="4"/>
  <c r="K76" i="4"/>
  <c r="G76" i="4"/>
  <c r="V75" i="4"/>
  <c r="M75" i="4" s="1"/>
  <c r="U75" i="4"/>
  <c r="O75" i="4"/>
  <c r="K75" i="4"/>
  <c r="G75" i="4"/>
  <c r="X74" i="4"/>
  <c r="W74" i="4"/>
  <c r="V74" i="4"/>
  <c r="M74" i="4" s="1"/>
  <c r="O74" i="4"/>
  <c r="K74" i="4"/>
  <c r="G74" i="4"/>
  <c r="AD73" i="4"/>
  <c r="Z73" i="4"/>
  <c r="Y73" i="4"/>
  <c r="O73" i="4"/>
  <c r="K73" i="4"/>
  <c r="V72" i="4"/>
  <c r="M72" i="4" s="1"/>
  <c r="U72" i="4"/>
  <c r="O72" i="4"/>
  <c r="K72" i="4"/>
  <c r="G72" i="4"/>
  <c r="V71" i="4"/>
  <c r="M71" i="4" s="1"/>
  <c r="U71" i="4"/>
  <c r="O71" i="4"/>
  <c r="K71" i="4"/>
  <c r="G71" i="4"/>
  <c r="V70" i="4"/>
  <c r="U70" i="4"/>
  <c r="O70" i="4"/>
  <c r="M70" i="4"/>
  <c r="AF70" i="4" s="1"/>
  <c r="K70" i="4"/>
  <c r="G70" i="4"/>
  <c r="V69" i="4"/>
  <c r="O69" i="4"/>
  <c r="M69" i="4"/>
  <c r="M73" i="4" s="1"/>
  <c r="K69" i="4"/>
  <c r="G69" i="4"/>
  <c r="AD68" i="4"/>
  <c r="Z68" i="4"/>
  <c r="Y68" i="4"/>
  <c r="O68" i="4"/>
  <c r="K68" i="4"/>
  <c r="V67" i="4"/>
  <c r="U67" i="4"/>
  <c r="O67" i="4"/>
  <c r="M67" i="4"/>
  <c r="AF67" i="4" s="1"/>
  <c r="K67" i="4"/>
  <c r="G67" i="4"/>
  <c r="X66" i="4"/>
  <c r="W66" i="4"/>
  <c r="V66" i="4"/>
  <c r="U66" i="4"/>
  <c r="O66" i="4"/>
  <c r="M66" i="4"/>
  <c r="AF66" i="4" s="1"/>
  <c r="K66" i="4"/>
  <c r="G66" i="4"/>
  <c r="V65" i="4"/>
  <c r="U65" i="4"/>
  <c r="O65" i="4"/>
  <c r="M65" i="4"/>
  <c r="AF65" i="4" s="1"/>
  <c r="K65" i="4"/>
  <c r="G65" i="4"/>
  <c r="V64" i="4"/>
  <c r="U64" i="4"/>
  <c r="O64" i="4"/>
  <c r="M64" i="4"/>
  <c r="AF64" i="4" s="1"/>
  <c r="K64" i="4"/>
  <c r="G64" i="4"/>
  <c r="AF63" i="4"/>
  <c r="V63" i="4"/>
  <c r="U63" i="4"/>
  <c r="O63" i="4"/>
  <c r="N63" i="4"/>
  <c r="Q63" i="4" s="1"/>
  <c r="M63" i="4"/>
  <c r="AE63" i="4" s="1"/>
  <c r="K63" i="4"/>
  <c r="G63" i="4"/>
  <c r="AE62" i="4"/>
  <c r="V62" i="4"/>
  <c r="U62" i="4"/>
  <c r="O62" i="4"/>
  <c r="M62" i="4"/>
  <c r="N62" i="4" s="1"/>
  <c r="K62" i="4"/>
  <c r="G62" i="4"/>
  <c r="V61" i="4"/>
  <c r="M61" i="4" s="1"/>
  <c r="U61" i="4"/>
  <c r="O61" i="4"/>
  <c r="K61" i="4"/>
  <c r="G61" i="4"/>
  <c r="V60" i="4"/>
  <c r="M60" i="4" s="1"/>
  <c r="U60" i="4"/>
  <c r="O60" i="4"/>
  <c r="K60" i="4"/>
  <c r="G60" i="4"/>
  <c r="V59" i="4"/>
  <c r="U59" i="4"/>
  <c r="O59" i="4"/>
  <c r="M59" i="4"/>
  <c r="N59" i="4" s="1"/>
  <c r="K59" i="4"/>
  <c r="G59" i="4"/>
  <c r="X58" i="4"/>
  <c r="W58" i="4"/>
  <c r="V58" i="4"/>
  <c r="M58" i="4" s="1"/>
  <c r="O58" i="4"/>
  <c r="K58" i="4"/>
  <c r="G58" i="4"/>
  <c r="AD57" i="4"/>
  <c r="Z57" i="4"/>
  <c r="Y57" i="4"/>
  <c r="O57" i="4"/>
  <c r="K57" i="4"/>
  <c r="V56" i="4"/>
  <c r="U56" i="4"/>
  <c r="O56" i="4"/>
  <c r="M56" i="4"/>
  <c r="N56" i="4" s="1"/>
  <c r="K56" i="4"/>
  <c r="G56" i="4"/>
  <c r="V55" i="4"/>
  <c r="U55" i="4"/>
  <c r="O55" i="4"/>
  <c r="M55" i="4"/>
  <c r="N55" i="4" s="1"/>
  <c r="K55" i="4"/>
  <c r="G55" i="4"/>
  <c r="V54" i="4"/>
  <c r="M54" i="4" s="1"/>
  <c r="U54" i="4"/>
  <c r="O54" i="4"/>
  <c r="K54" i="4"/>
  <c r="G54" i="4"/>
  <c r="V53" i="4"/>
  <c r="M53" i="4" s="1"/>
  <c r="O53" i="4"/>
  <c r="K53" i="4"/>
  <c r="G53" i="4"/>
  <c r="AD52" i="4"/>
  <c r="Z52" i="4"/>
  <c r="Y52" i="4"/>
  <c r="O52" i="4"/>
  <c r="K52" i="4"/>
  <c r="V51" i="4"/>
  <c r="U51" i="4"/>
  <c r="O51" i="4"/>
  <c r="M51" i="4"/>
  <c r="AF51" i="4" s="1"/>
  <c r="K51" i="4"/>
  <c r="G51" i="4"/>
  <c r="AF50" i="4"/>
  <c r="V50" i="4"/>
  <c r="U50" i="4"/>
  <c r="O50" i="4"/>
  <c r="M50" i="4"/>
  <c r="AE50" i="4" s="1"/>
  <c r="K50" i="4"/>
  <c r="G50" i="4"/>
  <c r="V49" i="4"/>
  <c r="M49" i="4" s="1"/>
  <c r="U49" i="4"/>
  <c r="O49" i="4"/>
  <c r="K49" i="4"/>
  <c r="G49" i="4"/>
  <c r="X48" i="4"/>
  <c r="W48" i="4"/>
  <c r="V48" i="4"/>
  <c r="U48" i="4"/>
  <c r="O48" i="4"/>
  <c r="M48" i="4"/>
  <c r="AF48" i="4" s="1"/>
  <c r="K48" i="4"/>
  <c r="G48" i="4"/>
  <c r="V47" i="4"/>
  <c r="M47" i="4" s="1"/>
  <c r="U47" i="4"/>
  <c r="O47" i="4"/>
  <c r="K47" i="4"/>
  <c r="G47" i="4"/>
  <c r="V46" i="4"/>
  <c r="M46" i="4" s="1"/>
  <c r="U46" i="4"/>
  <c r="O46" i="4"/>
  <c r="K46" i="4"/>
  <c r="G46" i="4"/>
  <c r="V45" i="4"/>
  <c r="M45" i="4" s="1"/>
  <c r="U45" i="4"/>
  <c r="O45" i="4"/>
  <c r="K45" i="4"/>
  <c r="G45" i="4"/>
  <c r="X44" i="4"/>
  <c r="W44" i="4"/>
  <c r="V44" i="4"/>
  <c r="M44" i="4" s="1"/>
  <c r="O44" i="4"/>
  <c r="K44" i="4"/>
  <c r="G44" i="4"/>
  <c r="AD43" i="4"/>
  <c r="Z43" i="4"/>
  <c r="Y43" i="4"/>
  <c r="O43" i="4"/>
  <c r="K43" i="4"/>
  <c r="AF42" i="4"/>
  <c r="V42" i="4"/>
  <c r="U42" i="4"/>
  <c r="O42" i="4"/>
  <c r="N42" i="4"/>
  <c r="Q42" i="4" s="1"/>
  <c r="M42" i="4"/>
  <c r="AE42" i="4" s="1"/>
  <c r="K42" i="4"/>
  <c r="G42" i="4"/>
  <c r="AF41" i="4"/>
  <c r="AE41" i="4"/>
  <c r="V41" i="4"/>
  <c r="U41" i="4"/>
  <c r="O41" i="4"/>
  <c r="M41" i="4"/>
  <c r="N41" i="4" s="1"/>
  <c r="K41" i="4"/>
  <c r="G41" i="4"/>
  <c r="V40" i="4"/>
  <c r="M40" i="4" s="1"/>
  <c r="U40" i="4"/>
  <c r="O40" i="4"/>
  <c r="K40" i="4"/>
  <c r="G40" i="4"/>
  <c r="V39" i="4"/>
  <c r="M39" i="4" s="1"/>
  <c r="U39" i="4"/>
  <c r="O39" i="4"/>
  <c r="K39" i="4"/>
  <c r="G39" i="4"/>
  <c r="X38" i="4"/>
  <c r="W38" i="4"/>
  <c r="V38" i="4"/>
  <c r="M38" i="4" s="1"/>
  <c r="U38" i="4"/>
  <c r="O38" i="4"/>
  <c r="K38" i="4"/>
  <c r="G38" i="4"/>
  <c r="V37" i="4"/>
  <c r="M37" i="4" s="1"/>
  <c r="U37" i="4"/>
  <c r="O37" i="4"/>
  <c r="K37" i="4"/>
  <c r="G37" i="4"/>
  <c r="V36" i="4"/>
  <c r="U36" i="4"/>
  <c r="O36" i="4"/>
  <c r="N36" i="4"/>
  <c r="P36" i="4" s="1"/>
  <c r="M36" i="4"/>
  <c r="AF36" i="4" s="1"/>
  <c r="K36" i="4"/>
  <c r="G36" i="4"/>
  <c r="V35" i="4"/>
  <c r="U35" i="4"/>
  <c r="O35" i="4"/>
  <c r="M35" i="4"/>
  <c r="N35" i="4" s="1"/>
  <c r="K35" i="4"/>
  <c r="G35" i="4"/>
  <c r="X34" i="4"/>
  <c r="W34" i="4"/>
  <c r="V34" i="4"/>
  <c r="M34" i="4" s="1"/>
  <c r="O34" i="4"/>
  <c r="K34" i="4"/>
  <c r="G34" i="4"/>
  <c r="AD33" i="4"/>
  <c r="Z33" i="4"/>
  <c r="Y33" i="4"/>
  <c r="O33" i="4"/>
  <c r="K33" i="4"/>
  <c r="V32" i="4"/>
  <c r="U32" i="4"/>
  <c r="O32" i="4"/>
  <c r="M32" i="4"/>
  <c r="N32" i="4" s="1"/>
  <c r="K32" i="4"/>
  <c r="G32" i="4"/>
  <c r="X31" i="4"/>
  <c r="W31" i="4"/>
  <c r="V31" i="4"/>
  <c r="M31" i="4" s="1"/>
  <c r="U31" i="4"/>
  <c r="O31" i="4"/>
  <c r="K31" i="4"/>
  <c r="G31" i="4"/>
  <c r="V30" i="4"/>
  <c r="U30" i="4"/>
  <c r="O30" i="4"/>
  <c r="M30" i="4"/>
  <c r="N30" i="4" s="1"/>
  <c r="K30" i="4"/>
  <c r="G30" i="4"/>
  <c r="V29" i="4"/>
  <c r="M29" i="4" s="1"/>
  <c r="U29" i="4"/>
  <c r="O29" i="4"/>
  <c r="K29" i="4"/>
  <c r="G29" i="4"/>
  <c r="V28" i="4"/>
  <c r="M28" i="4" s="1"/>
  <c r="U28" i="4"/>
  <c r="O28" i="4"/>
  <c r="K28" i="4"/>
  <c r="G28" i="4"/>
  <c r="V27" i="4"/>
  <c r="U27" i="4"/>
  <c r="O27" i="4"/>
  <c r="M27" i="4"/>
  <c r="AF27" i="4" s="1"/>
  <c r="K27" i="4"/>
  <c r="G27" i="4"/>
  <c r="V26" i="4"/>
  <c r="O26" i="4"/>
  <c r="M26" i="4"/>
  <c r="AF26" i="4" s="1"/>
  <c r="K26" i="4"/>
  <c r="G26" i="4"/>
  <c r="AD25" i="4"/>
  <c r="Z25" i="4"/>
  <c r="Y25" i="4"/>
  <c r="O25" i="4"/>
  <c r="K25" i="4"/>
  <c r="AE24" i="4"/>
  <c r="V24" i="4"/>
  <c r="U24" i="4"/>
  <c r="O24" i="4"/>
  <c r="N24" i="4"/>
  <c r="Q24" i="4" s="1"/>
  <c r="M24" i="4"/>
  <c r="AF24" i="4" s="1"/>
  <c r="K24" i="4"/>
  <c r="G24" i="4"/>
  <c r="V23" i="4"/>
  <c r="M23" i="4" s="1"/>
  <c r="U23" i="4"/>
  <c r="O23" i="4"/>
  <c r="K23" i="4"/>
  <c r="G23" i="4"/>
  <c r="AF22" i="4"/>
  <c r="V22" i="4"/>
  <c r="U22" i="4"/>
  <c r="O22" i="4"/>
  <c r="N22" i="4"/>
  <c r="Q22" i="4" s="1"/>
  <c r="M22" i="4"/>
  <c r="AE22" i="4" s="1"/>
  <c r="K22" i="4"/>
  <c r="G22" i="4"/>
  <c r="AE21" i="4"/>
  <c r="V21" i="4"/>
  <c r="U21" i="4"/>
  <c r="O21" i="4"/>
  <c r="M21" i="4"/>
  <c r="N21" i="4" s="1"/>
  <c r="K21" i="4"/>
  <c r="G21" i="4"/>
  <c r="V20" i="4"/>
  <c r="M20" i="4" s="1"/>
  <c r="U20" i="4"/>
  <c r="O20" i="4"/>
  <c r="K20" i="4"/>
  <c r="G20" i="4"/>
  <c r="V19" i="4"/>
  <c r="M19" i="4" s="1"/>
  <c r="U19" i="4"/>
  <c r="O19" i="4"/>
  <c r="K19" i="4"/>
  <c r="G19" i="4"/>
  <c r="AF18" i="4"/>
  <c r="X18" i="4"/>
  <c r="W18" i="4"/>
  <c r="V18" i="4"/>
  <c r="O18" i="4"/>
  <c r="M18" i="4"/>
  <c r="N18" i="4" s="1"/>
  <c r="K18" i="4"/>
  <c r="G18" i="4"/>
  <c r="F1" i="4" s="1"/>
  <c r="AD17" i="4"/>
  <c r="AD2" i="4" s="1"/>
  <c r="N6" i="3" s="1"/>
  <c r="Z17" i="4"/>
  <c r="Y17" i="4"/>
  <c r="O17" i="4"/>
  <c r="K17" i="4"/>
  <c r="V16" i="4"/>
  <c r="M16" i="4" s="1"/>
  <c r="U16" i="4"/>
  <c r="O16" i="4"/>
  <c r="K16" i="4"/>
  <c r="G16" i="4"/>
  <c r="V15" i="4"/>
  <c r="M15" i="4" s="1"/>
  <c r="U15" i="4"/>
  <c r="O15" i="4"/>
  <c r="K15" i="4"/>
  <c r="G15" i="4"/>
  <c r="X14" i="4"/>
  <c r="W14" i="4"/>
  <c r="V14" i="4"/>
  <c r="M14" i="4" s="1"/>
  <c r="U14" i="4"/>
  <c r="O14" i="4"/>
  <c r="K14" i="4"/>
  <c r="G14" i="4"/>
  <c r="V13" i="4"/>
  <c r="M13" i="4" s="1"/>
  <c r="U13" i="4"/>
  <c r="O13" i="4"/>
  <c r="K13" i="4"/>
  <c r="G13" i="4"/>
  <c r="V12" i="4"/>
  <c r="U12" i="4"/>
  <c r="O12" i="4"/>
  <c r="M12" i="4"/>
  <c r="N12" i="4" s="1"/>
  <c r="K12" i="4"/>
  <c r="G12" i="4"/>
  <c r="X11" i="4"/>
  <c r="W11" i="4"/>
  <c r="V11" i="4"/>
  <c r="M11" i="4" s="1"/>
  <c r="O11" i="4"/>
  <c r="K11" i="4"/>
  <c r="G11" i="4"/>
  <c r="AD10" i="4"/>
  <c r="Z10" i="4"/>
  <c r="Y10" i="4"/>
  <c r="Y2" i="4" s="1"/>
  <c r="K6" i="3" s="1"/>
  <c r="O10" i="4"/>
  <c r="K10" i="4"/>
  <c r="V9" i="4"/>
  <c r="U9" i="4"/>
  <c r="O9" i="4"/>
  <c r="M9" i="4"/>
  <c r="N9" i="4" s="1"/>
  <c r="K9" i="4"/>
  <c r="G9" i="4"/>
  <c r="V8" i="4"/>
  <c r="U8" i="4"/>
  <c r="O8" i="4"/>
  <c r="M8" i="4"/>
  <c r="N8" i="4" s="1"/>
  <c r="K8" i="4"/>
  <c r="G8" i="4"/>
  <c r="X7" i="4"/>
  <c r="W7" i="4"/>
  <c r="V7" i="4"/>
  <c r="U7" i="4"/>
  <c r="O7" i="4"/>
  <c r="M7" i="4"/>
  <c r="N7" i="4" s="1"/>
  <c r="K7" i="4"/>
  <c r="G7" i="4"/>
  <c r="V6" i="4"/>
  <c r="U6" i="4"/>
  <c r="O6" i="4"/>
  <c r="M6" i="4"/>
  <c r="N6" i="4" s="1"/>
  <c r="K6" i="4"/>
  <c r="G6" i="4"/>
  <c r="V5" i="4"/>
  <c r="O5" i="4"/>
  <c r="M5" i="4"/>
  <c r="N5" i="4" s="1"/>
  <c r="K5" i="4"/>
  <c r="G5" i="4"/>
  <c r="AC2" i="4"/>
  <c r="Z2" i="4"/>
  <c r="H2" i="4"/>
  <c r="H1" i="4"/>
  <c r="D1" i="4"/>
  <c r="M22" i="3"/>
  <c r="L22" i="3"/>
  <c r="K22" i="3"/>
  <c r="J22" i="3"/>
  <c r="I22" i="3"/>
  <c r="H22" i="3"/>
  <c r="G22" i="3"/>
  <c r="F22" i="3"/>
  <c r="E22" i="3"/>
  <c r="D22" i="3"/>
  <c r="M21" i="3"/>
  <c r="L21" i="3"/>
  <c r="K21" i="3"/>
  <c r="J21" i="3"/>
  <c r="I21" i="3"/>
  <c r="H21" i="3"/>
  <c r="G21" i="3"/>
  <c r="F21" i="3"/>
  <c r="E21" i="3"/>
  <c r="D21" i="3"/>
  <c r="M20" i="3"/>
  <c r="L20" i="3"/>
  <c r="K20" i="3"/>
  <c r="J20" i="3"/>
  <c r="I20" i="3"/>
  <c r="H20" i="3"/>
  <c r="G20" i="3"/>
  <c r="F20" i="3"/>
  <c r="E20" i="3"/>
  <c r="D20" i="3"/>
  <c r="M19" i="3"/>
  <c r="L19" i="3"/>
  <c r="K19" i="3"/>
  <c r="J19" i="3"/>
  <c r="I19" i="3"/>
  <c r="H19" i="3"/>
  <c r="G19" i="3"/>
  <c r="F19" i="3"/>
  <c r="E19" i="3"/>
  <c r="D19" i="3"/>
  <c r="M18" i="3"/>
  <c r="L18" i="3"/>
  <c r="K18" i="3"/>
  <c r="J18" i="3"/>
  <c r="I18" i="3"/>
  <c r="H18" i="3"/>
  <c r="G18" i="3"/>
  <c r="F18" i="3"/>
  <c r="E18" i="3"/>
  <c r="D18" i="3"/>
  <c r="M17" i="3"/>
  <c r="L17" i="3"/>
  <c r="K17" i="3"/>
  <c r="J17" i="3"/>
  <c r="I17" i="3"/>
  <c r="H17" i="3"/>
  <c r="G17" i="3"/>
  <c r="F17" i="3"/>
  <c r="E17" i="3"/>
  <c r="D17" i="3"/>
  <c r="M16" i="3"/>
  <c r="L16" i="3"/>
  <c r="K16" i="3"/>
  <c r="J16" i="3"/>
  <c r="I16" i="3"/>
  <c r="H16" i="3"/>
  <c r="G16" i="3"/>
  <c r="F16" i="3"/>
  <c r="E16" i="3"/>
  <c r="D16" i="3"/>
  <c r="M13" i="3"/>
  <c r="L13" i="3"/>
  <c r="K13" i="3"/>
  <c r="I6" i="3" s="1"/>
  <c r="J13" i="3"/>
  <c r="I13" i="3"/>
  <c r="H13" i="3"/>
  <c r="G6" i="3" s="1"/>
  <c r="G13" i="3"/>
  <c r="F13" i="3"/>
  <c r="E13" i="3"/>
  <c r="D13" i="3"/>
  <c r="M6" i="3"/>
  <c r="L6" i="3"/>
  <c r="F3" i="3"/>
  <c r="C3" i="3"/>
  <c r="I7" i="11" l="1"/>
  <c r="K15" i="11"/>
  <c r="I8" i="11" s="1"/>
  <c r="E7" i="11"/>
  <c r="D15" i="11"/>
  <c r="G7" i="11"/>
  <c r="F7" i="11"/>
  <c r="P24" i="10"/>
  <c r="Q24" i="10"/>
  <c r="R16" i="10" s="1"/>
  <c r="F14" i="9"/>
  <c r="F15" i="9" s="1"/>
  <c r="Q33" i="10"/>
  <c r="R25" i="10" s="1"/>
  <c r="P33" i="10"/>
  <c r="G14" i="9"/>
  <c r="G15" i="9" s="1"/>
  <c r="L14" i="9"/>
  <c r="L15" i="9" s="1"/>
  <c r="Q50" i="10"/>
  <c r="R42" i="10" s="1"/>
  <c r="P50" i="10"/>
  <c r="H14" i="9"/>
  <c r="H15" i="9" s="1"/>
  <c r="Q55" i="10"/>
  <c r="R51" i="10" s="1"/>
  <c r="P55" i="10"/>
  <c r="Q15" i="10"/>
  <c r="R10" i="10" s="1"/>
  <c r="P15" i="10"/>
  <c r="E14" i="9"/>
  <c r="E15" i="9" s="1"/>
  <c r="Q70" i="10"/>
  <c r="R66" i="10" s="1"/>
  <c r="P70" i="10"/>
  <c r="J14" i="9"/>
  <c r="J15" i="9" s="1"/>
  <c r="Q80" i="10"/>
  <c r="R71" i="10" s="1"/>
  <c r="P80" i="10"/>
  <c r="M14" i="9"/>
  <c r="M15" i="9" s="1"/>
  <c r="K14" i="9"/>
  <c r="Q41" i="10"/>
  <c r="R34" i="10" s="1"/>
  <c r="P41" i="10"/>
  <c r="I14" i="9"/>
  <c r="I15" i="9" s="1"/>
  <c r="Q65" i="10"/>
  <c r="R56" i="10" s="1"/>
  <c r="P65" i="10"/>
  <c r="D14" i="9"/>
  <c r="P9" i="10"/>
  <c r="Q9" i="10"/>
  <c r="R5" i="10" s="1"/>
  <c r="D2" i="10"/>
  <c r="D15" i="5"/>
  <c r="P47" i="6"/>
  <c r="Q47" i="6"/>
  <c r="J14" i="5"/>
  <c r="J15" i="5" s="1"/>
  <c r="Q72" i="6"/>
  <c r="R68" i="6" s="1"/>
  <c r="P72" i="6"/>
  <c r="Q18" i="6"/>
  <c r="P18" i="6"/>
  <c r="P46" i="6"/>
  <c r="Q46" i="6"/>
  <c r="Q17" i="6"/>
  <c r="P17" i="6"/>
  <c r="N24" i="6"/>
  <c r="Q24" i="6" s="1"/>
  <c r="R17" i="6" s="1"/>
  <c r="AF24" i="6"/>
  <c r="AG17" i="6" s="1"/>
  <c r="AE24" i="6"/>
  <c r="P6" i="6"/>
  <c r="Q6" i="6"/>
  <c r="Q60" i="6"/>
  <c r="P60" i="6"/>
  <c r="Q27" i="6"/>
  <c r="P27" i="6"/>
  <c r="L14" i="5"/>
  <c r="L15" i="5" s="1"/>
  <c r="Q51" i="6"/>
  <c r="R43" i="6" s="1"/>
  <c r="P51" i="6"/>
  <c r="Q40" i="6"/>
  <c r="P40" i="6"/>
  <c r="Q70" i="6"/>
  <c r="P70" i="6"/>
  <c r="Q74" i="6"/>
  <c r="P74" i="6"/>
  <c r="P68" i="6"/>
  <c r="Q68" i="6"/>
  <c r="P25" i="6"/>
  <c r="Q53" i="6"/>
  <c r="P53" i="6"/>
  <c r="P56" i="6"/>
  <c r="H14" i="5"/>
  <c r="H15" i="5" s="1"/>
  <c r="Q56" i="6"/>
  <c r="R52" i="6" s="1"/>
  <c r="E14" i="5"/>
  <c r="E15" i="5" s="1"/>
  <c r="Q16" i="6"/>
  <c r="R10" i="6" s="1"/>
  <c r="P16" i="6"/>
  <c r="P32" i="6"/>
  <c r="Q83" i="6"/>
  <c r="R73" i="6" s="1"/>
  <c r="M14" i="5"/>
  <c r="M15" i="5" s="1"/>
  <c r="P83" i="6"/>
  <c r="P42" i="6"/>
  <c r="K14" i="5"/>
  <c r="Q42" i="6"/>
  <c r="R35" i="6" s="1"/>
  <c r="F14" i="5"/>
  <c r="F15" i="5" s="1"/>
  <c r="N20" i="4"/>
  <c r="AF20" i="4"/>
  <c r="AE20" i="4"/>
  <c r="AE44" i="4"/>
  <c r="M52" i="4"/>
  <c r="N44" i="4"/>
  <c r="AF44" i="4"/>
  <c r="N53" i="4"/>
  <c r="M57" i="4"/>
  <c r="AF53" i="4"/>
  <c r="AE53" i="4"/>
  <c r="N74" i="4"/>
  <c r="AF74" i="4"/>
  <c r="AE74" i="4"/>
  <c r="M84" i="4"/>
  <c r="N76" i="4"/>
  <c r="AF76" i="4"/>
  <c r="AE76" i="4"/>
  <c r="Q7" i="4"/>
  <c r="P7" i="4"/>
  <c r="N31" i="4"/>
  <c r="AF31" i="4"/>
  <c r="AE31" i="4"/>
  <c r="AF47" i="4"/>
  <c r="AE47" i="4"/>
  <c r="N47" i="4"/>
  <c r="Q5" i="4"/>
  <c r="P5" i="4"/>
  <c r="N29" i="4"/>
  <c r="AF29" i="4"/>
  <c r="AE29" i="4"/>
  <c r="N37" i="4"/>
  <c r="AF37" i="4"/>
  <c r="AE37" i="4"/>
  <c r="N39" i="4"/>
  <c r="AF39" i="4"/>
  <c r="AE39" i="4"/>
  <c r="AF49" i="4"/>
  <c r="AE49" i="4"/>
  <c r="N49" i="4"/>
  <c r="P56" i="4"/>
  <c r="Q56" i="4"/>
  <c r="N58" i="4"/>
  <c r="AF58" i="4"/>
  <c r="AE58" i="4"/>
  <c r="M68" i="4"/>
  <c r="I3" i="3"/>
  <c r="F2" i="4"/>
  <c r="Q8" i="4"/>
  <c r="P8" i="4"/>
  <c r="Q9" i="4"/>
  <c r="P9" i="4"/>
  <c r="AE45" i="4"/>
  <c r="N45" i="4"/>
  <c r="AF45" i="4"/>
  <c r="N81" i="4"/>
  <c r="AF81" i="4"/>
  <c r="AE81" i="4"/>
  <c r="N13" i="4"/>
  <c r="AF13" i="4"/>
  <c r="AE13" i="4"/>
  <c r="AF23" i="4"/>
  <c r="AE23" i="4"/>
  <c r="N23" i="4"/>
  <c r="Q55" i="4"/>
  <c r="P55" i="4"/>
  <c r="N11" i="4"/>
  <c r="M17" i="4"/>
  <c r="AF11" i="4"/>
  <c r="AE11" i="4"/>
  <c r="N19" i="4"/>
  <c r="AF19" i="4"/>
  <c r="AE19" i="4"/>
  <c r="M25" i="4"/>
  <c r="N60" i="4"/>
  <c r="AF60" i="4"/>
  <c r="AE60" i="4"/>
  <c r="N72" i="4"/>
  <c r="AF72" i="4"/>
  <c r="AE72" i="4"/>
  <c r="N79" i="4"/>
  <c r="AF79" i="4"/>
  <c r="AE79" i="4"/>
  <c r="N15" i="4"/>
  <c r="AF15" i="4"/>
  <c r="AE15" i="4"/>
  <c r="Q18" i="4"/>
  <c r="P18" i="4"/>
  <c r="Q30" i="4"/>
  <c r="P30" i="4"/>
  <c r="N54" i="4"/>
  <c r="AF54" i="4"/>
  <c r="AE54" i="4"/>
  <c r="N77" i="4"/>
  <c r="AF77" i="4"/>
  <c r="AE77" i="4"/>
  <c r="Q82" i="4"/>
  <c r="P82" i="4"/>
  <c r="AF46" i="4"/>
  <c r="AE46" i="4"/>
  <c r="N46" i="4"/>
  <c r="Q32" i="4"/>
  <c r="P32" i="4"/>
  <c r="N34" i="4"/>
  <c r="AF34" i="4"/>
  <c r="AE34" i="4"/>
  <c r="M43" i="4"/>
  <c r="Q6" i="4"/>
  <c r="P6" i="4"/>
  <c r="N38" i="4"/>
  <c r="AF38" i="4"/>
  <c r="AE38" i="4"/>
  <c r="N40" i="4"/>
  <c r="AF40" i="4"/>
  <c r="AE40" i="4"/>
  <c r="P59" i="4"/>
  <c r="Q59" i="4"/>
  <c r="N75" i="4"/>
  <c r="AF75" i="4"/>
  <c r="AE75" i="4"/>
  <c r="N61" i="4"/>
  <c r="AF61" i="4"/>
  <c r="AE61" i="4"/>
  <c r="N73" i="4"/>
  <c r="AF73" i="4"/>
  <c r="AG69" i="4" s="1"/>
  <c r="AE73" i="4"/>
  <c r="N80" i="4"/>
  <c r="AF80" i="4"/>
  <c r="AE80" i="4"/>
  <c r="Q12" i="4"/>
  <c r="P12" i="4"/>
  <c r="N14" i="4"/>
  <c r="AF14" i="4"/>
  <c r="AE14" i="4"/>
  <c r="N16" i="4"/>
  <c r="AF16" i="4"/>
  <c r="AE16" i="4"/>
  <c r="AF28" i="4"/>
  <c r="AE28" i="4"/>
  <c r="N28" i="4"/>
  <c r="Q41" i="4"/>
  <c r="P41" i="4"/>
  <c r="AF71" i="4"/>
  <c r="AE71" i="4"/>
  <c r="N71" i="4"/>
  <c r="N78" i="4"/>
  <c r="AF78" i="4"/>
  <c r="AE78" i="4"/>
  <c r="Q21" i="4"/>
  <c r="P21" i="4"/>
  <c r="Q35" i="4"/>
  <c r="P35" i="4"/>
  <c r="Q62" i="4"/>
  <c r="P62" i="4"/>
  <c r="Q36" i="4"/>
  <c r="AF21" i="4"/>
  <c r="N26" i="4"/>
  <c r="N27" i="4"/>
  <c r="N51" i="4"/>
  <c r="AF62" i="4"/>
  <c r="N69" i="4"/>
  <c r="N70" i="4"/>
  <c r="AF82" i="4"/>
  <c r="AE18" i="4"/>
  <c r="N48" i="4"/>
  <c r="N50" i="4"/>
  <c r="N66" i="4"/>
  <c r="AE36" i="4"/>
  <c r="AE56" i="4"/>
  <c r="AE59" i="4"/>
  <c r="N65" i="4"/>
  <c r="N67" i="4"/>
  <c r="AE9" i="4"/>
  <c r="AE12" i="4"/>
  <c r="AE30" i="4"/>
  <c r="AE32" i="4"/>
  <c r="AE35" i="4"/>
  <c r="AE55" i="4"/>
  <c r="AF56" i="4"/>
  <c r="AF59" i="4"/>
  <c r="N64" i="4"/>
  <c r="AE5" i="4"/>
  <c r="AE6" i="4"/>
  <c r="AE8" i="4"/>
  <c r="AF9" i="4"/>
  <c r="AF12" i="4"/>
  <c r="P24" i="4"/>
  <c r="AF30" i="4"/>
  <c r="AF32" i="4"/>
  <c r="AF35" i="4"/>
  <c r="AF55" i="4"/>
  <c r="AF5" i="4"/>
  <c r="AF6" i="4"/>
  <c r="AE7" i="4"/>
  <c r="AF8" i="4"/>
  <c r="AF7" i="4"/>
  <c r="M10" i="4"/>
  <c r="P22" i="4"/>
  <c r="AE26" i="4"/>
  <c r="AE27" i="4"/>
  <c r="M33" i="4"/>
  <c r="P42" i="4"/>
  <c r="AE51" i="4"/>
  <c r="P63" i="4"/>
  <c r="AE69" i="4"/>
  <c r="AE70" i="4"/>
  <c r="P83" i="4"/>
  <c r="F6" i="3"/>
  <c r="AF69" i="4"/>
  <c r="E6" i="3"/>
  <c r="AE65" i="4"/>
  <c r="AE67" i="4"/>
  <c r="AE48" i="4"/>
  <c r="AE64" i="4"/>
  <c r="AE66" i="4"/>
  <c r="M22" i="2"/>
  <c r="L22" i="2"/>
  <c r="K22" i="2"/>
  <c r="J22" i="2"/>
  <c r="I22" i="2"/>
  <c r="H22" i="2"/>
  <c r="G22" i="2"/>
  <c r="F22" i="2"/>
  <c r="E22" i="2"/>
  <c r="D22" i="2"/>
  <c r="M21" i="2"/>
  <c r="L21" i="2"/>
  <c r="K21" i="2"/>
  <c r="J21" i="2"/>
  <c r="I21" i="2"/>
  <c r="H21" i="2"/>
  <c r="G21" i="2"/>
  <c r="F21" i="2"/>
  <c r="E21" i="2"/>
  <c r="D21" i="2"/>
  <c r="M20" i="2"/>
  <c r="L20" i="2"/>
  <c r="K20" i="2"/>
  <c r="J20" i="2"/>
  <c r="I20" i="2"/>
  <c r="H20" i="2"/>
  <c r="G20" i="2"/>
  <c r="F20" i="2"/>
  <c r="E20" i="2"/>
  <c r="D20" i="2"/>
  <c r="M19" i="2"/>
  <c r="L19" i="2"/>
  <c r="K19" i="2"/>
  <c r="J19" i="2"/>
  <c r="I19" i="2"/>
  <c r="H19" i="2"/>
  <c r="G19" i="2"/>
  <c r="F19" i="2"/>
  <c r="E19" i="2"/>
  <c r="D19" i="2"/>
  <c r="M18" i="2"/>
  <c r="L18" i="2"/>
  <c r="K18" i="2"/>
  <c r="J18" i="2"/>
  <c r="I18" i="2"/>
  <c r="H18" i="2"/>
  <c r="G18" i="2"/>
  <c r="F18" i="2"/>
  <c r="E18" i="2"/>
  <c r="D18" i="2"/>
  <c r="M17" i="2"/>
  <c r="L17" i="2"/>
  <c r="K17" i="2"/>
  <c r="J17" i="2"/>
  <c r="I17" i="2"/>
  <c r="H17" i="2"/>
  <c r="G17" i="2"/>
  <c r="F17" i="2"/>
  <c r="E17" i="2"/>
  <c r="D17" i="2"/>
  <c r="M16" i="2"/>
  <c r="L16" i="2"/>
  <c r="K16" i="2"/>
  <c r="J16" i="2"/>
  <c r="I16" i="2"/>
  <c r="H16" i="2"/>
  <c r="G16" i="2"/>
  <c r="F16" i="2"/>
  <c r="E16" i="2"/>
  <c r="D16" i="2"/>
  <c r="M14" i="2"/>
  <c r="L14" i="2"/>
  <c r="K14" i="2"/>
  <c r="I7" i="2" s="1"/>
  <c r="J14" i="2"/>
  <c r="J15" i="2" s="1"/>
  <c r="I14" i="2"/>
  <c r="I15" i="2" s="1"/>
  <c r="H14" i="2"/>
  <c r="H15" i="2" s="1"/>
  <c r="G14" i="2"/>
  <c r="G15" i="2" s="1"/>
  <c r="F14" i="2"/>
  <c r="F15" i="2" s="1"/>
  <c r="E14" i="2"/>
  <c r="E15" i="2" s="1"/>
  <c r="D14" i="2"/>
  <c r="D15" i="2" s="1"/>
  <c r="M13" i="2"/>
  <c r="L13" i="2"/>
  <c r="K13" i="2"/>
  <c r="J13" i="2"/>
  <c r="I13" i="2"/>
  <c r="H13" i="2"/>
  <c r="G13" i="2"/>
  <c r="F13" i="2"/>
  <c r="E13" i="2"/>
  <c r="D13" i="2"/>
  <c r="N6" i="2"/>
  <c r="M6" i="2"/>
  <c r="L6" i="2"/>
  <c r="K6" i="2"/>
  <c r="I3" i="2"/>
  <c r="F3" i="2"/>
  <c r="C3" i="2"/>
  <c r="M15" i="2"/>
  <c r="L15" i="2"/>
  <c r="K15" i="2"/>
  <c r="I8" i="2" s="1"/>
  <c r="I6" i="2"/>
  <c r="G6" i="2"/>
  <c r="F6" i="2"/>
  <c r="E6" i="2"/>
  <c r="F8" i="11" l="1"/>
  <c r="E8" i="11"/>
  <c r="G8" i="11"/>
  <c r="G7" i="9"/>
  <c r="F7" i="9"/>
  <c r="E7" i="9"/>
  <c r="D15" i="9"/>
  <c r="I7" i="9"/>
  <c r="K15" i="9"/>
  <c r="I8" i="9" s="1"/>
  <c r="I7" i="5"/>
  <c r="K15" i="5"/>
  <c r="I8" i="5" s="1"/>
  <c r="G7" i="5"/>
  <c r="P24" i="6"/>
  <c r="F7" i="5"/>
  <c r="G8" i="5"/>
  <c r="F8" i="5"/>
  <c r="E7" i="5"/>
  <c r="D2" i="6"/>
  <c r="P74" i="4"/>
  <c r="Q74" i="4"/>
  <c r="Q66" i="4"/>
  <c r="P66" i="4"/>
  <c r="AF43" i="4"/>
  <c r="AG34" i="4" s="1"/>
  <c r="AE43" i="4"/>
  <c r="N43" i="4"/>
  <c r="Q19" i="4"/>
  <c r="P19" i="4"/>
  <c r="P13" i="4"/>
  <c r="Q13" i="4"/>
  <c r="Q39" i="4"/>
  <c r="P39" i="4"/>
  <c r="Q14" i="4"/>
  <c r="P14" i="4"/>
  <c r="Q75" i="4"/>
  <c r="P75" i="4"/>
  <c r="P77" i="4"/>
  <c r="Q77" i="4"/>
  <c r="AF68" i="4"/>
  <c r="AG58" i="4" s="1"/>
  <c r="AE68" i="4"/>
  <c r="N68" i="4"/>
  <c r="Q48" i="4"/>
  <c r="P48" i="4"/>
  <c r="Q79" i="4"/>
  <c r="P79" i="4"/>
  <c r="P31" i="4"/>
  <c r="Q31" i="4"/>
  <c r="N57" i="4"/>
  <c r="AF57" i="4"/>
  <c r="AG53" i="4" s="1"/>
  <c r="AE57" i="4"/>
  <c r="Q28" i="4"/>
  <c r="P28" i="4"/>
  <c r="Q34" i="4"/>
  <c r="P34" i="4"/>
  <c r="N17" i="4"/>
  <c r="AF17" i="4"/>
  <c r="AG11" i="4" s="1"/>
  <c r="AE17" i="4"/>
  <c r="Q81" i="4"/>
  <c r="P81" i="4"/>
  <c r="Q37" i="4"/>
  <c r="P37" i="4"/>
  <c r="Q53" i="4"/>
  <c r="P53" i="4"/>
  <c r="Q80" i="4"/>
  <c r="P80" i="4"/>
  <c r="Q54" i="4"/>
  <c r="P54" i="4"/>
  <c r="Q11" i="4"/>
  <c r="P11" i="4"/>
  <c r="Q58" i="4"/>
  <c r="P58" i="4"/>
  <c r="P15" i="4"/>
  <c r="Q15" i="4"/>
  <c r="Q70" i="4"/>
  <c r="P70" i="4"/>
  <c r="Q72" i="4"/>
  <c r="P72" i="4"/>
  <c r="Q45" i="4"/>
  <c r="P45" i="4"/>
  <c r="Q44" i="4"/>
  <c r="P44" i="4"/>
  <c r="N10" i="4"/>
  <c r="AF10" i="4"/>
  <c r="AG5" i="4" s="1"/>
  <c r="AE10" i="4"/>
  <c r="Q69" i="4"/>
  <c r="P69" i="4"/>
  <c r="Q40" i="4"/>
  <c r="P40" i="4"/>
  <c r="Q46" i="4"/>
  <c r="P46" i="4"/>
  <c r="Q29" i="4"/>
  <c r="P29" i="4"/>
  <c r="N52" i="4"/>
  <c r="AF52" i="4"/>
  <c r="AG44" i="4" s="1"/>
  <c r="AE52" i="4"/>
  <c r="Q67" i="4"/>
  <c r="P67" i="4"/>
  <c r="P73" i="4"/>
  <c r="J14" i="3"/>
  <c r="J15" i="3" s="1"/>
  <c r="Q73" i="4"/>
  <c r="R69" i="4" s="1"/>
  <c r="Q23" i="4"/>
  <c r="P23" i="4"/>
  <c r="Q49" i="4"/>
  <c r="P49" i="4"/>
  <c r="Q76" i="4"/>
  <c r="P76" i="4"/>
  <c r="Q65" i="4"/>
  <c r="P65" i="4"/>
  <c r="Q51" i="4"/>
  <c r="P51" i="4"/>
  <c r="Q16" i="4"/>
  <c r="P16" i="4"/>
  <c r="Q60" i="4"/>
  <c r="P60" i="4"/>
  <c r="AF84" i="4"/>
  <c r="AG74" i="4" s="1"/>
  <c r="AE84" i="4"/>
  <c r="N84" i="4"/>
  <c r="Q50" i="4"/>
  <c r="P50" i="4"/>
  <c r="Q27" i="4"/>
  <c r="P27" i="4"/>
  <c r="Q78" i="4"/>
  <c r="P78" i="4"/>
  <c r="Q38" i="4"/>
  <c r="P38" i="4"/>
  <c r="AF25" i="4"/>
  <c r="AG18" i="4" s="1"/>
  <c r="AE25" i="4"/>
  <c r="N25" i="4"/>
  <c r="Q47" i="4"/>
  <c r="P47" i="4"/>
  <c r="N33" i="4"/>
  <c r="AF33" i="4"/>
  <c r="AG26" i="4" s="1"/>
  <c r="AE33" i="4"/>
  <c r="Q64" i="4"/>
  <c r="P64" i="4"/>
  <c r="Q26" i="4"/>
  <c r="P26" i="4"/>
  <c r="Q71" i="4"/>
  <c r="P71" i="4"/>
  <c r="Q61" i="4"/>
  <c r="P61" i="4"/>
  <c r="Q20" i="4"/>
  <c r="P20" i="4"/>
  <c r="G8" i="2"/>
  <c r="F8" i="2"/>
  <c r="E8" i="2"/>
  <c r="E7" i="2"/>
  <c r="F7" i="2"/>
  <c r="G7" i="2"/>
  <c r="G8" i="9" l="1"/>
  <c r="F8" i="9"/>
  <c r="E8" i="9"/>
  <c r="E8" i="5"/>
  <c r="Q17" i="4"/>
  <c r="R11" i="4" s="1"/>
  <c r="E14" i="3"/>
  <c r="E15" i="3" s="1"/>
  <c r="P17" i="4"/>
  <c r="I14" i="3"/>
  <c r="I15" i="3" s="1"/>
  <c r="Q68" i="4"/>
  <c r="R58" i="4" s="1"/>
  <c r="P68" i="4"/>
  <c r="K14" i="3"/>
  <c r="Q43" i="4"/>
  <c r="R34" i="4" s="1"/>
  <c r="P43" i="4"/>
  <c r="Q57" i="4"/>
  <c r="R53" i="4" s="1"/>
  <c r="P57" i="4"/>
  <c r="H14" i="3"/>
  <c r="H15" i="3" s="1"/>
  <c r="Q33" i="4"/>
  <c r="R26" i="4" s="1"/>
  <c r="P33" i="4"/>
  <c r="G14" i="3"/>
  <c r="G15" i="3" s="1"/>
  <c r="Q10" i="4"/>
  <c r="R5" i="4" s="1"/>
  <c r="P10" i="4"/>
  <c r="D14" i="3"/>
  <c r="D2" i="4"/>
  <c r="M14" i="3"/>
  <c r="M15" i="3" s="1"/>
  <c r="Q84" i="4"/>
  <c r="R74" i="4" s="1"/>
  <c r="P84" i="4"/>
  <c r="L14" i="3"/>
  <c r="L15" i="3" s="1"/>
  <c r="Q52" i="4"/>
  <c r="R44" i="4" s="1"/>
  <c r="P52" i="4"/>
  <c r="F14" i="3"/>
  <c r="F15" i="3" s="1"/>
  <c r="Q25" i="4"/>
  <c r="R18" i="4" s="1"/>
  <c r="P25" i="4"/>
  <c r="Z71" i="1"/>
  <c r="Y71" i="1"/>
  <c r="Z62" i="1"/>
  <c r="Y62" i="1"/>
  <c r="Z57" i="1"/>
  <c r="Y57" i="1"/>
  <c r="Z47" i="1"/>
  <c r="Y47" i="1"/>
  <c r="Z42" i="1"/>
  <c r="Y42" i="1"/>
  <c r="Z37" i="1"/>
  <c r="Y37" i="1"/>
  <c r="Z29" i="1"/>
  <c r="Y29" i="1"/>
  <c r="Z22" i="1"/>
  <c r="Y22" i="1"/>
  <c r="Z14" i="1"/>
  <c r="Y14" i="1"/>
  <c r="Z8" i="1"/>
  <c r="Y8" i="1"/>
  <c r="K15" i="3" l="1"/>
  <c r="I8" i="3" s="1"/>
  <c r="I7" i="3"/>
  <c r="G7" i="3"/>
  <c r="F7" i="3"/>
  <c r="E7" i="3"/>
  <c r="D15" i="3"/>
  <c r="Z2" i="1"/>
  <c r="AD2" i="1"/>
  <c r="Y2" i="1"/>
  <c r="U54" i="1"/>
  <c r="U26" i="1"/>
  <c r="U19" i="1"/>
  <c r="G8" i="3" l="1"/>
  <c r="E8" i="3"/>
  <c r="F8" i="3"/>
  <c r="G23" i="1"/>
  <c r="K26" i="1"/>
  <c r="O21" i="1"/>
  <c r="G26" i="1"/>
  <c r="G64" i="1"/>
  <c r="O69" i="1"/>
  <c r="G21" i="1"/>
  <c r="G40" i="1"/>
  <c r="O64" i="1"/>
  <c r="K40" i="1"/>
  <c r="K7" i="1"/>
  <c r="G69" i="1"/>
  <c r="O58" i="1"/>
  <c r="G58" i="1"/>
  <c r="O18" i="1"/>
  <c r="G65" i="1"/>
  <c r="K64" i="1"/>
  <c r="O6" i="1"/>
  <c r="G18" i="1"/>
  <c r="O65" i="1"/>
  <c r="K65" i="1"/>
  <c r="K69" i="1"/>
  <c r="G60" i="1"/>
  <c r="O60" i="1"/>
  <c r="O36" i="1"/>
  <c r="G36" i="1"/>
  <c r="O31" i="1"/>
  <c r="G31" i="1"/>
  <c r="G19" i="1"/>
  <c r="O19" i="1"/>
  <c r="O12" i="1"/>
  <c r="G12" i="1"/>
  <c r="O33" i="1"/>
  <c r="G33" i="1"/>
  <c r="G27" i="1"/>
  <c r="O27" i="1"/>
  <c r="O25" i="1"/>
  <c r="G25" i="1"/>
  <c r="O39" i="1"/>
  <c r="G39" i="1"/>
  <c r="G53" i="1"/>
  <c r="O53" i="1"/>
  <c r="G44" i="1"/>
  <c r="O44" i="1"/>
  <c r="G17" i="1"/>
  <c r="O17" i="1"/>
  <c r="G32" i="1"/>
  <c r="O32" i="1"/>
  <c r="G6" i="1"/>
  <c r="G41" i="1"/>
  <c r="O41" i="1"/>
  <c r="G9" i="1"/>
  <c r="K6" i="1"/>
  <c r="O34" i="1"/>
  <c r="G34" i="1"/>
  <c r="G5" i="1"/>
  <c r="O15" i="1"/>
  <c r="G15" i="1"/>
  <c r="O61" i="1"/>
  <c r="G61" i="1"/>
  <c r="K61" i="1"/>
  <c r="O50" i="1"/>
  <c r="G50" i="1"/>
  <c r="K23" i="1"/>
  <c r="O13" i="1"/>
  <c r="G13" i="1"/>
  <c r="O52" i="1"/>
  <c r="G52" i="1"/>
  <c r="O23" i="1"/>
  <c r="G20" i="1"/>
  <c r="O20" i="1"/>
  <c r="G7" i="1"/>
  <c r="O35" i="1"/>
  <c r="G35" i="1"/>
  <c r="D1" i="1"/>
  <c r="O11" i="1"/>
  <c r="G11" i="1"/>
  <c r="K21" i="1"/>
  <c r="G67" i="1"/>
  <c r="O67" i="1"/>
  <c r="O54" i="1"/>
  <c r="G54" i="1"/>
  <c r="G51" i="1"/>
  <c r="O51" i="1"/>
  <c r="O49" i="1"/>
  <c r="G49" i="1"/>
  <c r="G10" i="1"/>
  <c r="O10" i="1"/>
  <c r="K10" i="1"/>
  <c r="G38" i="1"/>
  <c r="G28" i="1"/>
  <c r="O28" i="1"/>
  <c r="O46" i="1"/>
  <c r="G46" i="1"/>
  <c r="G59" i="1"/>
  <c r="O59" i="1"/>
  <c r="O66" i="1"/>
  <c r="G66" i="1"/>
  <c r="G30" i="1"/>
  <c r="O30" i="1"/>
  <c r="G63" i="1"/>
  <c r="O56" i="1"/>
  <c r="K56" i="1"/>
  <c r="G56" i="1"/>
  <c r="G24" i="1"/>
  <c r="G16" i="1"/>
  <c r="O16" i="1"/>
  <c r="G43" i="1"/>
  <c r="G70" i="1"/>
  <c r="O70" i="1"/>
  <c r="O7" i="1"/>
  <c r="O68" i="1"/>
  <c r="G68" i="1"/>
  <c r="O45" i="1"/>
  <c r="G45" i="1"/>
  <c r="G48" i="1"/>
  <c r="O26" i="1"/>
  <c r="O55" i="1"/>
  <c r="G55" i="1"/>
  <c r="K28" i="1" l="1"/>
  <c r="K11" i="1"/>
  <c r="K39" i="1"/>
  <c r="K58" i="1"/>
  <c r="K55" i="1"/>
  <c r="K41" i="1"/>
  <c r="O40" i="1"/>
  <c r="K46" i="1"/>
  <c r="K70" i="1"/>
  <c r="K67" i="1"/>
  <c r="K31" i="1"/>
  <c r="K18" i="1"/>
  <c r="K32" i="1"/>
  <c r="K13" i="1"/>
  <c r="O29" i="1"/>
  <c r="O57" i="1"/>
  <c r="K33" i="1"/>
  <c r="O42" i="1"/>
  <c r="K20" i="1"/>
  <c r="K16" i="1"/>
  <c r="K60" i="1"/>
  <c r="K44" i="1"/>
  <c r="K19" i="1"/>
  <c r="K36" i="1"/>
  <c r="K63" i="1"/>
  <c r="K34" i="1"/>
  <c r="K25" i="1"/>
  <c r="O47" i="1"/>
  <c r="O43" i="1"/>
  <c r="K43" i="1"/>
  <c r="K66" i="1"/>
  <c r="K15" i="1"/>
  <c r="K30" i="1"/>
  <c r="K24" i="1"/>
  <c r="K68" i="1"/>
  <c r="K51" i="1"/>
  <c r="O22" i="1"/>
  <c r="K17" i="1"/>
  <c r="O48" i="1"/>
  <c r="K9" i="1"/>
  <c r="O24" i="1"/>
  <c r="K5" i="1"/>
  <c r="K8" i="1"/>
  <c r="K52" i="1"/>
  <c r="F1" i="1"/>
  <c r="F2" i="1" s="1"/>
  <c r="O14" i="1"/>
  <c r="K49" i="1"/>
  <c r="K12" i="1"/>
  <c r="O5" i="1"/>
  <c r="K27" i="1"/>
  <c r="O8" i="1"/>
  <c r="H1" i="1"/>
  <c r="K45" i="1"/>
  <c r="O9" i="1"/>
  <c r="O37" i="1"/>
  <c r="K59" i="1"/>
  <c r="K54" i="1"/>
  <c r="K38" i="1"/>
  <c r="O71" i="1"/>
  <c r="O63" i="1"/>
  <c r="K35" i="1"/>
  <c r="K50" i="1"/>
  <c r="K53" i="1"/>
  <c r="K48" i="1"/>
  <c r="O38" i="1"/>
  <c r="K14" i="1" l="1"/>
  <c r="K62" i="1"/>
  <c r="K57" i="1"/>
  <c r="K29" i="1"/>
  <c r="K71" i="1"/>
  <c r="K42" i="1"/>
  <c r="O62" i="1"/>
  <c r="K37" i="1"/>
  <c r="K22" i="1"/>
  <c r="K47" i="1"/>
  <c r="V38" i="1" l="1"/>
  <c r="M38" i="1" s="1"/>
  <c r="W38" i="1"/>
  <c r="V19" i="1" l="1"/>
  <c r="M19" i="1" s="1"/>
  <c r="X30" i="1"/>
  <c r="U31" i="1"/>
  <c r="V43" i="1"/>
  <c r="M43" i="1" s="1"/>
  <c r="W30" i="1"/>
  <c r="V30" i="1"/>
  <c r="M30" i="1" s="1"/>
  <c r="AF38" i="1"/>
  <c r="N38" i="1"/>
  <c r="AE38" i="1"/>
  <c r="N19" i="1" l="1"/>
  <c r="Q19" i="1" s="1"/>
  <c r="AF19" i="1"/>
  <c r="AE19" i="1"/>
  <c r="V26" i="1"/>
  <c r="M26" i="1" s="1"/>
  <c r="U20" i="1"/>
  <c r="U45" i="1"/>
  <c r="W48" i="1"/>
  <c r="V48" i="1"/>
  <c r="M48" i="1" s="1"/>
  <c r="V58" i="1"/>
  <c r="M58" i="1" s="1"/>
  <c r="Q38" i="1"/>
  <c r="P38" i="1"/>
  <c r="AF30" i="1"/>
  <c r="AE30" i="1"/>
  <c r="N30" i="1"/>
  <c r="U59" i="1"/>
  <c r="V23" i="1"/>
  <c r="M23" i="1" s="1"/>
  <c r="V63" i="1"/>
  <c r="M63" i="1" s="1"/>
  <c r="W63" i="1"/>
  <c r="W15" i="1"/>
  <c r="V15" i="1"/>
  <c r="M15" i="1" s="1"/>
  <c r="V5" i="1"/>
  <c r="M5" i="1" s="1"/>
  <c r="W9" i="1"/>
  <c r="V9" i="1"/>
  <c r="M9" i="1" s="1"/>
  <c r="U24" i="1"/>
  <c r="V44" i="1"/>
  <c r="M44" i="1" s="1"/>
  <c r="N43" i="1"/>
  <c r="AF43" i="1"/>
  <c r="AE43" i="1"/>
  <c r="U44" i="1"/>
  <c r="V45" i="1"/>
  <c r="M45" i="1" s="1"/>
  <c r="P19" i="1" l="1"/>
  <c r="AE26" i="1"/>
  <c r="AF26" i="1"/>
  <c r="N26" i="1"/>
  <c r="Q26" i="1" s="1"/>
  <c r="V24" i="1"/>
  <c r="M24" i="1" s="1"/>
  <c r="U27" i="1"/>
  <c r="V31" i="1"/>
  <c r="M31" i="1" s="1"/>
  <c r="V21" i="1"/>
  <c r="M21" i="1" s="1"/>
  <c r="AE21" i="1" s="1"/>
  <c r="N44" i="1"/>
  <c r="AF44" i="1"/>
  <c r="AE44" i="1"/>
  <c r="U28" i="1"/>
  <c r="V32" i="1"/>
  <c r="M32" i="1" s="1"/>
  <c r="U10" i="1"/>
  <c r="X9" i="1"/>
  <c r="V10" i="1"/>
  <c r="M10" i="1" s="1"/>
  <c r="V20" i="1"/>
  <c r="M20" i="1" s="1"/>
  <c r="Q30" i="1"/>
  <c r="P30" i="1"/>
  <c r="N9" i="1"/>
  <c r="AF9" i="1"/>
  <c r="AE9" i="1"/>
  <c r="U39" i="1"/>
  <c r="X38" i="1"/>
  <c r="AF63" i="1"/>
  <c r="AE63" i="1"/>
  <c r="N63" i="1"/>
  <c r="AF23" i="1"/>
  <c r="AE23" i="1"/>
  <c r="N23" i="1"/>
  <c r="U6" i="1"/>
  <c r="AF5" i="1"/>
  <c r="N5" i="1"/>
  <c r="AE5" i="1"/>
  <c r="U11" i="1"/>
  <c r="AE48" i="1"/>
  <c r="N48" i="1"/>
  <c r="AF48" i="1"/>
  <c r="Q43" i="1"/>
  <c r="P43" i="1"/>
  <c r="AF45" i="1"/>
  <c r="AE45" i="1"/>
  <c r="N45" i="1"/>
  <c r="U21" i="1"/>
  <c r="AE58" i="1"/>
  <c r="N58" i="1"/>
  <c r="AF58" i="1"/>
  <c r="U46" i="1"/>
  <c r="V46" i="1"/>
  <c r="M46" i="1" s="1"/>
  <c r="N15" i="1"/>
  <c r="AE15" i="1"/>
  <c r="AF15" i="1"/>
  <c r="V59" i="1"/>
  <c r="M59" i="1" s="1"/>
  <c r="V39" i="1"/>
  <c r="M39" i="1" s="1"/>
  <c r="P26" i="1" l="1"/>
  <c r="V27" i="1"/>
  <c r="M27" i="1" s="1"/>
  <c r="AE27" i="1" s="1"/>
  <c r="N24" i="1"/>
  <c r="P24" i="1" s="1"/>
  <c r="AF24" i="1"/>
  <c r="AE24" i="1"/>
  <c r="U25" i="1"/>
  <c r="V28" i="1"/>
  <c r="M28" i="1" s="1"/>
  <c r="V6" i="1"/>
  <c r="M6" i="1" s="1"/>
  <c r="U32" i="1"/>
  <c r="AE31" i="1"/>
  <c r="N31" i="1"/>
  <c r="Q31" i="1" s="1"/>
  <c r="AF31" i="1"/>
  <c r="U33" i="1"/>
  <c r="AF21" i="1"/>
  <c r="N21" i="1"/>
  <c r="P21" i="1" s="1"/>
  <c r="V56" i="1"/>
  <c r="M56" i="1" s="1"/>
  <c r="N56" i="1" s="1"/>
  <c r="V55" i="1"/>
  <c r="M55" i="1" s="1"/>
  <c r="AF55" i="1" s="1"/>
  <c r="N10" i="1"/>
  <c r="AF10" i="1"/>
  <c r="AE10" i="1"/>
  <c r="AF20" i="1"/>
  <c r="N20" i="1"/>
  <c r="AE20" i="1"/>
  <c r="N32" i="1"/>
  <c r="AF32" i="1"/>
  <c r="AE32" i="1"/>
  <c r="U56" i="1"/>
  <c r="Q48" i="1"/>
  <c r="P48" i="1"/>
  <c r="P63" i="1"/>
  <c r="Q63" i="1"/>
  <c r="Q23" i="1"/>
  <c r="P23" i="1"/>
  <c r="N39" i="1"/>
  <c r="AE39" i="1"/>
  <c r="AF39" i="1"/>
  <c r="P15" i="1"/>
  <c r="Q15" i="1"/>
  <c r="AF59" i="1"/>
  <c r="AE59" i="1"/>
  <c r="N59" i="1"/>
  <c r="Q45" i="1"/>
  <c r="P45" i="1"/>
  <c r="X15" i="1"/>
  <c r="U16" i="1"/>
  <c r="V52" i="1"/>
  <c r="M52" i="1" s="1"/>
  <c r="AF46" i="1"/>
  <c r="N46" i="1"/>
  <c r="AE46" i="1"/>
  <c r="M47" i="1"/>
  <c r="Q9" i="1"/>
  <c r="P9" i="1"/>
  <c r="V11" i="1"/>
  <c r="M11" i="1" s="1"/>
  <c r="Q44" i="1"/>
  <c r="P44" i="1"/>
  <c r="Q58" i="1"/>
  <c r="P58" i="1"/>
  <c r="Q5" i="1"/>
  <c r="P5" i="1"/>
  <c r="U53" i="1"/>
  <c r="U60" i="1"/>
  <c r="U40" i="1"/>
  <c r="N27" i="1" l="1"/>
  <c r="Q27" i="1" s="1"/>
  <c r="AF27" i="1"/>
  <c r="Q24" i="1"/>
  <c r="AE28" i="1"/>
  <c r="N28" i="1"/>
  <c r="P28" i="1" s="1"/>
  <c r="AF28" i="1"/>
  <c r="AF6" i="1"/>
  <c r="N6" i="1"/>
  <c r="Q6" i="1" s="1"/>
  <c r="AE6" i="1"/>
  <c r="U7" i="1"/>
  <c r="W12" i="1"/>
  <c r="P31" i="1"/>
  <c r="V18" i="1"/>
  <c r="M18" i="1" s="1"/>
  <c r="V16" i="1"/>
  <c r="M16" i="1" s="1"/>
  <c r="V25" i="1"/>
  <c r="M25" i="1" s="1"/>
  <c r="V33" i="1"/>
  <c r="M33" i="1" s="1"/>
  <c r="AF56" i="1"/>
  <c r="AE56" i="1"/>
  <c r="Q21" i="1"/>
  <c r="AE55" i="1"/>
  <c r="N55" i="1"/>
  <c r="Q55" i="1" s="1"/>
  <c r="U49" i="1"/>
  <c r="X48" i="1"/>
  <c r="Q46" i="1"/>
  <c r="P46" i="1"/>
  <c r="N47" i="1"/>
  <c r="AF47" i="1"/>
  <c r="AG43" i="1" s="1"/>
  <c r="AE47" i="1"/>
  <c r="U12" i="1"/>
  <c r="AF52" i="1"/>
  <c r="N52" i="1"/>
  <c r="AE52" i="1"/>
  <c r="U64" i="1"/>
  <c r="X63" i="1"/>
  <c r="P56" i="1"/>
  <c r="Q56" i="1"/>
  <c r="P20" i="1"/>
  <c r="Q20" i="1"/>
  <c r="Q39" i="1"/>
  <c r="P39" i="1"/>
  <c r="V53" i="1"/>
  <c r="M53" i="1" s="1"/>
  <c r="Q32" i="1"/>
  <c r="P32" i="1"/>
  <c r="AE11" i="1"/>
  <c r="AF11" i="1"/>
  <c r="N11" i="1"/>
  <c r="Q10" i="1"/>
  <c r="P10" i="1"/>
  <c r="Q59" i="1"/>
  <c r="P59" i="1"/>
  <c r="V64" i="1"/>
  <c r="M64" i="1" s="1"/>
  <c r="V49" i="1"/>
  <c r="M49" i="1" s="1"/>
  <c r="V60" i="1"/>
  <c r="M60" i="1" s="1"/>
  <c r="V40" i="1"/>
  <c r="M40" i="1" s="1"/>
  <c r="Q28" i="1" l="1"/>
  <c r="P27" i="1"/>
  <c r="P6" i="1"/>
  <c r="N18" i="1"/>
  <c r="Q18" i="1" s="1"/>
  <c r="AE18" i="1"/>
  <c r="AF18" i="1"/>
  <c r="AF16" i="1"/>
  <c r="AE16" i="1"/>
  <c r="N16" i="1"/>
  <c r="Q16" i="1" s="1"/>
  <c r="AF25" i="1"/>
  <c r="N25" i="1"/>
  <c r="Q25" i="1" s="1"/>
  <c r="M29" i="1"/>
  <c r="N29" i="1" s="1"/>
  <c r="AE25" i="1"/>
  <c r="V7" i="1"/>
  <c r="M7" i="1" s="1"/>
  <c r="V12" i="1"/>
  <c r="M12" i="1" s="1"/>
  <c r="AF12" i="1" s="1"/>
  <c r="V17" i="1"/>
  <c r="M17" i="1" s="1"/>
  <c r="AF33" i="1"/>
  <c r="N33" i="1"/>
  <c r="Q33" i="1" s="1"/>
  <c r="AE33" i="1"/>
  <c r="U34" i="1"/>
  <c r="P55" i="1"/>
  <c r="U13" i="1"/>
  <c r="X12" i="1"/>
  <c r="U18" i="1"/>
  <c r="P11" i="1"/>
  <c r="Q11" i="1"/>
  <c r="AF53" i="1"/>
  <c r="AE53" i="1"/>
  <c r="N53" i="1"/>
  <c r="AF64" i="1"/>
  <c r="AE64" i="1"/>
  <c r="N64" i="1"/>
  <c r="N40" i="1"/>
  <c r="AF40" i="1"/>
  <c r="AE40" i="1"/>
  <c r="AE49" i="1"/>
  <c r="AF49" i="1"/>
  <c r="N49" i="1"/>
  <c r="Q52" i="1"/>
  <c r="P52" i="1"/>
  <c r="V13" i="1"/>
  <c r="M13" i="1" s="1"/>
  <c r="V51" i="1"/>
  <c r="M51" i="1" s="1"/>
  <c r="U52" i="1"/>
  <c r="AE60" i="1"/>
  <c r="AF60" i="1"/>
  <c r="N60" i="1"/>
  <c r="P47" i="1"/>
  <c r="Q47" i="1"/>
  <c r="R43" i="1" s="1"/>
  <c r="U65" i="1"/>
  <c r="U51" i="1"/>
  <c r="U50" i="1"/>
  <c r="U61" i="1"/>
  <c r="U41" i="1"/>
  <c r="P18" i="1" l="1"/>
  <c r="P16" i="1"/>
  <c r="AF29" i="1"/>
  <c r="AG23" i="1" s="1"/>
  <c r="AE29" i="1"/>
  <c r="P25" i="1"/>
  <c r="M8" i="1"/>
  <c r="N8" i="1" s="1"/>
  <c r="AE7" i="1"/>
  <c r="N7" i="1"/>
  <c r="P7" i="1" s="1"/>
  <c r="AF7" i="1"/>
  <c r="N12" i="1"/>
  <c r="Q12" i="1" s="1"/>
  <c r="U17" i="1"/>
  <c r="AE12" i="1"/>
  <c r="P33" i="1"/>
  <c r="V34" i="1"/>
  <c r="M34" i="1" s="1"/>
  <c r="AF51" i="1"/>
  <c r="AE51" i="1"/>
  <c r="N51" i="1"/>
  <c r="Q29" i="1"/>
  <c r="R23" i="1" s="1"/>
  <c r="P29" i="1"/>
  <c r="P64" i="1"/>
  <c r="Q64" i="1"/>
  <c r="Q53" i="1"/>
  <c r="P53" i="1"/>
  <c r="V50" i="1"/>
  <c r="M50" i="1" s="1"/>
  <c r="N13" i="1"/>
  <c r="AF13" i="1"/>
  <c r="AE13" i="1"/>
  <c r="Q49" i="1"/>
  <c r="P49" i="1"/>
  <c r="Q60" i="1"/>
  <c r="P60" i="1"/>
  <c r="Q7" i="1"/>
  <c r="M14" i="1"/>
  <c r="N17" i="1"/>
  <c r="AF17" i="1"/>
  <c r="AE17" i="1"/>
  <c r="M22" i="1"/>
  <c r="P40" i="1"/>
  <c r="Q40" i="1"/>
  <c r="V65" i="1"/>
  <c r="M65" i="1" s="1"/>
  <c r="P12" i="1" l="1"/>
  <c r="AF8" i="1"/>
  <c r="AG5" i="1" s="1"/>
  <c r="AE8" i="1"/>
  <c r="P13" i="1"/>
  <c r="Q13" i="1"/>
  <c r="AE22" i="1"/>
  <c r="N22" i="1"/>
  <c r="AF22" i="1"/>
  <c r="AG15" i="1" s="1"/>
  <c r="U35" i="1"/>
  <c r="P17" i="1"/>
  <c r="Q17" i="1"/>
  <c r="Q51" i="1"/>
  <c r="P51" i="1"/>
  <c r="V61" i="1"/>
  <c r="M61" i="1" s="1"/>
  <c r="Q8" i="1"/>
  <c r="R5" i="1" s="1"/>
  <c r="P8" i="1"/>
  <c r="AF50" i="1"/>
  <c r="AE50" i="1"/>
  <c r="N50" i="1"/>
  <c r="V41" i="1"/>
  <c r="M41" i="1" s="1"/>
  <c r="AF65" i="1"/>
  <c r="AE65" i="1"/>
  <c r="N65" i="1"/>
  <c r="N14" i="1"/>
  <c r="AF14" i="1"/>
  <c r="AG9" i="1" s="1"/>
  <c r="AE14" i="1"/>
  <c r="N34" i="1"/>
  <c r="AF34" i="1"/>
  <c r="AE34" i="1"/>
  <c r="U66" i="1"/>
  <c r="V35" i="1" l="1"/>
  <c r="M35" i="1" s="1"/>
  <c r="AF35" i="1" s="1"/>
  <c r="W35" i="1"/>
  <c r="AF61" i="1"/>
  <c r="AE61" i="1"/>
  <c r="N61" i="1"/>
  <c r="M62" i="1"/>
  <c r="Q34" i="1"/>
  <c r="P34" i="1"/>
  <c r="P22" i="1"/>
  <c r="Q22" i="1"/>
  <c r="R15" i="1" s="1"/>
  <c r="P50" i="1"/>
  <c r="Q50" i="1"/>
  <c r="P14" i="1"/>
  <c r="Q14" i="1"/>
  <c r="R9" i="1" s="1"/>
  <c r="Q65" i="1"/>
  <c r="P65" i="1"/>
  <c r="AF41" i="1"/>
  <c r="N41" i="1"/>
  <c r="AE41" i="1"/>
  <c r="M42" i="1"/>
  <c r="V66" i="1"/>
  <c r="M66" i="1" s="1"/>
  <c r="AE35" i="1" l="1"/>
  <c r="N35" i="1"/>
  <c r="Q35" i="1" s="1"/>
  <c r="Q41" i="1"/>
  <c r="P41" i="1"/>
  <c r="V54" i="1"/>
  <c r="M54" i="1" s="1"/>
  <c r="U55" i="1"/>
  <c r="AE62" i="1"/>
  <c r="AF62" i="1"/>
  <c r="AG58" i="1" s="1"/>
  <c r="N62" i="1"/>
  <c r="N66" i="1"/>
  <c r="AF66" i="1"/>
  <c r="AE66" i="1"/>
  <c r="P61" i="1"/>
  <c r="Q61" i="1"/>
  <c r="AF42" i="1"/>
  <c r="AG38" i="1" s="1"/>
  <c r="AE42" i="1"/>
  <c r="N42" i="1"/>
  <c r="U67" i="1"/>
  <c r="P35" i="1" l="1"/>
  <c r="Q42" i="1"/>
  <c r="R38" i="1" s="1"/>
  <c r="P42" i="1"/>
  <c r="Q66" i="1"/>
  <c r="P66" i="1"/>
  <c r="Q62" i="1"/>
  <c r="R58" i="1" s="1"/>
  <c r="P62" i="1"/>
  <c r="AE54" i="1"/>
  <c r="N54" i="1"/>
  <c r="AF54" i="1"/>
  <c r="M57" i="1"/>
  <c r="U36" i="1" l="1"/>
  <c r="X35" i="1"/>
  <c r="N57" i="1"/>
  <c r="AE57" i="1"/>
  <c r="AF57" i="1"/>
  <c r="AG48" i="1" s="1"/>
  <c r="Q54" i="1"/>
  <c r="P54" i="1"/>
  <c r="V67" i="1"/>
  <c r="M67" i="1" s="1"/>
  <c r="V36" i="1" l="1"/>
  <c r="M36" i="1" s="1"/>
  <c r="N67" i="1"/>
  <c r="AF67" i="1"/>
  <c r="AE67" i="1"/>
  <c r="U68" i="1"/>
  <c r="Q57" i="1"/>
  <c r="R48" i="1" s="1"/>
  <c r="P57" i="1"/>
  <c r="X68" i="1"/>
  <c r="V68" i="1" l="1"/>
  <c r="M68" i="1" s="1"/>
  <c r="AF68" i="1" s="1"/>
  <c r="W68" i="1"/>
  <c r="U69" i="1"/>
  <c r="P67" i="1"/>
  <c r="Q67" i="1"/>
  <c r="AF36" i="1"/>
  <c r="AE36" i="1"/>
  <c r="N36" i="1"/>
  <c r="M37" i="1"/>
  <c r="N68" i="1" l="1"/>
  <c r="Q68" i="1" s="1"/>
  <c r="AE68" i="1"/>
  <c r="AF37" i="1"/>
  <c r="AG30" i="1" s="1"/>
  <c r="N37" i="1"/>
  <c r="AE37" i="1"/>
  <c r="P36" i="1"/>
  <c r="Q36" i="1"/>
  <c r="V69" i="1"/>
  <c r="M69" i="1" s="1"/>
  <c r="P68" i="1" l="1"/>
  <c r="AF69" i="1"/>
  <c r="AE69" i="1"/>
  <c r="N69" i="1"/>
  <c r="U70" i="1"/>
  <c r="V70" i="1"/>
  <c r="M70" i="1" s="1"/>
  <c r="P37" i="1"/>
  <c r="Q37" i="1"/>
  <c r="R30" i="1" s="1"/>
  <c r="AE70" i="1" l="1"/>
  <c r="AF70" i="1"/>
  <c r="N70" i="1"/>
  <c r="M71" i="1"/>
  <c r="Q69" i="1"/>
  <c r="P69" i="1"/>
  <c r="AF71" i="1" l="1"/>
  <c r="AG63" i="1" s="1"/>
  <c r="AE71" i="1"/>
  <c r="N71" i="1"/>
  <c r="D2" i="1" s="1"/>
  <c r="Q70" i="1"/>
  <c r="P70" i="1"/>
  <c r="Q71" i="1" l="1"/>
  <c r="R63" i="1" s="1"/>
  <c r="P71" i="1"/>
  <c r="H2" i="1" l="1"/>
</calcChain>
</file>

<file path=xl/sharedStrings.xml><?xml version="1.0" encoding="utf-8"?>
<sst xmlns="http://schemas.openxmlformats.org/spreadsheetml/2006/main" count="11452" uniqueCount="3015">
  <si>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</si>
  <si>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</si>
  <si>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</si>
  <si>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</si>
  <si>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</si>
  <si>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</si>
  <si>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</si>
  <si>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</si>
  <si>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</si>
  <si>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</si>
  <si>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</si>
  <si>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</si>
  <si>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</si>
  <si>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</si>
  <si>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平均廠價</t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</si>
  <si>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</si>
  <si>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</si>
  <si>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</si>
  <si>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</si>
  <si>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</si>
  <si>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</si>
  <si>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</si>
  <si>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</si>
  <si>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</si>
  <si>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</si>
  <si>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</si>
  <si>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</si>
  <si>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</si>
  <si>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</si>
  <si>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生產時間</t>
    <rPh sb="0" eb="4">
      <t>カイシジカン</t>
    </rPh>
    <phoneticPr fontId="6"/>
  </si>
  <si>
    <t>換線、休息/分</t>
    <rPh sb="0" eb="2">
      <t>キリカエ</t>
    </rPh>
    <phoneticPr fontId="6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</si>
  <si>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</si>
  <si>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</si>
  <si>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</si>
  <si>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</si>
  <si>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</si>
  <si>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</si>
  <si>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</si>
  <si>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</si>
  <si>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rPh sb="0" eb="2">
      <t>カイシジカン</t>
    </rPh>
    <phoneticPr fontId="6"/>
  </si>
  <si>
    <t>結束</t>
    <rPh sb="0" eb="2">
      <t>シュウリョウジカン</t>
    </rPh>
    <phoneticPr fontId="6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</si>
  <si>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</si>
  <si>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</si>
  <si>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</si>
  <si>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</si>
  <si>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</si>
  <si>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</si>
  <si>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</si>
  <si>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</si>
  <si>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</si>
  <si>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</si>
  <si>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</si>
  <si>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</si>
  <si>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</si>
  <si>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</si>
  <si>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</si>
  <si>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</si>
  <si>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</si>
  <si>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</si>
  <si>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</si>
  <si>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</si>
  <si>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</si>
  <si>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</si>
  <si>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</si>
  <si>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</si>
  <si>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</si>
  <si>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</si>
  <si>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</si>
  <si>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</si>
  <si>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</si>
  <si>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</si>
  <si>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</si>
  <si>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</si>
  <si>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</si>
  <si>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</si>
  <si>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</si>
  <si>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</si>
  <si>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</si>
  <si>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</si>
  <si>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</si>
  <si>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</si>
  <si>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</si>
  <si>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</si>
  <si>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</si>
  <si>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</si>
  <si>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</si>
  <si>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</si>
  <si>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</si>
  <si>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</si>
  <si>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</si>
  <si>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星期六</t>
  </si>
  <si>
    <t/>
  </si>
  <si>
    <t>微波主食</t>
  </si>
  <si>
    <t>二配金咖哩果香甘口咖哩飯</t>
  </si>
  <si>
    <t>二配金咖哩濃厚辛口咖哩飯</t>
  </si>
  <si>
    <t>二配泰式綠咖哩雞</t>
  </si>
  <si>
    <t>沙拉</t>
  </si>
  <si>
    <t>青檸烤雞握沙拉(113年)</t>
  </si>
  <si>
    <t>厚蛋時蔬握沙拉</t>
  </si>
  <si>
    <t>地瓜瓜握沙拉</t>
  </si>
  <si>
    <t>青醬優格雞肉握沙拉(113年)</t>
  </si>
  <si>
    <t>季節調理麵</t>
  </si>
  <si>
    <t>台式麻醬涼麵(115年)</t>
  </si>
  <si>
    <t>小吃</t>
  </si>
  <si>
    <t>香菇雞燉湯</t>
  </si>
  <si>
    <t>剝皮辣椒雞湯</t>
  </si>
  <si>
    <t>香菇雞粥</t>
  </si>
  <si>
    <t>二配港式香滑嫩蛋牛肉燴飯</t>
  </si>
  <si>
    <t>二配玉米濃湯焗烤飯</t>
  </si>
  <si>
    <t>二配川味麻婆燒豆腐燴飯</t>
  </si>
  <si>
    <t>韓式泡菜豬肉豆腐丼飯</t>
  </si>
  <si>
    <t>鐵板滑蛋炸豬排丼</t>
  </si>
  <si>
    <t>日式炙烤親子丼</t>
  </si>
  <si>
    <t>二配厚香料優格咖哩雞排飯</t>
  </si>
  <si>
    <t>二配美味蟹煲</t>
  </si>
  <si>
    <t>二配泰式檸檬魚飯</t>
  </si>
  <si>
    <t>三明治</t>
  </si>
  <si>
    <t>紐奧良風味烤雞鮮蔬三明治</t>
  </si>
  <si>
    <t>醬燒烤雞三明治(115年)</t>
  </si>
  <si>
    <t>鮪魚起司溏心蛋三明治(115年)</t>
  </si>
  <si>
    <t>茄汁厚起司三明治</t>
  </si>
  <si>
    <t>雞蛋沙拉三明治(114年)</t>
  </si>
  <si>
    <t>榛果摩卡脆脆三明治</t>
  </si>
  <si>
    <t>經典總匯三明治(115年)</t>
  </si>
  <si>
    <t>經典火腿玉米蛋三明治</t>
  </si>
  <si>
    <t>五彩鮮蔬三明治</t>
  </si>
  <si>
    <t>好多蛋三明治</t>
  </si>
  <si>
    <t>調理麵包</t>
  </si>
  <si>
    <t>豬肉起司堡</t>
  </si>
  <si>
    <t>豬肉起司蛋堡</t>
  </si>
  <si>
    <t>美式雞腿堡</t>
  </si>
  <si>
    <t>黃金魚堡(114年)</t>
  </si>
  <si>
    <t>泰式炒河粉</t>
  </si>
  <si>
    <t>爆炒雞丁飯</t>
  </si>
  <si>
    <t>壹號醬雞豚雙拼</t>
  </si>
  <si>
    <t>炙烤醬香燒豚飯</t>
  </si>
  <si>
    <t>蔥鹽雞肉麵沙拉(114年)</t>
  </si>
  <si>
    <t>莎莎烤雞麵沙拉(115年)</t>
  </si>
  <si>
    <t>二配香辣醬蒜味香腸蛋炒飯</t>
  </si>
  <si>
    <t>二配藤椒雞丁炒飯</t>
  </si>
  <si>
    <t>二配打拋風味豬肉飯</t>
  </si>
  <si>
    <t>經典雙牛起司堡(113年)</t>
  </si>
  <si>
    <t>香雞蛋堡(112年)</t>
  </si>
  <si>
    <t>元氣起司鱈魚堡</t>
  </si>
  <si>
    <t>超HOT雞腿堡</t>
  </si>
  <si>
    <t>火腿起司蛋三明治</t>
  </si>
  <si>
    <t>肉鬆火腿三明治(115年)</t>
  </si>
  <si>
    <t>起司芋見肉鬆三明治</t>
  </si>
  <si>
    <t>水果聖代三明治</t>
  </si>
  <si>
    <t>金黃玉米蛋三明治</t>
  </si>
  <si>
    <t>雙泰奶QQ三明治</t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</si>
  <si>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</si>
  <si>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</si>
  <si>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</si>
  <si>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</si>
  <si>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</si>
  <si>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</si>
  <si>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</si>
  <si>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</si>
  <si>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</si>
  <si>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</si>
  <si>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</si>
  <si>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</si>
  <si>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</si>
  <si>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</si>
  <si>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</si>
  <si>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</si>
  <si>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</si>
  <si>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</si>
  <si>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排關平均</t>
  </si>
  <si>
    <t>實績平均</t>
  </si>
  <si>
    <t>達成率平均</t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</si>
  <si>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</si>
  <si>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</si>
  <si>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</si>
  <si>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</si>
  <si>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</si>
  <si>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新豐6線</t>
  </si>
  <si>
    <t>新豐2線</t>
  </si>
  <si>
    <t>新豐5線</t>
  </si>
  <si>
    <t>新豐7線</t>
  </si>
  <si>
    <t>新豐3線</t>
  </si>
  <si>
    <t>新豐1線</t>
  </si>
  <si>
    <t>新豐10線</t>
  </si>
  <si>
    <t>新豐8線</t>
  </si>
  <si>
    <t>新豐9線</t>
  </si>
  <si>
    <t>新豐4線</t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</si>
  <si>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</si>
  <si>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</si>
  <si>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</si>
  <si>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</si>
  <si>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</si>
  <si>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</si>
  <si>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</si>
  <si>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</si>
  <si>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</si>
  <si>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</si>
  <si>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</si>
  <si>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</si>
  <si>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</si>
  <si>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</si>
  <si>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</si>
  <si>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ET-55</t>
  </si>
  <si>
    <t>熱縮爐</t>
  </si>
  <si>
    <t>L型包裝機</t>
    <phoneticPr fontId="4" type="noConversion"/>
  </si>
  <si>
    <t>伺服包裝機</t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</si>
  <si>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</si>
  <si>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</si>
  <si>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</si>
  <si>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</si>
  <si>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</si>
  <si>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</si>
  <si>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</si>
  <si>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</si>
  <si>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</si>
  <si>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</si>
  <si>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</si>
  <si>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</si>
  <si>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</si>
  <si>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</si>
  <si>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</si>
  <si>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</si>
  <si>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</si>
  <si>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</si>
  <si>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</si>
  <si>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</si>
  <si>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</si>
  <si>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</si>
  <si>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</si>
  <si>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</si>
  <si>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</si>
  <si>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</si>
  <si>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</si>
  <si>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</si>
  <si>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</si>
  <si>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</si>
  <si>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</si>
  <si>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</si>
  <si>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</si>
  <si>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</si>
  <si>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</si>
  <si>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</si>
  <si>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</si>
  <si>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</si>
  <si>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</si>
  <si>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</si>
  <si>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</si>
  <si>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</si>
  <si>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</si>
  <si>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</si>
  <si>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</si>
  <si>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</si>
  <si>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</si>
  <si>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</si>
  <si>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</si>
  <si>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</si>
  <si>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</si>
  <si>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</si>
  <si>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</si>
  <si>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</si>
  <si>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</si>
  <si>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</si>
  <si>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</si>
  <si>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</si>
  <si>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</si>
  <si>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</si>
  <si>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</si>
  <si>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</si>
  <si>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</si>
  <si>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</si>
  <si>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</si>
  <si>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</si>
  <si>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</si>
  <si>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</si>
  <si>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</si>
  <si>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</si>
  <si>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</si>
  <si>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</si>
  <si>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星期日</t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</si>
  <si>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</si>
  <si>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</si>
  <si>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</si>
  <si>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</si>
  <si>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</si>
  <si>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</si>
  <si>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</si>
  <si>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</si>
  <si>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</si>
  <si>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</si>
  <si>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</si>
  <si>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</si>
  <si>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</si>
  <si>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</si>
  <si>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</si>
  <si>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</si>
  <si>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</si>
  <si>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</si>
  <si>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</si>
  <si>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</si>
  <si>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</si>
  <si>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</si>
  <si>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</si>
  <si>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</si>
  <si>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</si>
  <si>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</si>
  <si>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</si>
  <si>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</si>
  <si>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</si>
  <si>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</si>
  <si>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</si>
  <si>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</si>
  <si>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</si>
  <si>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</si>
  <si>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</si>
  <si>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</si>
  <si>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</si>
  <si>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</si>
  <si>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</si>
  <si>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</si>
  <si>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</si>
  <si>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</si>
  <si>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</si>
  <si>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</si>
  <si>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</si>
  <si>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</si>
  <si>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</si>
  <si>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</si>
  <si>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</si>
  <si>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</si>
  <si>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</si>
  <si>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</si>
  <si>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</si>
  <si>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</si>
  <si>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</si>
  <si>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</si>
  <si>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</si>
  <si>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</si>
  <si>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</si>
  <si>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</si>
  <si>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</si>
  <si>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</si>
  <si>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</si>
  <si>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</si>
  <si>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</si>
  <si>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</si>
  <si>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</si>
  <si>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</si>
  <si>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</si>
  <si>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</si>
  <si>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</si>
  <si>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</si>
  <si>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</si>
  <si>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</si>
  <si>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</si>
  <si>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</si>
  <si>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</si>
  <si>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</si>
  <si>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</si>
  <si>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</si>
  <si>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</si>
  <si>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</si>
  <si>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</si>
  <si>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</si>
  <si>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</si>
  <si>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</si>
  <si>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</si>
  <si>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</si>
  <si>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</si>
  <si>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</si>
  <si>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</si>
  <si>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</si>
  <si>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</si>
  <si>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</si>
  <si>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</si>
  <si>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</si>
  <si>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</si>
  <si>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</si>
  <si>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</si>
  <si>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星期一</t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</si>
  <si>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</si>
  <si>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</si>
  <si>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</si>
  <si>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</si>
  <si>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</si>
  <si>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</si>
  <si>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</si>
  <si>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</si>
  <si>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</si>
  <si>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</si>
  <si>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</si>
  <si>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</si>
  <si>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</si>
  <si>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</si>
  <si>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</si>
  <si>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</si>
  <si>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</si>
  <si>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</si>
  <si>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</si>
  <si>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</si>
  <si>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</si>
  <si>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</si>
  <si>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</si>
  <si>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</si>
  <si>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</si>
  <si>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</si>
  <si>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</si>
  <si>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</si>
  <si>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</si>
  <si>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</si>
  <si>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</si>
  <si>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</si>
  <si>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</si>
  <si>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</si>
  <si>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</si>
  <si>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</si>
  <si>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</si>
  <si>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</si>
  <si>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</si>
  <si>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</si>
  <si>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</si>
  <si>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二配排骨蛋炒飯</t>
  </si>
  <si>
    <t>新豐10線</t>
    <phoneticPr fontId="4" type="noConversion"/>
  </si>
  <si>
    <t>星期二</t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</si>
  <si>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</si>
  <si>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</si>
  <si>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</si>
  <si>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</si>
  <si>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</si>
  <si>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</si>
  <si>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</si>
  <si>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</si>
  <si>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</si>
  <si>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</si>
  <si>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</si>
  <si>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</si>
  <si>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</si>
  <si>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</si>
  <si>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</si>
  <si>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</si>
  <si>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</si>
  <si>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</si>
  <si>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</si>
  <si>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</si>
  <si>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</si>
  <si>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</si>
  <si>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</si>
  <si>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</si>
  <si>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</si>
  <si>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</si>
  <si>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</si>
  <si>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</si>
  <si>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</si>
  <si>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</si>
  <si>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</si>
  <si>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</si>
  <si>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</si>
  <si>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</si>
  <si>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</si>
  <si>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</si>
  <si>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</si>
  <si>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</si>
  <si>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</si>
  <si>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</si>
  <si>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</si>
  <si>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</si>
  <si>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</si>
  <si>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</si>
  <si>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</si>
  <si>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</si>
  <si>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</si>
  <si>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</si>
  <si>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</si>
  <si>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</si>
  <si>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</si>
  <si>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</si>
  <si>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</si>
  <si>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</si>
  <si>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</si>
  <si>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</si>
  <si>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</si>
  <si>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</si>
  <si>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</si>
  <si>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</si>
  <si>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</si>
  <si>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</si>
  <si>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</si>
  <si>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</si>
  <si>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</si>
  <si>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</si>
  <si>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</si>
  <si>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</si>
  <si>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</si>
  <si>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</si>
  <si>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</si>
  <si>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</si>
  <si>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</si>
  <si>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</si>
  <si>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</si>
  <si>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</si>
  <si>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</si>
  <si>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</si>
  <si>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開始</t>
    <phoneticPr fontId="4" type="noConversion"/>
  </si>
  <si>
    <t>結束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</si>
  <si>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</si>
  <si>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</si>
  <si>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</si>
  <si>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</si>
  <si>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</si>
  <si>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</si>
  <si>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</si>
  <si>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</si>
  <si>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</si>
  <si>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</si>
  <si>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</si>
  <si>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</si>
  <si>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</si>
  <si>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</si>
  <si>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</si>
  <si>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</si>
  <si>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</si>
  <si>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</si>
  <si>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</si>
  <si>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</si>
  <si>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</si>
  <si>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</si>
  <si>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</si>
  <si>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</si>
  <si>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</si>
  <si>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</si>
  <si>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</si>
  <si>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</si>
  <si>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</si>
  <si>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</si>
  <si>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</si>
  <si>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</si>
  <si>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</si>
  <si>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</si>
  <si>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</si>
  <si>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</si>
  <si>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</si>
  <si>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</si>
  <si>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</si>
  <si>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</si>
  <si>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</si>
  <si>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</si>
  <si>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</si>
  <si>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</si>
  <si>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</si>
  <si>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</si>
  <si>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</si>
  <si>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</si>
  <si>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</si>
  <si>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</si>
  <si>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</si>
  <si>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</si>
  <si>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</si>
  <si>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</si>
  <si>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</si>
  <si>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</si>
  <si>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</si>
  <si>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</si>
  <si>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</si>
  <si>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</si>
  <si>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</si>
  <si>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</si>
  <si>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</si>
  <si>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</si>
  <si>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</si>
  <si>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</si>
  <si>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</si>
  <si>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</si>
  <si>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</si>
  <si>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</si>
  <si>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</si>
  <si>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</si>
  <si>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</si>
  <si>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</si>
  <si>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</si>
  <si>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</si>
  <si>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</si>
  <si>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</si>
  <si>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</si>
  <si>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</si>
  <si>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星期三</t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</si>
  <si>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</si>
  <si>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</si>
  <si>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</si>
  <si>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</si>
  <si>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</si>
  <si>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</si>
  <si>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</si>
  <si>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</si>
  <si>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</si>
  <si>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</si>
  <si>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</si>
  <si>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</si>
  <si>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</si>
  <si>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</si>
  <si>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</si>
  <si>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</si>
  <si>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</si>
  <si>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</si>
  <si>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</si>
  <si>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</si>
  <si>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</si>
  <si>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</si>
  <si>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</si>
  <si>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</si>
  <si>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</si>
  <si>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</si>
  <si>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</si>
  <si>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</si>
  <si>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</si>
  <si>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</si>
  <si>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</si>
  <si>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</si>
  <si>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</si>
  <si>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</si>
  <si>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</si>
  <si>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</si>
  <si>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</si>
  <si>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星期四</t>
  </si>
  <si>
    <t>新豐9線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</si>
  <si>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</si>
  <si>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</si>
  <si>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</si>
  <si>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</si>
  <si>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</si>
  <si>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</si>
  <si>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</si>
  <si>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</si>
  <si>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</si>
  <si>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</si>
  <si>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</si>
  <si>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</si>
  <si>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</si>
  <si>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</si>
  <si>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</si>
  <si>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</si>
  <si>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</si>
  <si>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</si>
  <si>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</si>
  <si>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</si>
  <si>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</si>
  <si>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</si>
  <si>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</si>
  <si>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</si>
  <si>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</si>
  <si>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</si>
  <si>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</si>
  <si>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</si>
  <si>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</si>
  <si>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</si>
  <si>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</si>
  <si>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</si>
  <si>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</si>
  <si>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</si>
  <si>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</si>
  <si>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</si>
  <si>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</si>
  <si>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</si>
  <si>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</si>
  <si>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</si>
  <si>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</si>
  <si>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</si>
  <si>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</si>
  <si>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</si>
  <si>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</si>
  <si>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</si>
  <si>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</si>
  <si>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</si>
  <si>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</si>
  <si>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</si>
  <si>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</si>
  <si>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</si>
  <si>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</si>
  <si>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</si>
  <si>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</si>
  <si>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</si>
  <si>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</si>
  <si>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</si>
  <si>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</si>
  <si>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</si>
  <si>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</si>
  <si>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</si>
  <si>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</si>
  <si>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</si>
  <si>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</si>
  <si>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</si>
  <si>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</si>
  <si>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</si>
  <si>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</si>
  <si>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</si>
  <si>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達成率平均</t>
    <phoneticPr fontId="4" type="noConversion"/>
  </si>
  <si>
    <t>開始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</si>
  <si>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</si>
  <si>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</si>
  <si>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</si>
  <si>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</si>
  <si>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</si>
  <si>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</si>
  <si>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</si>
  <si>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</si>
  <si>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</si>
  <si>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</si>
  <si>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</si>
  <si>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</si>
  <si>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</si>
  <si>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</si>
  <si>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</si>
  <si>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</si>
  <si>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</si>
  <si>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</si>
  <si>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</si>
  <si>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</si>
  <si>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</si>
  <si>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</si>
  <si>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</si>
  <si>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</si>
  <si>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</si>
  <si>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</si>
  <si>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</si>
  <si>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</si>
  <si>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</si>
  <si>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</si>
  <si>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</si>
  <si>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</si>
  <si>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</si>
  <si>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</si>
  <si>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</si>
  <si>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</si>
  <si>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</si>
  <si>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</si>
  <si>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</si>
  <si>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</si>
  <si>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</si>
  <si>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</si>
  <si>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</si>
  <si>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</si>
  <si>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</si>
  <si>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</si>
  <si>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</si>
  <si>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</si>
  <si>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</si>
  <si>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</si>
  <si>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</si>
  <si>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</si>
  <si>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</si>
  <si>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</si>
  <si>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</si>
  <si>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</si>
  <si>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</si>
  <si>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</si>
  <si>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</si>
  <si>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</si>
  <si>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</si>
  <si>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</si>
  <si>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</si>
  <si>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</si>
  <si>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</si>
  <si>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</si>
  <si>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</si>
  <si>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</si>
  <si>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</si>
  <si>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</si>
  <si>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</si>
  <si>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</si>
  <si>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</si>
  <si>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</si>
  <si>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</si>
  <si>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</si>
  <si>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</si>
  <si>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</si>
  <si>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</si>
  <si>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</si>
  <si>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</si>
  <si>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</si>
  <si>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次數</t>
    <phoneticPr fontId="4" type="noConversion"/>
  </si>
  <si>
    <t>合計
設備次數</t>
    <phoneticPr fontId="3" type="noConversion"/>
  </si>
  <si>
    <t>產能差異分析</t>
    <phoneticPr fontId="4" type="noConversion"/>
  </si>
  <si>
    <t>星期五</t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</si>
  <si>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</si>
  <si>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</si>
  <si>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</si>
  <si>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</si>
  <si>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</si>
  <si>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</si>
  <si>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</si>
  <si>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</si>
  <si>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</si>
  <si>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</si>
  <si>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</si>
  <si>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</si>
  <si>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</si>
  <si>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</si>
  <si>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</si>
  <si>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</si>
  <si>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</si>
  <si>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</si>
  <si>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</si>
  <si>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</si>
  <si>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</si>
  <si>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</si>
  <si>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</si>
  <si>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</si>
  <si>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</si>
  <si>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</si>
  <si>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</si>
  <si>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</si>
  <si>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</si>
  <si>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</si>
  <si>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</si>
  <si>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</si>
  <si>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</si>
  <si>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</si>
  <si>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</si>
  <si>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</si>
  <si>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</si>
  <si>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</si>
  <si>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</si>
  <si>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</si>
  <si>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</si>
  <si>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</si>
  <si>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</si>
  <si>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</si>
  <si>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</si>
  <si>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</si>
  <si>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</si>
  <si>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</si>
  <si>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</si>
  <si>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</si>
  <si>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</si>
  <si>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</si>
  <si>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</si>
  <si>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</si>
  <si>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</si>
  <si>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</si>
  <si>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</si>
  <si>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</si>
  <si>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</si>
  <si>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</si>
  <si>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</si>
  <si>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</si>
  <si>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</si>
  <si>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</si>
  <si>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</si>
  <si>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</si>
  <si>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</si>
  <si>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</si>
  <si>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</si>
  <si>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</si>
  <si>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</si>
  <si>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</si>
  <si>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</si>
  <si>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</si>
  <si>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</si>
  <si>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</si>
  <si>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</si>
  <si>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</si>
  <si>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</si>
  <si>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</si>
  <si>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</si>
  <si>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</si>
  <si>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</si>
  <si>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</si>
  <si>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</si>
  <si>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</si>
  <si>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</si>
  <si>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</si>
  <si>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</si>
  <si>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</si>
  <si>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人時性差異分析</t>
    <phoneticPr fontId="4" type="noConversion"/>
  </si>
  <si>
    <t>日報登錄</t>
    <phoneticPr fontId="4" type="noConversion"/>
  </si>
  <si>
    <t>產線異常
分析說明(5分鐘以上)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</si>
  <si>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</si>
  <si>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</si>
  <si>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</si>
  <si>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</si>
  <si>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</si>
  <si>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</si>
  <si>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</si>
  <si>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</si>
  <si>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</si>
  <si>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</si>
  <si>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產能/時</t>
    <phoneticPr fontId="4" type="noConversion"/>
  </si>
  <si>
    <t>人數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</si>
  <si>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</si>
  <si>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</si>
  <si>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</si>
  <si>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</si>
  <si>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</si>
  <si>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</si>
  <si>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</si>
  <si>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</si>
  <si>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</si>
  <si>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</si>
  <si>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</si>
  <si>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</si>
  <si>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</si>
  <si>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</si>
  <si>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</si>
  <si>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</si>
  <si>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</si>
  <si>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</si>
  <si>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</si>
  <si>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</si>
  <si>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</si>
  <si>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</si>
  <si>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</si>
  <si>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</si>
  <si>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</si>
  <si>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</si>
  <si>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</si>
  <si>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</si>
  <si>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</si>
  <si>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</si>
  <si>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</si>
  <si>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</si>
  <si>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</si>
  <si>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平均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</si>
  <si>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</si>
  <si>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</si>
  <si>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</si>
  <si>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</si>
  <si>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</si>
  <si>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</si>
  <si>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</si>
  <si>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</si>
  <si>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</si>
  <si>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</si>
  <si>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</si>
  <si>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</si>
  <si>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</si>
  <si>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</si>
  <si>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</si>
  <si>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</si>
  <si>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</si>
  <si>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</si>
  <si>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</si>
  <si>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</si>
  <si>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</si>
  <si>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</si>
  <si>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</si>
  <si>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</si>
  <si>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</si>
  <si>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</si>
  <si>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</si>
  <si>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</si>
  <si>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</si>
  <si>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</si>
  <si>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</si>
  <si>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</si>
  <si>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</si>
  <si>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</si>
  <si>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</si>
  <si>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</si>
  <si>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</si>
  <si>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</si>
  <si>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</si>
  <si>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</si>
  <si>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</si>
  <si>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</si>
  <si>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</si>
  <si>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</si>
  <si>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</si>
  <si>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</si>
  <si>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</si>
  <si>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</si>
  <si>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合計
時間/分</t>
    <phoneticPr fontId="3" type="noConversion"/>
  </si>
  <si>
    <t>產能差異分析</t>
    <phoneticPr fontId="4" type="noConversion"/>
  </si>
  <si>
    <t>生產量</t>
    <phoneticPr fontId="4" type="noConversion"/>
  </si>
  <si>
    <t>人數</t>
    <phoneticPr fontId="4" type="noConversion"/>
  </si>
  <si>
    <t>休息時間</t>
    <phoneticPr fontId="4" type="noConversion"/>
  </si>
  <si>
    <t>產線異常統計
(5分鐘以上)</t>
    <phoneticPr fontId="4" type="noConversion"/>
  </si>
  <si>
    <t>達成率</t>
    <phoneticPr fontId="4" type="noConversion"/>
  </si>
  <si>
    <t>開始</t>
    <phoneticPr fontId="4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</si>
  <si>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</si>
  <si>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</si>
  <si>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</si>
  <si>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新豐2線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</si>
  <si>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</si>
  <si>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</si>
  <si>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</si>
  <si>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</si>
  <si>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</si>
  <si>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</si>
  <si>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</si>
  <si>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</si>
  <si>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新豐4線</t>
    <phoneticPr fontId="4" type="noConversion"/>
  </si>
  <si>
    <t>調理麵包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</si>
  <si>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</si>
  <si>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</si>
  <si>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</si>
  <si>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</si>
  <si>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</si>
  <si>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</si>
  <si>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</si>
  <si>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</si>
  <si>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</si>
  <si>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</si>
  <si>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</si>
  <si>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</si>
  <si>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</si>
  <si>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</si>
  <si>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</si>
  <si>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</si>
  <si>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</si>
  <si>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</si>
  <si>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</si>
  <si>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</si>
  <si>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</si>
  <si>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</si>
  <si>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</si>
  <si>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</si>
  <si>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</si>
  <si>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</si>
  <si>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</si>
  <si>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</si>
  <si>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</si>
  <si>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</si>
  <si>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</si>
  <si>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</si>
  <si>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</si>
  <si>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</si>
  <si>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</si>
  <si>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</si>
  <si>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</si>
  <si>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</si>
  <si>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</si>
  <si>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</si>
  <si>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</si>
  <si>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</si>
  <si>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</si>
  <si>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</si>
  <si>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</si>
  <si>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</si>
  <si>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</si>
  <si>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</si>
  <si>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</si>
  <si>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</si>
  <si>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</si>
  <si>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</si>
  <si>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</si>
  <si>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</si>
  <si>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</si>
  <si>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</si>
  <si>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</si>
  <si>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</si>
  <si>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</si>
  <si>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</si>
  <si>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</si>
  <si>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</si>
  <si>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</si>
  <si>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</si>
  <si>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</si>
  <si>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</si>
  <si>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</si>
  <si>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</si>
  <si>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</si>
  <si>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</si>
  <si>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</si>
  <si>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</si>
  <si>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</si>
  <si>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</si>
  <si>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</si>
  <si>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</si>
  <si>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</si>
  <si>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</si>
  <si>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</si>
  <si>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</si>
  <si>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</si>
  <si>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</si>
  <si>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</si>
  <si>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</si>
  <si>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</si>
  <si>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</si>
  <si>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</si>
  <si>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</si>
  <si>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</si>
  <si>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</si>
  <si>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</si>
  <si>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</si>
  <si>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</si>
  <si>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</si>
  <si>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</si>
  <si>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</si>
  <si>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</si>
  <si>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</si>
  <si>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</si>
  <si>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</si>
  <si>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</si>
  <si>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</si>
  <si>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</si>
  <si>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</si>
  <si>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</si>
  <si>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</si>
  <si>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</si>
  <si>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</si>
  <si>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</si>
  <si>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</si>
  <si>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</si>
  <si>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</si>
  <si>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</si>
  <si>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</si>
  <si>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</si>
  <si>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</si>
  <si>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</si>
  <si>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</si>
  <si>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</si>
  <si>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</si>
  <si>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</si>
  <si>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</si>
  <si>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</si>
  <si>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</si>
  <si>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</si>
  <si>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</si>
  <si>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</si>
  <si>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</si>
  <si>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</si>
  <si>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</si>
  <si>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</si>
  <si>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</si>
  <si>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</si>
  <si>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</si>
  <si>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</si>
  <si>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</si>
  <si>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</si>
  <si>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</si>
  <si>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</si>
  <si>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</si>
  <si>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</si>
  <si>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</si>
  <si>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</si>
  <si>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</si>
  <si>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</si>
  <si>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</si>
  <si>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</si>
  <si>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</si>
  <si>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</si>
  <si>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</si>
  <si>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</si>
  <si>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</si>
  <si>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</si>
  <si>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</si>
  <si>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</si>
  <si>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</si>
  <si>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</si>
  <si>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</si>
  <si>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</si>
  <si>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</si>
  <si>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</si>
  <si>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</si>
  <si>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</si>
  <si>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</si>
  <si>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</si>
  <si>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</si>
  <si>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</si>
  <si>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</si>
  <si>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</si>
  <si>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</si>
  <si>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</si>
  <si>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</si>
  <si>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</si>
  <si>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</si>
  <si>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</si>
  <si>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</si>
  <si>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</si>
  <si>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</si>
  <si>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</si>
  <si>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</si>
  <si>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</si>
  <si>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</si>
  <si>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</si>
  <si>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</si>
  <si>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</si>
  <si>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</si>
  <si>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</si>
  <si>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</si>
  <si>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</si>
  <si>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</si>
  <si>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</si>
  <si>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</si>
  <si>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</si>
  <si>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</si>
  <si>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</si>
  <si>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</si>
  <si>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</si>
  <si>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</si>
  <si>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</si>
  <si>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</si>
  <si>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</si>
  <si>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</si>
  <si>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</si>
  <si>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</si>
  <si>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</si>
  <si>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</si>
  <si>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</si>
  <si>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</si>
  <si>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</si>
  <si>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</si>
  <si>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</si>
  <si>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</si>
  <si>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</si>
  <si>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</si>
  <si>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</si>
  <si>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</si>
  <si>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</si>
  <si>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</si>
  <si>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</si>
  <si>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實績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</si>
  <si>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</si>
  <si>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</si>
  <si>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</si>
  <si>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L型包裝機</t>
    <phoneticPr fontId="4" type="noConversion"/>
  </si>
  <si>
    <t>三明治包裝機</t>
    <phoneticPr fontId="4" type="noConversion"/>
  </si>
  <si>
    <t>握沙拉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</si>
  <si>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</si>
  <si>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</si>
  <si>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</si>
  <si>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</si>
  <si>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</si>
  <si>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</si>
  <si>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</si>
  <si>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</si>
  <si>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</si>
  <si>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</si>
  <si>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</si>
  <si>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</si>
  <si>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</si>
  <si>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</si>
  <si>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</si>
  <si>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</si>
  <si>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</si>
  <si>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</si>
  <si>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</si>
  <si>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</si>
  <si>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</si>
  <si>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</si>
  <si>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</si>
  <si>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</si>
  <si>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</si>
  <si>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</si>
  <si>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</si>
  <si>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</si>
  <si>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</si>
  <si>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</si>
  <si>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</si>
  <si>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</si>
  <si>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</si>
  <si>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</si>
  <si>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</si>
  <si>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</si>
  <si>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</si>
  <si>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</si>
  <si>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</si>
  <si>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</si>
  <si>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</si>
  <si>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</si>
  <si>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</si>
  <si>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</si>
  <si>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</si>
  <si>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</si>
  <si>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</si>
  <si>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</si>
  <si>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</si>
  <si>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</si>
  <si>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</si>
  <si>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</si>
  <si>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</si>
  <si>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</si>
  <si>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</si>
  <si>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</si>
  <si>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</si>
  <si>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</si>
  <si>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</si>
  <si>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</si>
  <si>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</si>
  <si>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</si>
  <si>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</si>
  <si>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</si>
  <si>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</si>
  <si>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</si>
  <si>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</si>
  <si>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</si>
  <si>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</si>
  <si>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</si>
  <si>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</si>
  <si>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</si>
  <si>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</si>
  <si>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</si>
  <si>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</si>
  <si>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</si>
  <si>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</si>
  <si>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</si>
  <si>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</si>
  <si>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</si>
  <si>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</si>
  <si>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</si>
  <si>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</si>
  <si>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</si>
  <si>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</si>
  <si>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</si>
  <si>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</si>
  <si>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</si>
  <si>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</si>
  <si>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</si>
  <si>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</si>
  <si>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</si>
  <si>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</si>
  <si>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</si>
  <si>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</si>
  <si>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</si>
  <si>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</si>
  <si>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</si>
  <si>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設備次數</t>
    <phoneticPr fontId="13" type="noConversion"/>
  </si>
  <si>
    <t>配置人數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</si>
  <si>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</si>
  <si>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</si>
  <si>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</si>
  <si>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</si>
  <si>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</si>
  <si>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</si>
  <si>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</si>
  <si>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</si>
  <si>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</si>
  <si>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</si>
  <si>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</si>
  <si>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</si>
  <si>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</si>
  <si>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</si>
  <si>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</si>
  <si>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</si>
  <si>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</si>
  <si>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</si>
  <si>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</si>
  <si>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</si>
  <si>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</si>
  <si>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</si>
  <si>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</si>
  <si>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</si>
  <si>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</si>
  <si>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</si>
  <si>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</si>
  <si>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</si>
  <si>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</si>
  <si>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</si>
  <si>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</si>
  <si>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</si>
  <si>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</si>
  <si>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</si>
  <si>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</si>
  <si>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</si>
  <si>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</si>
  <si>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</si>
  <si>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</si>
  <si>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</si>
  <si>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</si>
  <si>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</si>
  <si>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</si>
  <si>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</si>
  <si>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</si>
  <si>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</si>
  <si>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</si>
  <si>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</si>
  <si>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</si>
  <si>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</si>
  <si>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</si>
  <si>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</si>
  <si>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</si>
  <si>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</si>
  <si>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</si>
  <si>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</si>
  <si>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</si>
  <si>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</si>
  <si>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新豐4線</t>
    <phoneticPr fontId="4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</si>
  <si>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</si>
  <si>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</si>
  <si>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</si>
  <si>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</si>
  <si>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</si>
  <si>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</si>
  <si>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</si>
  <si>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</si>
  <si>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</si>
  <si>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</si>
  <si>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</si>
  <si>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</si>
  <si>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</si>
  <si>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</si>
  <si>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</si>
  <si>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</si>
  <si>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</si>
  <si>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</si>
  <si>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</si>
  <si>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</si>
  <si>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</si>
  <si>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</si>
  <si>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</si>
  <si>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</si>
  <si>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</si>
  <si>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</si>
  <si>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</si>
  <si>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</si>
  <si>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</si>
  <si>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</si>
  <si>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</si>
  <si>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</si>
  <si>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</si>
  <si>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</si>
  <si>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</si>
  <si>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</si>
  <si>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</si>
  <si>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</si>
  <si>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</si>
  <si>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</si>
  <si>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</si>
  <si>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</si>
  <si>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</si>
  <si>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</si>
  <si>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</si>
  <si>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</si>
  <si>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</si>
  <si>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</si>
  <si>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</si>
  <si>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</si>
  <si>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</si>
  <si>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</si>
  <si>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</si>
  <si>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</si>
  <si>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</si>
  <si>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</si>
  <si>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</si>
  <si>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</si>
  <si>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</si>
  <si>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</si>
  <si>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</si>
  <si>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</si>
  <si>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</si>
  <si>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</si>
  <si>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</si>
  <si>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</si>
  <si>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</si>
  <si>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</si>
  <si>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</si>
  <si>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</si>
  <si>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</si>
  <si>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</si>
  <si>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</si>
  <si>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</si>
  <si>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</si>
  <si>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</si>
  <si>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</si>
  <si>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</si>
  <si>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</si>
  <si>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</si>
  <si>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</si>
  <si>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</si>
  <si>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</si>
  <si>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</si>
  <si>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</si>
  <si>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</si>
  <si>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</si>
  <si>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</si>
  <si>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</si>
  <si>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</si>
  <si>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</si>
  <si>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</si>
  <si>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</si>
  <si>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</si>
  <si>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</si>
  <si>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</si>
  <si>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</si>
  <si>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</si>
  <si>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</si>
  <si>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</si>
  <si>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</si>
  <si>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</si>
  <si>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</si>
  <si>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</si>
  <si>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</si>
  <si>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</si>
  <si>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</si>
  <si>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</si>
  <si>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</si>
  <si>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</si>
  <si>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</si>
  <si>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</si>
  <si>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</si>
  <si>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</si>
  <si>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</si>
  <si>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</si>
  <si>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</si>
  <si>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</si>
  <si>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</si>
  <si>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實績</t>
    <phoneticPr fontId="3" type="noConversion"/>
  </si>
  <si>
    <t>達成率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</si>
  <si>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</si>
  <si>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</si>
  <si>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</si>
  <si>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</si>
  <si>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</si>
  <si>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</si>
  <si>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</si>
  <si>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</si>
  <si>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</si>
  <si>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</si>
  <si>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</si>
  <si>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</si>
  <si>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</si>
  <si>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</si>
  <si>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</si>
  <si>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</si>
  <si>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</si>
  <si>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</si>
  <si>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</si>
  <si>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</si>
  <si>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</si>
  <si>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</si>
  <si>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</si>
  <si>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</si>
  <si>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</si>
  <si>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</si>
  <si>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</si>
  <si>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</si>
  <si>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</si>
  <si>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次數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</si>
  <si>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</si>
  <si>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</si>
  <si>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</si>
  <si>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</si>
  <si>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</si>
  <si>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</si>
  <si>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</si>
  <si>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</si>
  <si>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</si>
  <si>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</si>
  <si>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</si>
  <si>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</si>
  <si>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</si>
  <si>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</si>
  <si>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</si>
  <si>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</si>
  <si>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</si>
  <si>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</si>
  <si>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</si>
  <si>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</si>
  <si>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</si>
  <si>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</si>
  <si>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</si>
  <si>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</si>
  <si>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</si>
  <si>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</si>
  <si>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</si>
  <si>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</si>
  <si>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</si>
  <si>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</si>
  <si>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</si>
  <si>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</si>
  <si>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</si>
  <si>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</si>
  <si>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</si>
  <si>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</si>
  <si>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</si>
  <si>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</si>
  <si>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</si>
  <si>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</si>
  <si>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</si>
  <si>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</si>
  <si>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</si>
  <si>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</si>
  <si>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</si>
  <si>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</si>
  <si>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</si>
  <si>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</si>
  <si>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</si>
  <si>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</si>
  <si>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</si>
  <si>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</si>
  <si>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</si>
  <si>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</si>
  <si>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</si>
  <si>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</si>
  <si>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</si>
  <si>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</si>
  <si>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</si>
  <si>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</si>
  <si>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</si>
  <si>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</si>
  <si>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</si>
  <si>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</si>
  <si>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</si>
  <si>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</si>
  <si>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</si>
  <si>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</si>
  <si>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</si>
  <si>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</si>
  <si>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開始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</si>
  <si>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</si>
  <si>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</si>
  <si>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</si>
  <si>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</si>
  <si>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</si>
  <si>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</si>
  <si>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</si>
  <si>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</si>
  <si>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</si>
  <si>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</si>
  <si>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</si>
  <si>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</si>
  <si>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</si>
  <si>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</si>
  <si>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</si>
  <si>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</si>
  <si>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</si>
  <si>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</si>
  <si>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</si>
  <si>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</si>
  <si>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</si>
  <si>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</si>
  <si>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</si>
  <si>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</si>
  <si>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</si>
  <si>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</si>
  <si>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</si>
  <si>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</si>
  <si>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</si>
  <si>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</si>
  <si>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</si>
  <si>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</si>
  <si>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</si>
  <si>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</si>
  <si>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</si>
  <si>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</si>
  <si>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</si>
  <si>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</si>
  <si>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</si>
  <si>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</si>
  <si>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</si>
  <si>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</si>
  <si>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</si>
  <si>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</si>
  <si>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</si>
  <si>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</si>
  <si>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</si>
  <si>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</si>
  <si>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</si>
  <si>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</si>
  <si>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</si>
  <si>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</si>
  <si>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</si>
  <si>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</si>
  <si>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</si>
  <si>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</si>
  <si>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</si>
  <si>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</si>
  <si>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</si>
  <si>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</si>
  <si>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</si>
  <si>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</si>
  <si>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</si>
  <si>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</si>
  <si>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</si>
  <si>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</si>
  <si>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</si>
  <si>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</si>
  <si>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</si>
  <si>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</si>
  <si>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</si>
  <si>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</si>
  <si>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</si>
  <si>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</si>
  <si>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</si>
  <si>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</si>
  <si>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</si>
  <si>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</si>
  <si>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</si>
  <si>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</si>
  <si>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</si>
  <si>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</si>
  <si>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</si>
  <si>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</si>
  <si>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</si>
  <si>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</si>
  <si>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</si>
  <si>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</si>
  <si>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</si>
  <si>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</si>
  <si>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</si>
  <si>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</si>
  <si>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</si>
  <si>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</si>
  <si>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</si>
  <si>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</si>
  <si>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</si>
  <si>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</si>
  <si>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</si>
  <si>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</si>
  <si>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</si>
  <si>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</si>
  <si>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</si>
  <si>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</si>
  <si>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</si>
  <si>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</si>
  <si>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</si>
  <si>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</si>
  <si>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</si>
  <si>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</si>
  <si>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</si>
  <si>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</si>
  <si>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</si>
  <si>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</si>
  <si>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</si>
  <si>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</si>
  <si>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</si>
  <si>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</si>
  <si>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</si>
  <si>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</si>
  <si>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</si>
  <si>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</si>
  <si>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</si>
  <si>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</si>
  <si>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</si>
  <si>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</si>
  <si>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</si>
  <si>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</si>
  <si>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</si>
  <si>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</si>
  <si>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</si>
  <si>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</si>
  <si>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</si>
  <si>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</si>
  <si>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</si>
  <si>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</si>
  <si>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</si>
  <si>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</si>
  <si>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</si>
  <si>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</si>
  <si>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</si>
  <si>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</si>
  <si>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</si>
  <si>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</si>
  <si>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</si>
  <si>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</si>
  <si>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</si>
  <si>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</si>
  <si>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</si>
  <si>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</si>
  <si>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</si>
  <si>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</si>
  <si>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</si>
  <si>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</si>
  <si>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</si>
  <si>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</si>
  <si>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</si>
  <si>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</si>
  <si>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</si>
  <si>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</si>
  <si>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</si>
  <si>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</si>
  <si>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</si>
  <si>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</si>
  <si>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</si>
  <si>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</si>
  <si>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</si>
  <si>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</si>
  <si>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</si>
  <si>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</si>
  <si>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</si>
  <si>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</si>
  <si>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</si>
  <si>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</si>
  <si>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</si>
  <si>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</si>
  <si>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</si>
  <si>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</si>
  <si>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</si>
  <si>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</si>
  <si>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</si>
  <si>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</si>
  <si>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</si>
  <si>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</si>
  <si>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</si>
  <si>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</si>
  <si>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</si>
  <si>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</si>
  <si>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</si>
  <si>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</si>
  <si>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</si>
  <si>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</si>
  <si>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結束</t>
    <phoneticPr fontId="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</si>
  <si>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</si>
  <si>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</si>
  <si>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</si>
  <si>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</si>
  <si>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</si>
  <si>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</si>
  <si>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</si>
  <si>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</si>
  <si>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</si>
  <si>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</si>
  <si>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</si>
  <si>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</si>
  <si>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</si>
  <si>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</si>
  <si>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</si>
  <si>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</si>
  <si>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</si>
  <si>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</si>
  <si>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</si>
  <si>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</si>
  <si>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</si>
  <si>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</si>
  <si>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</si>
  <si>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</si>
  <si>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</si>
  <si>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</si>
  <si>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</si>
  <si>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</si>
  <si>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</si>
  <si>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</si>
  <si>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</si>
  <si>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</si>
  <si>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</si>
  <si>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</si>
  <si>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</si>
  <si>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</si>
  <si>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</si>
  <si>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</si>
  <si>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</si>
  <si>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</si>
  <si>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</si>
  <si>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</si>
  <si>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</si>
  <si>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</si>
  <si>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</si>
  <si>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</si>
  <si>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</si>
  <si>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</si>
  <si>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</si>
  <si>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</si>
  <si>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</si>
  <si>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</si>
  <si>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</si>
  <si>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</si>
  <si>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</si>
  <si>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</si>
  <si>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</si>
  <si>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</si>
  <si>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</si>
  <si>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</si>
  <si>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</si>
  <si>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</si>
  <si>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柚見極炙烤牛</t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</si>
  <si>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</si>
  <si>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</si>
  <si>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</si>
  <si>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新豐10線</t>
    <phoneticPr fontId="4" type="noConversion"/>
  </si>
  <si>
    <t>益活雞力能量堡</t>
  </si>
  <si>
    <t>新豐4線</t>
    <phoneticPr fontId="4" type="noConversion"/>
  </si>
  <si>
    <t>好多菜三明治</t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</si>
  <si>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</si>
  <si>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</si>
  <si>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</si>
  <si>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</si>
  <si>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</si>
  <si>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</si>
  <si>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</si>
  <si>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</si>
  <si>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</si>
  <si>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</si>
  <si>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</si>
  <si>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</si>
  <si>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</si>
  <si>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</si>
  <si>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</si>
  <si>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</si>
  <si>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</si>
  <si>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</si>
  <si>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</si>
  <si>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</si>
  <si>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</si>
  <si>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</si>
  <si>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</si>
  <si>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</si>
  <si>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</si>
  <si>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</si>
  <si>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</si>
  <si>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</si>
  <si>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</si>
  <si>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</si>
  <si>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</si>
  <si>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</si>
  <si>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</si>
  <si>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</si>
  <si>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</si>
  <si>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</si>
  <si>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</si>
  <si>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</si>
  <si>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</si>
  <si>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</si>
  <si>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</si>
  <si>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</si>
  <si>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</si>
  <si>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</si>
  <si>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</si>
  <si>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</si>
  <si>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</si>
  <si>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</si>
  <si>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</si>
  <si>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</si>
  <si>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</si>
  <si>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</si>
  <si>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</si>
  <si>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</si>
  <si>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</si>
  <si>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</si>
  <si>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</si>
  <si>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</si>
  <si>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</si>
  <si>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</si>
  <si>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</si>
  <si>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</si>
  <si>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</si>
  <si>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</si>
  <si>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</si>
  <si>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</si>
  <si>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</si>
  <si>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</si>
  <si>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</si>
  <si>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</si>
  <si>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</si>
  <si>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</si>
  <si>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</si>
  <si>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</si>
  <si>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開始</t>
    <phoneticPr fontId="4" type="noConversion"/>
  </si>
  <si>
    <t>結束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</si>
  <si>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</si>
  <si>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</si>
  <si>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</si>
  <si>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</si>
  <si>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</si>
  <si>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</si>
  <si>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</si>
  <si>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</si>
  <si>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</si>
  <si>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</si>
  <si>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</si>
  <si>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</si>
  <si>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</si>
  <si>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</si>
  <si>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</si>
  <si>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</si>
  <si>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</si>
  <si>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</si>
  <si>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</si>
  <si>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</si>
  <si>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</si>
  <si>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</si>
  <si>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</si>
  <si>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</si>
  <si>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</si>
  <si>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</si>
  <si>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</si>
  <si>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</si>
  <si>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</si>
  <si>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</si>
  <si>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</si>
  <si>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</si>
  <si>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</si>
  <si>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</si>
  <si>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</si>
  <si>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</si>
  <si>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</si>
  <si>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</si>
  <si>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</si>
  <si>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</si>
  <si>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</si>
  <si>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</si>
  <si>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</si>
  <si>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</si>
  <si>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</si>
  <si>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</si>
  <si>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</si>
  <si>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</si>
  <si>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</si>
  <si>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</si>
  <si>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</si>
  <si>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</si>
  <si>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</si>
  <si>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</si>
  <si>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</si>
  <si>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</si>
  <si>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</si>
  <si>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</si>
  <si>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</si>
  <si>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</si>
  <si>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</si>
  <si>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</si>
  <si>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</si>
  <si>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</si>
  <si>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營業額</t>
    <phoneticPr fontId="7" type="noConversion"/>
  </si>
  <si>
    <t>產線配置圖</t>
    <phoneticPr fontId="4" type="noConversion"/>
  </si>
  <si>
    <t>生產實績</t>
    <phoneticPr fontId="4" type="noConversion"/>
  </si>
  <si>
    <t>日報登錄</t>
    <phoneticPr fontId="4" type="noConversion"/>
  </si>
  <si>
    <t>合計
次數</t>
    <phoneticPr fontId="4" type="noConversion"/>
  </si>
  <si>
    <t>多次生產數</t>
    <phoneticPr fontId="4" type="noConversion"/>
  </si>
  <si>
    <t>廠價</t>
    <phoneticPr fontId="7" type="noConversion"/>
  </si>
  <si>
    <t>營收</t>
    <phoneticPr fontId="7" type="noConversion"/>
  </si>
  <si>
    <t>人時性</t>
    <phoneticPr fontId="4" type="noConversion"/>
  </si>
  <si>
    <t>人數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</si>
  <si>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</si>
  <si>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</si>
  <si>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</si>
  <si>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</si>
  <si>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</si>
  <si>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</si>
  <si>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</si>
  <si>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</si>
  <si>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</si>
  <si>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</si>
  <si>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</si>
  <si>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</si>
  <si>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</si>
  <si>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</si>
  <si>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</si>
  <si>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</si>
  <si>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</si>
  <si>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</si>
  <si>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</si>
  <si>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</si>
  <si>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</si>
  <si>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</si>
  <si>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</si>
  <si>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</si>
  <si>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多次
生產</t>
    <phoneticPr fontId="4" type="noConversion"/>
  </si>
  <si>
    <t>人數</t>
    <phoneticPr fontId="4" type="noConversion"/>
  </si>
  <si>
    <t>休息時間</t>
    <phoneticPr fontId="4" type="noConversion"/>
  </si>
  <si>
    <t>(新豐回填)</t>
    <phoneticPr fontId="4" type="noConversion"/>
  </si>
  <si>
    <t>達成率平均</t>
    <phoneticPr fontId="4" type="noConversion"/>
  </si>
  <si>
    <t>結束</t>
    <phoneticPr fontId="4" type="noConversion"/>
  </si>
  <si>
    <t>次數</t>
    <phoneticPr fontId="13" type="noConversion"/>
  </si>
  <si>
    <t>設備因素(次數)</t>
    <phoneticPr fontId="13" type="noConversion"/>
  </si>
  <si>
    <t>新豐6線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</si>
  <si>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</si>
  <si>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</si>
  <si>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</si>
  <si>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</si>
  <si>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</si>
  <si>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</si>
  <si>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</si>
  <si>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</si>
  <si>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</si>
  <si>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</si>
  <si>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</si>
  <si>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</si>
  <si>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</si>
  <si>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</si>
  <si>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</si>
  <si>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</si>
  <si>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</si>
  <si>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</si>
  <si>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</si>
  <si>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</si>
  <si>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</si>
  <si>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</si>
  <si>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</si>
  <si>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</si>
  <si>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</si>
  <si>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</si>
  <si>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</si>
  <si>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</si>
  <si>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</si>
  <si>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</si>
  <si>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</si>
  <si>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</si>
  <si>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</si>
  <si>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</si>
  <si>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</si>
  <si>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</si>
  <si>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</si>
  <si>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</si>
  <si>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</si>
  <si>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</si>
  <si>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</si>
  <si>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</si>
  <si>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</si>
  <si>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</si>
  <si>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</si>
  <si>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</si>
  <si>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</si>
  <si>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</si>
  <si>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</si>
  <si>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</si>
  <si>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</si>
  <si>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</si>
  <si>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</si>
  <si>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</si>
  <si>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</si>
  <si>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</si>
  <si>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</si>
  <si>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</si>
  <si>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</si>
  <si>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</si>
  <si>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</si>
  <si>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</si>
  <si>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</si>
  <si>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</si>
  <si>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產能/時</t>
    <phoneticPr fontId="4" type="noConversion"/>
  </si>
  <si>
    <t>人數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</si>
  <si>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</si>
  <si>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</si>
  <si>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</si>
  <si>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產線異常統計
(5分鐘以上)</t>
    <phoneticPr fontId="4" type="noConversion"/>
  </si>
  <si>
    <t>短暫停線統計
(5分鐘以下)</t>
    <phoneticPr fontId="4" type="noConversion"/>
  </si>
  <si>
    <t>達成率</t>
    <phoneticPr fontId="4" type="noConversion"/>
  </si>
  <si>
    <t>開始</t>
    <phoneticPr fontId="4" type="noConversion"/>
  </si>
  <si>
    <t>時間/分</t>
    <phoneticPr fontId="13" type="noConversion"/>
  </si>
  <si>
    <t>總次數</t>
    <phoneticPr fontId="13" type="noConversion"/>
  </si>
  <si>
    <t>新豐2線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</si>
  <si>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</si>
  <si>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</si>
  <si>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</si>
  <si>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</si>
  <si>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</si>
  <si>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</si>
  <si>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</si>
  <si>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</si>
  <si>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</si>
  <si>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</si>
  <si>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</si>
  <si>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營業額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</si>
  <si>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</si>
  <si>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</si>
  <si>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</si>
  <si>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</si>
  <si>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</si>
  <si>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</si>
  <si>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</si>
  <si>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</si>
  <si>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</si>
  <si>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</si>
  <si>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</si>
  <si>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</si>
  <si>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</si>
  <si>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</si>
  <si>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實績</t>
    <phoneticPr fontId="3" type="noConversion"/>
  </si>
  <si>
    <t>作業
時間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</si>
  <si>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</si>
  <si>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</si>
  <si>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</si>
  <si>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</si>
  <si>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</si>
  <si>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</si>
  <si>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</si>
  <si>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</si>
  <si>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</si>
  <si>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</si>
  <si>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</si>
  <si>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</si>
  <si>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</si>
  <si>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</si>
  <si>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</si>
  <si>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</si>
  <si>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</si>
  <si>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</si>
  <si>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</si>
  <si>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</si>
  <si>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</si>
  <si>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</si>
  <si>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</si>
  <si>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</si>
  <si>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</si>
  <si>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</si>
  <si>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</si>
  <si>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</si>
  <si>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</si>
  <si>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</si>
  <si>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</si>
  <si>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</si>
  <si>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</si>
  <si>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</si>
  <si>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</si>
  <si>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</si>
  <si>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</si>
  <si>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</si>
  <si>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</si>
  <si>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</si>
  <si>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</si>
  <si>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</si>
  <si>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</si>
  <si>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</si>
  <si>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</si>
  <si>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</si>
  <si>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</si>
  <si>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</si>
  <si>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</si>
  <si>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</si>
  <si>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</si>
  <si>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</si>
  <si>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</si>
  <si>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</si>
  <si>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</si>
  <si>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訂單量</t>
    <phoneticPr fontId="3" type="noConversion"/>
  </si>
  <si>
    <t>營業額</t>
    <phoneticPr fontId="3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</si>
  <si>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</si>
  <si>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</si>
  <si>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</si>
  <si>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</si>
  <si>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</si>
  <si>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</si>
  <si>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</si>
  <si>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</si>
  <si>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</si>
  <si>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</si>
  <si>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</si>
  <si>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</si>
  <si>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</si>
  <si>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</si>
  <si>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人時性差異分析</t>
    <phoneticPr fontId="4" type="noConversion"/>
  </si>
  <si>
    <t>日報登錄</t>
    <phoneticPr fontId="4" type="noConversion"/>
  </si>
  <si>
    <t>合計
時間/分</t>
    <phoneticPr fontId="3" type="noConversion"/>
  </si>
  <si>
    <t>合計
次數</t>
    <phoneticPr fontId="4" type="noConversion"/>
  </si>
  <si>
    <t>產能差異分析</t>
    <phoneticPr fontId="4" type="noConversion"/>
  </si>
  <si>
    <t>人時性</t>
    <phoneticPr fontId="4" type="noConversion"/>
  </si>
  <si>
    <t>線別</t>
    <phoneticPr fontId="3" type="noConversion"/>
  </si>
  <si>
    <t>營收</t>
    <phoneticPr fontId="7" type="noConversion"/>
  </si>
  <si>
    <t>產能/時</t>
    <phoneticPr fontId="4" type="noConversion"/>
  </si>
  <si>
    <t>人數</t>
    <phoneticPr fontId="4" type="noConversion"/>
  </si>
  <si>
    <t>稼動時間/分</t>
    <phoneticPr fontId="4" type="noConversion"/>
  </si>
  <si>
    <t>休息時間</t>
    <phoneticPr fontId="4" type="noConversion"/>
  </si>
  <si>
    <t>(新豐回填)</t>
    <phoneticPr fontId="4" type="noConversion"/>
  </si>
  <si>
    <t>開始</t>
    <phoneticPr fontId="4" type="noConversion"/>
  </si>
  <si>
    <t>總次數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</si>
  <si>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</si>
  <si>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</si>
  <si>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</si>
  <si>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</si>
  <si>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</si>
  <si>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</si>
  <si>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</si>
  <si>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</si>
  <si>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</si>
  <si>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</si>
  <si>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</si>
  <si>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</si>
  <si>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</si>
  <si>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</si>
  <si>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</si>
  <si>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</si>
  <si>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</si>
  <si>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t>日期</t>
    <phoneticPr fontId="3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</si>
  <si>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</si>
  <si>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</si>
  <si>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</si>
  <si>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</si>
  <si>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</si>
  <si>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</si>
  <si>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</si>
  <si>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</si>
  <si>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</si>
  <si>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次數</t>
    <phoneticPr fontId="13" type="noConversion"/>
  </si>
  <si>
    <t>L型包裝機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</si>
  <si>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</si>
  <si>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</si>
  <si>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</si>
  <si>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</si>
  <si>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</si>
  <si>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</si>
  <si>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</si>
  <si>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</si>
  <si>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</si>
  <si>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</si>
  <si>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</si>
  <si>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</si>
  <si>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</si>
  <si>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</si>
  <si>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</si>
  <si>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</si>
  <si>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</si>
  <si>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</si>
  <si>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</si>
  <si>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</si>
  <si>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</si>
  <si>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</si>
  <si>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</si>
  <si>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</si>
  <si>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</si>
  <si>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</si>
  <si>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</si>
  <si>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</si>
  <si>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</si>
  <si>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</si>
  <si>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</si>
  <si>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</si>
  <si>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</si>
  <si>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</si>
  <si>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</si>
  <si>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</si>
  <si>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</si>
  <si>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</si>
  <si>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</si>
  <si>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</si>
  <si>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</si>
  <si>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</si>
  <si>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</si>
  <si>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</si>
  <si>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</si>
  <si>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</si>
  <si>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</si>
  <si>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</si>
  <si>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</si>
  <si>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</si>
  <si>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</si>
  <si>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</si>
  <si>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</si>
  <si>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</si>
  <si>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</si>
  <si>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</si>
  <si>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</si>
  <si>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</si>
  <si>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</si>
  <si>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</si>
  <si>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</si>
  <si>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</si>
  <si>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</si>
  <si>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</si>
  <si>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</si>
  <si>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</si>
  <si>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</si>
  <si>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</si>
  <si>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</si>
  <si>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</si>
  <si>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</si>
  <si>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</si>
  <si>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</si>
  <si>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</si>
  <si>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</si>
  <si>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</si>
  <si>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</si>
  <si>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</si>
  <si>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</si>
  <si>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</si>
  <si>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</si>
  <si>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</si>
  <si>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</si>
  <si>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</si>
  <si>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</si>
  <si>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</si>
  <si>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</si>
  <si>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</si>
  <si>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</si>
  <si>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</si>
  <si>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</si>
  <si>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</si>
  <si>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</si>
  <si>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</si>
  <si>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</si>
  <si>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</si>
  <si>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</si>
  <si>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</si>
  <si>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</si>
  <si>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</si>
  <si>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</si>
  <si>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</si>
  <si>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</si>
  <si>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</si>
  <si>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</si>
  <si>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</si>
  <si>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</si>
  <si>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</si>
  <si>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</si>
  <si>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</si>
  <si>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</si>
  <si>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</si>
  <si>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</si>
  <si>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</si>
  <si>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</si>
  <si>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</si>
  <si>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</si>
  <si>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</si>
  <si>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</si>
  <si>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</si>
  <si>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</si>
  <si>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</si>
  <si>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</si>
  <si>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</si>
  <si>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</si>
  <si>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</si>
  <si>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</si>
  <si>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</si>
  <si>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</si>
  <si>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</si>
  <si>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</si>
  <si>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</si>
  <si>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</si>
  <si>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</si>
  <si>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</si>
  <si>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</si>
  <si>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</si>
  <si>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</si>
  <si>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</si>
  <si>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新豐5線</t>
    <phoneticPr fontId="4" type="noConversion"/>
  </si>
  <si>
    <t>嫩烤魚排佐花椰菜義大利麵</t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</si>
  <si>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</si>
  <si>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</si>
  <si>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</si>
  <si>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</si>
  <si>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</si>
  <si>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金沙醬牛豚雙饗飯</t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</si>
  <si>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</si>
  <si>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</si>
  <si>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</si>
  <si>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</si>
  <si>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</si>
  <si>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</si>
  <si>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</si>
  <si>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</si>
  <si>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</si>
  <si>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</si>
  <si>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</si>
  <si>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</si>
  <si>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</si>
  <si>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</si>
  <si>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</si>
  <si>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</si>
  <si>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</si>
  <si>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</si>
  <si>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</si>
  <si>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</si>
  <si>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</si>
  <si>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</si>
  <si>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</si>
  <si>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</si>
  <si>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</si>
  <si>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</si>
  <si>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</si>
  <si>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</si>
  <si>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</si>
  <si>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</si>
  <si>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</si>
  <si>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</si>
  <si>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</si>
  <si>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</si>
  <si>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</si>
  <si>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</si>
  <si>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</si>
  <si>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</si>
  <si>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</si>
  <si>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</si>
  <si>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</si>
  <si>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備註</t>
    <phoneticPr fontId="3" type="noConversion"/>
  </si>
  <si>
    <t>握沙拉</t>
    <phoneticPr fontId="4" type="noConversion"/>
  </si>
  <si>
    <t>調理麵包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</si>
  <si>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</si>
  <si>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</si>
  <si>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</si>
  <si>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</si>
  <si>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</si>
  <si>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人時性差異分析</t>
    <phoneticPr fontId="4" type="noConversion"/>
  </si>
  <si>
    <t>產能差異分析</t>
    <phoneticPr fontId="4" type="noConversion"/>
  </si>
  <si>
    <t>多次生產數</t>
    <phoneticPr fontId="4" type="noConversion"/>
  </si>
  <si>
    <t>品類</t>
    <phoneticPr fontId="4" type="noConversion"/>
  </si>
  <si>
    <t>廠價</t>
    <phoneticPr fontId="7" type="noConversion"/>
  </si>
  <si>
    <t>生產量</t>
    <phoneticPr fontId="4" type="noConversion"/>
  </si>
  <si>
    <t>人數</t>
    <phoneticPr fontId="4" type="noConversion"/>
  </si>
  <si>
    <t>達成率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</si>
  <si>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</si>
  <si>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</si>
  <si>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</si>
  <si>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</si>
  <si>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</si>
  <si>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</si>
  <si>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</si>
  <si>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</si>
  <si>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</si>
  <si>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</si>
  <si>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時間/分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</si>
  <si>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</si>
  <si>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</si>
  <si>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</si>
  <si>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</si>
  <si>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</si>
  <si>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</si>
  <si>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</si>
  <si>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</si>
  <si>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</si>
  <si>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</si>
  <si>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</si>
  <si>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</si>
  <si>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</si>
  <si>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</si>
  <si>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</si>
  <si>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</si>
  <si>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</si>
  <si>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</si>
  <si>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</si>
  <si>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</si>
  <si>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</si>
  <si>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</si>
  <si>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</si>
  <si>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</si>
  <si>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</si>
  <si>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</si>
  <si>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</si>
  <si>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</si>
  <si>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</si>
  <si>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</si>
  <si>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</si>
  <si>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</si>
  <si>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</si>
  <si>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</si>
  <si>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</si>
  <si>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</si>
  <si>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</si>
  <si>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</si>
  <si>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</si>
  <si>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</si>
  <si>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</si>
  <si>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</si>
  <si>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</si>
  <si>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</si>
  <si>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</si>
  <si>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</si>
  <si>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</si>
  <si>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</si>
  <si>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</si>
  <si>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</si>
  <si>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</si>
  <si>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</si>
  <si>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</si>
  <si>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</si>
  <si>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</si>
  <si>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</si>
  <si>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</si>
  <si>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</si>
  <si>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</si>
  <si>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</si>
  <si>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</si>
  <si>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</si>
  <si>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</si>
  <si>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</si>
  <si>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</si>
  <si>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</si>
  <si>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</si>
  <si>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</si>
  <si>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</si>
  <si>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</si>
  <si>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</si>
  <si>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</si>
  <si>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</si>
  <si>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</si>
  <si>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</si>
  <si>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</si>
  <si>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</si>
  <si>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</si>
  <si>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</si>
  <si>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</si>
  <si>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</si>
  <si>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</si>
  <si>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</si>
  <si>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</si>
  <si>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</si>
  <si>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</si>
  <si>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</si>
  <si>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</si>
  <si>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</si>
  <si>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</si>
  <si>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</si>
  <si>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</si>
  <si>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廠價</t>
    <phoneticPr fontId="7" type="noConversion"/>
  </si>
  <si>
    <t>營收</t>
    <phoneticPr fontId="7" type="noConversion"/>
  </si>
  <si>
    <t>多次
生產</t>
    <phoneticPr fontId="4" type="noConversion"/>
  </si>
  <si>
    <t>人時性</t>
    <phoneticPr fontId="4" type="noConversion"/>
  </si>
  <si>
    <t>人數</t>
    <phoneticPr fontId="4" type="noConversion"/>
  </si>
  <si>
    <t>人時性</t>
    <phoneticPr fontId="4" type="noConversion"/>
  </si>
  <si>
    <t>人數</t>
    <phoneticPr fontId="4" type="noConversion"/>
  </si>
  <si>
    <t>人時性</t>
    <phoneticPr fontId="4" type="noConversion"/>
  </si>
  <si>
    <t>稼動時間/分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</si>
  <si>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</si>
  <si>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</si>
  <si>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</si>
  <si>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</si>
  <si>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</si>
  <si>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</si>
  <si>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</si>
  <si>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</si>
  <si>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</si>
  <si>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</si>
  <si>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</si>
  <si>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</si>
  <si>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</si>
  <si>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</si>
  <si>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</si>
  <si>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</si>
  <si>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</si>
  <si>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</si>
  <si>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</si>
  <si>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</si>
  <si>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</si>
  <si>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</si>
  <si>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</si>
  <si>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</si>
  <si>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</si>
  <si>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</si>
  <si>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</si>
  <si>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</si>
  <si>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</si>
  <si>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</si>
  <si>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</si>
  <si>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</si>
  <si>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</si>
  <si>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</si>
  <si>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</si>
  <si>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新豐10線</t>
    <phoneticPr fontId="4" type="noConversion"/>
  </si>
  <si>
    <t>平均</t>
    <phoneticPr fontId="4" type="noConversion"/>
  </si>
  <si>
    <t>新豐4線</t>
    <phoneticPr fontId="4" type="noConversion"/>
  </si>
  <si>
    <t>新豐4線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</si>
  <si>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</si>
  <si>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</si>
  <si>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</si>
  <si>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</si>
  <si>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</si>
  <si>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</si>
  <si>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</si>
  <si>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➁</t>
    <phoneticPr fontId="4" type="noConversion"/>
  </si>
  <si>
    <t>➂</t>
    <phoneticPr fontId="4" type="noConversion"/>
  </si>
  <si>
    <t>短暫停線</t>
    <phoneticPr fontId="4" type="noConversion"/>
  </si>
  <si>
    <t>全溫層</t>
    <phoneticPr fontId="3" type="noConversion"/>
  </si>
  <si>
    <t>4度C-各編組展開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</si>
  <si>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</si>
  <si>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</si>
  <si>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</si>
  <si>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</si>
  <si>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</si>
  <si>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</si>
  <si>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</si>
  <si>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</si>
  <si>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</si>
  <si>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</si>
  <si>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</si>
  <si>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</si>
  <si>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</si>
  <si>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</si>
  <si>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</si>
  <si>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</si>
  <si>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</si>
  <si>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</si>
  <si>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</si>
  <si>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</si>
  <si>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</si>
  <si>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</si>
  <si>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</si>
  <si>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</si>
  <si>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</si>
  <si>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</si>
  <si>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</si>
  <si>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</si>
  <si>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</si>
  <si>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</si>
  <si>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人時性差異分析</t>
    <phoneticPr fontId="4" type="noConversion"/>
  </si>
  <si>
    <t>日報登錄</t>
    <phoneticPr fontId="4" type="noConversion"/>
  </si>
  <si>
    <t>產線異常
分析說明(5分鐘以上)</t>
    <phoneticPr fontId="4" type="noConversion"/>
  </si>
  <si>
    <t>合計
設備次數</t>
    <phoneticPr fontId="3" type="noConversion"/>
  </si>
  <si>
    <t>廠價</t>
    <phoneticPr fontId="7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</si>
  <si>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</si>
  <si>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</si>
  <si>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</si>
  <si>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</si>
  <si>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</si>
  <si>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</si>
  <si>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</si>
  <si>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</si>
  <si>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</si>
  <si>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</si>
  <si>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</si>
  <si>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</si>
  <si>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</si>
  <si>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</si>
  <si>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</si>
  <si>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</si>
  <si>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平均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</si>
  <si>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</si>
  <si>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</si>
  <si>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</si>
  <si>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</si>
  <si>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</si>
  <si>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</si>
  <si>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</si>
  <si>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</si>
  <si>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新豐9線</t>
    <phoneticPr fontId="4" type="noConversion"/>
  </si>
  <si>
    <t>新豐9線</t>
    <phoneticPr fontId="4" type="noConversion"/>
  </si>
  <si>
    <t>新豐3線</t>
    <phoneticPr fontId="4" type="noConversion"/>
  </si>
  <si>
    <t>新豐3線</t>
    <phoneticPr fontId="4" type="noConversion"/>
  </si>
  <si>
    <t>新豐3線</t>
    <phoneticPr fontId="4" type="noConversion"/>
  </si>
  <si>
    <t>新豐1線</t>
    <phoneticPr fontId="4" type="noConversion"/>
  </si>
  <si>
    <t>新豐1線</t>
    <phoneticPr fontId="4" type="noConversion"/>
  </si>
  <si>
    <t>平均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</si>
  <si>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</si>
  <si>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</si>
  <si>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</si>
  <si>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</si>
  <si>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</si>
  <si>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</si>
  <si>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</si>
  <si>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</si>
  <si>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</si>
  <si>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</si>
  <si>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</si>
  <si>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</si>
  <si>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</si>
  <si>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</si>
  <si>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</si>
  <si>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</si>
  <si>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</si>
  <si>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</si>
  <si>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</si>
  <si>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</si>
  <si>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</si>
  <si>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</si>
  <si>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</si>
  <si>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</si>
  <si>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</si>
  <si>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</si>
  <si>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</si>
  <si>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</si>
  <si>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</si>
  <si>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</si>
  <si>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</si>
  <si>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</si>
  <si>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</si>
  <si>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</si>
  <si>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</si>
  <si>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</si>
  <si>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</si>
  <si>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</si>
  <si>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</si>
  <si>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</si>
  <si>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</si>
  <si>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</si>
  <si>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</si>
  <si>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</si>
  <si>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</si>
  <si>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</si>
  <si>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</si>
  <si>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</si>
  <si>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</si>
  <si>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</si>
  <si>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</si>
  <si>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</si>
  <si>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</si>
  <si>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</si>
  <si>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</si>
  <si>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</si>
  <si>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</si>
  <si>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</si>
  <si>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</si>
  <si>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</si>
  <si>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</si>
  <si>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</si>
  <si>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</si>
  <si>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</si>
  <si>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</si>
  <si>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</si>
  <si>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</si>
  <si>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</si>
  <si>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</si>
  <si>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</si>
  <si>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</si>
  <si>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</si>
  <si>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</si>
  <si>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</si>
  <si>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</si>
  <si>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</si>
  <si>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</si>
  <si>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</si>
  <si>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</si>
  <si>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</si>
  <si>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</si>
  <si>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</si>
  <si>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</si>
  <si>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</si>
  <si>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</si>
  <si>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</si>
  <si>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</si>
  <si>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</si>
  <si>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</si>
  <si>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</si>
  <si>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</si>
  <si>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</si>
  <si>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</si>
  <si>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</si>
  <si>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新豐7線</t>
    <phoneticPr fontId="4" type="noConversion"/>
  </si>
  <si>
    <t>新豐7線</t>
    <phoneticPr fontId="4" type="noConversion"/>
  </si>
  <si>
    <t>新豐7線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</si>
  <si>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</si>
  <si>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</si>
  <si>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</si>
  <si>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</si>
  <si>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</si>
  <si>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</si>
  <si>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</si>
  <si>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</si>
  <si>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</si>
  <si>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</si>
  <si>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</si>
  <si>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</si>
  <si>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</si>
  <si>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</si>
  <si>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</si>
  <si>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</si>
  <si>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</si>
  <si>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</si>
  <si>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</si>
  <si>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</si>
  <si>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</si>
  <si>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</si>
  <si>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</si>
  <si>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</si>
  <si>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</si>
  <si>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編組</t>
    <phoneticPr fontId="3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</si>
  <si>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</si>
  <si>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</si>
  <si>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</si>
  <si>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</si>
  <si>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</si>
  <si>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</si>
  <si>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</si>
  <si>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</si>
  <si>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</si>
  <si>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</si>
  <si>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</si>
  <si>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設備次數</t>
    <phoneticPr fontId="13" type="noConversion"/>
  </si>
  <si>
    <t>主要應用設備</t>
    <phoneticPr fontId="3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</si>
  <si>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</si>
  <si>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</si>
  <si>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</si>
  <si>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</si>
  <si>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</si>
  <si>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</si>
  <si>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</si>
  <si>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炒飯+沙拉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</si>
  <si>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</si>
  <si>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</si>
  <si>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</si>
  <si>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</si>
  <si>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</si>
  <si>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</si>
  <si>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</si>
  <si>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</si>
  <si>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</si>
  <si>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</si>
  <si>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</si>
  <si>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</si>
  <si>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</si>
  <si>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</si>
  <si>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</si>
  <si>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</si>
  <si>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</si>
  <si>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</si>
  <si>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</si>
  <si>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</si>
  <si>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</si>
  <si>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</si>
  <si>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</si>
  <si>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</si>
  <si>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</si>
  <si>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</si>
  <si>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</si>
  <si>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</si>
  <si>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</si>
  <si>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</si>
  <si>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</si>
  <si>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產能/時</t>
    <phoneticPr fontId="4" type="noConversion"/>
  </si>
  <si>
    <t>達成率</t>
    <phoneticPr fontId="4" type="noConversion"/>
  </si>
  <si>
    <t>達成率平均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</si>
  <si>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</si>
  <si>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</si>
  <si>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</si>
  <si>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</si>
  <si>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</si>
  <si>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</si>
  <si>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</si>
  <si>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</si>
  <si>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</si>
  <si>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</si>
  <si>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</si>
  <si>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</si>
  <si>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</si>
  <si>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平均</t>
    <phoneticPr fontId="4" type="noConversion"/>
  </si>
  <si>
    <t>新豐7線</t>
    <phoneticPr fontId="4" type="noConversion"/>
  </si>
  <si>
    <t>新豐8線</t>
    <phoneticPr fontId="4" type="noConversion"/>
  </si>
  <si>
    <t>新豐8線</t>
    <phoneticPr fontId="4" type="noConversion"/>
  </si>
  <si>
    <t>新豐9線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</si>
  <si>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</si>
  <si>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</si>
  <si>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</si>
  <si>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新豐4線</t>
    <phoneticPr fontId="4" type="noConversion"/>
  </si>
  <si>
    <r>
      <t xml:space="preserve">屏榮 </t>
    </r>
    <r>
      <rPr>
        <b/>
        <sz val="26"/>
        <color rgb="FFFF0000"/>
        <rFont val="微軟正黑體"/>
        <family val="2"/>
        <charset val="136"/>
      </rPr>
      <t>新豐廠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3" type="noConversion"/>
  </si>
  <si>
    <t>日期</t>
    <phoneticPr fontId="3" type="noConversion"/>
  </si>
  <si>
    <t>訂單量</t>
    <phoneticPr fontId="3" type="noConversion"/>
  </si>
  <si>
    <t>營業額</t>
    <phoneticPr fontId="3" type="noConversion"/>
  </si>
  <si>
    <t>人時性</t>
    <phoneticPr fontId="3" type="noConversion"/>
  </si>
  <si>
    <t>項目</t>
    <phoneticPr fontId="4" type="noConversion"/>
  </si>
  <si>
    <t>➀</t>
    <phoneticPr fontId="4" type="noConversion"/>
  </si>
  <si>
    <t>➁</t>
    <phoneticPr fontId="4" type="noConversion"/>
  </si>
  <si>
    <t>➂</t>
    <phoneticPr fontId="4" type="noConversion"/>
  </si>
  <si>
    <t>異常停線</t>
    <phoneticPr fontId="4" type="noConversion"/>
  </si>
  <si>
    <t>短暫停線</t>
    <phoneticPr fontId="4" type="noConversion"/>
  </si>
  <si>
    <t>組合室</t>
    <phoneticPr fontId="3" type="noConversion"/>
  </si>
  <si>
    <t>全溫層</t>
    <phoneticPr fontId="3" type="noConversion"/>
  </si>
  <si>
    <t>4度C-各編組展開</t>
    <phoneticPr fontId="3" type="noConversion"/>
  </si>
  <si>
    <t>③三明治-各編組展開</t>
    <phoneticPr fontId="3" type="noConversion"/>
  </si>
  <si>
    <t>合計次數</t>
    <phoneticPr fontId="4" type="noConversion"/>
  </si>
  <si>
    <t>時間</t>
    <phoneticPr fontId="3" type="noConversion"/>
  </si>
  <si>
    <t>合計次數</t>
    <phoneticPr fontId="4" type="noConversion"/>
  </si>
  <si>
    <t>設備次數</t>
    <phoneticPr fontId="3" type="noConversion"/>
  </si>
  <si>
    <t>※現行日本鮮食廠以達成率80%為基本(即為現行KPI)</t>
    <phoneticPr fontId="4" type="noConversion"/>
  </si>
  <si>
    <t>溫層</t>
    <phoneticPr fontId="3" type="noConversion"/>
  </si>
  <si>
    <t>➁4度C-各編組展開</t>
    <phoneticPr fontId="3" type="noConversion"/>
  </si>
  <si>
    <t>③三明治-各編組展開</t>
    <phoneticPr fontId="4" type="noConversion"/>
  </si>
  <si>
    <t>人時性</t>
    <phoneticPr fontId="4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</si>
  <si>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</si>
  <si>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</si>
  <si>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</si>
  <si>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</si>
  <si>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</si>
  <si>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</si>
  <si>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3" type="noConversion"/>
  </si>
  <si>
    <t>次數</t>
    <phoneticPr fontId="13" type="noConversion"/>
  </si>
  <si>
    <t>時間/分</t>
    <phoneticPr fontId="13" type="noConversion"/>
  </si>
  <si>
    <t>短暫停線
(5分鐘以下)</t>
    <phoneticPr fontId="13" type="noConversion"/>
  </si>
  <si>
    <t>次數</t>
    <phoneticPr fontId="13" type="noConversion"/>
  </si>
  <si>
    <t>設備次數</t>
    <phoneticPr fontId="13" type="noConversion"/>
  </si>
  <si>
    <t>配置人數</t>
    <phoneticPr fontId="3" type="noConversion"/>
  </si>
  <si>
    <t>主要應用設備</t>
    <phoneticPr fontId="3" type="noConversion"/>
  </si>
  <si>
    <t>L型包裝機</t>
    <phoneticPr fontId="4" type="noConversion"/>
  </si>
  <si>
    <t>L型包裝機</t>
    <phoneticPr fontId="4" type="noConversion"/>
  </si>
  <si>
    <t>三明治包裝機</t>
    <phoneticPr fontId="4" type="noConversion"/>
  </si>
  <si>
    <t>次要應用設備</t>
    <phoneticPr fontId="3" type="noConversion"/>
  </si>
  <si>
    <t>圓盤機</t>
    <phoneticPr fontId="4" type="noConversion"/>
  </si>
  <si>
    <t>備註</t>
    <phoneticPr fontId="3" type="noConversion"/>
  </si>
  <si>
    <t>握沙拉</t>
    <phoneticPr fontId="4" type="noConversion"/>
  </si>
  <si>
    <t>共用L型包裝機</t>
    <phoneticPr fontId="4" type="noConversion"/>
  </si>
  <si>
    <t>調理麵包</t>
    <phoneticPr fontId="4" type="noConversion"/>
  </si>
  <si>
    <t>炒飯+沙拉</t>
    <phoneticPr fontId="4" type="noConversion"/>
  </si>
  <si>
    <t>調理麵包</t>
    <phoneticPr fontId="4" type="noConversion"/>
  </si>
  <si>
    <t xml:space="preserve">新豐廠四度C日報分析                              </t>
    <phoneticPr fontId="4" type="noConversion"/>
  </si>
  <si>
    <t>總生產量</t>
    <phoneticPr fontId="4" type="noConversion"/>
  </si>
  <si>
    <t>營業額</t>
    <phoneticPr fontId="7" type="noConversion"/>
  </si>
  <si>
    <t>出勤人數</t>
    <phoneticPr fontId="4" type="noConversion"/>
  </si>
  <si>
    <t>產線配置圖</t>
    <phoneticPr fontId="4" type="noConversion"/>
  </si>
  <si>
    <t>生產實績</t>
    <phoneticPr fontId="4" type="noConversion"/>
  </si>
  <si>
    <t>人時性差異分析</t>
    <phoneticPr fontId="4" type="noConversion"/>
  </si>
  <si>
    <t>日報登錄</t>
    <phoneticPr fontId="4" type="noConversion"/>
  </si>
  <si>
    <t>合計
次數</t>
    <phoneticPr fontId="4" type="noConversion"/>
  </si>
  <si>
    <t>合計
時間/分</t>
    <phoneticPr fontId="3" type="noConversion"/>
  </si>
  <si>
    <t>產線異常
分析說明(5分鐘以上)</t>
    <phoneticPr fontId="4" type="noConversion"/>
  </si>
  <si>
    <t>合計
設備次數</t>
    <phoneticPr fontId="3" type="noConversion"/>
  </si>
  <si>
    <t>產能差異分析</t>
    <phoneticPr fontId="4" type="noConversion"/>
  </si>
  <si>
    <t>人時性</t>
    <phoneticPr fontId="4" type="noConversion"/>
  </si>
  <si>
    <t>多次生產數</t>
    <phoneticPr fontId="4" type="noConversion"/>
  </si>
  <si>
    <t>線別</t>
    <phoneticPr fontId="3" type="noConversion"/>
  </si>
  <si>
    <t>品類</t>
    <phoneticPr fontId="4" type="noConversion"/>
  </si>
  <si>
    <t>品名</t>
    <phoneticPr fontId="3" type="noConversion"/>
  </si>
  <si>
    <t>廠價</t>
    <phoneticPr fontId="7" type="noConversion"/>
  </si>
  <si>
    <t>生產量</t>
    <phoneticPr fontId="4" type="noConversion"/>
  </si>
  <si>
    <t>營收</t>
    <phoneticPr fontId="7" type="noConversion"/>
  </si>
  <si>
    <t>多次
生產</t>
    <phoneticPr fontId="4" type="noConversion"/>
  </si>
  <si>
    <t>人數</t>
    <phoneticPr fontId="4" type="noConversion"/>
  </si>
  <si>
    <t>產能/時</t>
    <phoneticPr fontId="4" type="noConversion"/>
  </si>
  <si>
    <t>人時性</t>
    <phoneticPr fontId="4" type="noConversion"/>
  </si>
  <si>
    <t>人數</t>
    <phoneticPr fontId="4" type="noConversion"/>
  </si>
  <si>
    <t>達成率</t>
    <phoneticPr fontId="4" type="noConversion"/>
  </si>
  <si>
    <t>達成率平均</t>
    <phoneticPr fontId="4" type="noConversion"/>
  </si>
  <si>
    <t>稼動時間/分</t>
    <phoneticPr fontId="4" type="noConversion"/>
  </si>
  <si>
    <t>休息時間</t>
    <phoneticPr fontId="4" type="noConversion"/>
  </si>
  <si>
    <t>產線異常統計
(5分鐘以上)</t>
    <phoneticPr fontId="4" type="noConversion"/>
  </si>
  <si>
    <t>(新豐回填)</t>
    <phoneticPr fontId="4" type="noConversion"/>
  </si>
  <si>
    <t>短暫停線統計
(5分鐘以下)</t>
    <phoneticPr fontId="4" type="noConversion"/>
  </si>
  <si>
    <t>達成率</t>
    <phoneticPr fontId="4" type="noConversion"/>
  </si>
  <si>
    <t>開始</t>
    <phoneticPr fontId="4" type="noConversion"/>
  </si>
  <si>
    <t>結束</t>
    <phoneticPr fontId="4" type="noConversion"/>
  </si>
  <si>
    <t>次數</t>
    <phoneticPr fontId="13" type="noConversion"/>
  </si>
  <si>
    <t>時間/分</t>
    <phoneticPr fontId="13" type="noConversion"/>
  </si>
  <si>
    <t>總次數</t>
    <phoneticPr fontId="13" type="noConversion"/>
  </si>
  <si>
    <t>設備因素(次數)</t>
    <phoneticPr fontId="13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</si>
  <si>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</si>
  <si>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</si>
  <si>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</si>
  <si>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新豐6線</t>
    <phoneticPr fontId="4" type="noConversion"/>
  </si>
  <si>
    <t>平均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</si>
  <si>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</si>
  <si>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</si>
  <si>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</si>
  <si>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新豐2線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</si>
  <si>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</si>
  <si>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</si>
  <si>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</si>
  <si>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新豐5線</t>
    <phoneticPr fontId="4" type="noConversion"/>
  </si>
  <si>
    <t>二配叉燒蛋炒飯</t>
  </si>
  <si>
    <t>平均</t>
    <phoneticPr fontId="4" type="noConversion"/>
  </si>
  <si>
    <t>新豐7線</t>
    <phoneticPr fontId="4" type="noConversion"/>
  </si>
  <si>
    <t>新豐7線</t>
    <phoneticPr fontId="4" type="noConversion"/>
  </si>
  <si>
    <t>平均</t>
    <phoneticPr fontId="4" type="noConversion"/>
  </si>
  <si>
    <t>新豐8線</t>
    <phoneticPr fontId="4" type="noConversion"/>
  </si>
  <si>
    <t>新豐8線</t>
    <phoneticPr fontId="4" type="noConversion"/>
  </si>
  <si>
    <t>平均</t>
    <phoneticPr fontId="4" type="noConversion"/>
  </si>
  <si>
    <t>新豐9線</t>
    <phoneticPr fontId="4" type="noConversion"/>
  </si>
  <si>
    <t>新豐9線</t>
    <phoneticPr fontId="4" type="noConversion"/>
  </si>
  <si>
    <t>平均</t>
    <phoneticPr fontId="4" type="noConversion"/>
  </si>
  <si>
    <t>新豐3線</t>
    <phoneticPr fontId="4" type="noConversion"/>
  </si>
  <si>
    <t>新豐1線</t>
    <phoneticPr fontId="4" type="noConversion"/>
  </si>
  <si>
    <t>新豐10線</t>
    <phoneticPr fontId="4" type="noConversion"/>
  </si>
  <si>
    <t>新豐10線</t>
    <phoneticPr fontId="4" type="noConversion"/>
  </si>
  <si>
    <t>新豐4線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</si>
</sst>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-* #,##0.00_-;\-* #,##0.00_-;_-* &quot;-&quot;??_-;_-@_-"/>
    <numFmt numFmtId="176" formatCode="m&quot;月&quot;d&quot;日&quot;;@"/>
    <numFmt numFmtId="177" formatCode="0.0"/>
    <numFmt numFmtId="178" formatCode="0_ "/>
    <numFmt numFmtId="179" formatCode="0.0_ "/>
    <numFmt numFmtId="180" formatCode="0.0%"/>
    <numFmt numFmtId="181" formatCode="h:mm;@"/>
    <numFmt numFmtId="182" formatCode="0_);[Red]\(0\)"/>
    <numFmt numFmtId="183" formatCode="_-* #,##0_-;\-* #,##0_-;_-* &quot;-&quot;??_-;_-@_-"/>
    <numFmt numFmtId="184" formatCode="0,000&quot;元&quot;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6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9"/>
      <name val="新細明體"/>
      <family val="1"/>
      <charset val="136"/>
    </font>
    <font>
      <sz val="18"/>
      <color theme="1"/>
      <name val="微軟正黑體"/>
      <family val="2"/>
      <charset val="136"/>
    </font>
    <font>
      <sz val="11"/>
      <name val="ＭＳ Ｐゴシック"/>
      <family val="2"/>
    </font>
    <font>
      <sz val="12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6"/>
      <name val="微軟正黑體"/>
      <family val="2"/>
      <charset val="136"/>
    </font>
    <font>
      <sz val="9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sz val="11"/>
      <color theme="1"/>
      <name val="新細明體"/>
      <family val="2"/>
      <scheme val="minor"/>
    </font>
    <font>
      <b/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6"/>
      <color theme="1"/>
      <name val="Meiryo UI"/>
      <family val="2"/>
      <charset val="128"/>
    </font>
    <font>
      <sz val="16"/>
      <color rgb="FFFF0000"/>
      <name val="微軟正黑體"/>
      <family val="2"/>
      <charset val="136"/>
    </font>
    <font>
      <sz val="20"/>
      <color theme="1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6D1A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00206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0">
    <xf numFmtId="0" fontId="0" fillId="0" borderId="0">
      <alignment vertical="center"/>
    </xf>
    <xf numFmtId="0" fontId="1" fillId="0" borderId="0">
      <alignment vertical="center"/>
    </xf>
    <xf numFmtId="0" fontId="9" fillId="0" borderId="0"/>
    <xf numFmtId="0" fontId="14" fillId="0" borderId="0">
      <alignment vertical="center"/>
    </xf>
    <xf numFmtId="9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81">
    <xf numFmtId="0" fontId="0" fillId="0" borderId="0" xfId="0">
      <alignment vertical="center"/>
    </xf>
    <xf numFmtId="0" fontId="2" fillId="0" borderId="1" xfId="1" applyFont="1" applyBorder="1">
      <alignment vertical="center"/>
    </xf>
    <xf numFmtId="0" fontId="2" fillId="0" borderId="1" xfId="1" applyFont="1" applyBorder="1" applyAlignment="1">
      <alignment horizontal="left" vertical="center"/>
    </xf>
    <xf numFmtId="0" fontId="5" fillId="3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" fontId="2" fillId="0" borderId="1" xfId="1" applyNumberFormat="1" applyFont="1" applyBorder="1" applyAlignment="1">
      <alignment horizontal="center" vertical="center"/>
    </xf>
    <xf numFmtId="0" fontId="10" fillId="0" borderId="2" xfId="2" applyFont="1" applyBorder="1" applyAlignment="1">
      <alignment horizontal="center" vertical="center" wrapText="1"/>
    </xf>
    <xf numFmtId="0" fontId="10" fillId="0" borderId="3" xfId="2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6" fillId="0" borderId="0" xfId="1" applyFont="1">
      <alignment vertical="center"/>
    </xf>
    <xf numFmtId="177" fontId="2" fillId="0" borderId="1" xfId="1" applyNumberFormat="1" applyFont="1" applyBorder="1" applyAlignment="1">
      <alignment horizontal="center" vertical="center"/>
    </xf>
    <xf numFmtId="177" fontId="11" fillId="0" borderId="1" xfId="1" applyNumberFormat="1" applyFont="1" applyBorder="1" applyAlignment="1">
      <alignment horizontal="center" vertical="center"/>
    </xf>
    <xf numFmtId="2" fontId="2" fillId="0" borderId="1" xfId="1" applyNumberFormat="1" applyFont="1" applyBorder="1">
      <alignment vertical="center"/>
    </xf>
    <xf numFmtId="0" fontId="2" fillId="0" borderId="1" xfId="1" applyFont="1" applyBorder="1" applyAlignment="1">
      <alignment horizontal="center" vertical="center"/>
    </xf>
    <xf numFmtId="178" fontId="12" fillId="0" borderId="7" xfId="2" applyNumberFormat="1" applyFont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177" fontId="6" fillId="0" borderId="1" xfId="1" applyNumberFormat="1" applyFont="1" applyBorder="1" applyAlignment="1">
      <alignment horizontal="center" vertical="center"/>
    </xf>
    <xf numFmtId="1" fontId="6" fillId="0" borderId="1" xfId="1" applyNumberFormat="1" applyFont="1" applyBorder="1" applyAlignment="1">
      <alignment horizontal="center" vertical="center"/>
    </xf>
    <xf numFmtId="178" fontId="6" fillId="0" borderId="1" xfId="1" applyNumberFormat="1" applyFont="1" applyBorder="1" applyAlignment="1">
      <alignment horizontal="center" vertical="center"/>
    </xf>
    <xf numFmtId="179" fontId="6" fillId="0" borderId="1" xfId="1" applyNumberFormat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20" fontId="6" fillId="0" borderId="1" xfId="1" applyNumberFormat="1" applyFont="1" applyBorder="1" applyAlignment="1">
      <alignment horizontal="center" vertical="center"/>
    </xf>
    <xf numFmtId="0" fontId="6" fillId="0" borderId="1" xfId="1" applyFont="1" applyBorder="1">
      <alignment vertical="center"/>
    </xf>
    <xf numFmtId="182" fontId="6" fillId="0" borderId="1" xfId="1" applyNumberFormat="1" applyFont="1" applyBorder="1" applyAlignment="1">
      <alignment horizontal="center" vertical="center"/>
    </xf>
    <xf numFmtId="20" fontId="6" fillId="0" borderId="5" xfId="1" applyNumberFormat="1" applyFont="1" applyBorder="1" applyAlignment="1">
      <alignment horizontal="center" vertical="center"/>
    </xf>
    <xf numFmtId="182" fontId="6" fillId="0" borderId="5" xfId="1" applyNumberFormat="1" applyFont="1" applyBorder="1" applyAlignment="1">
      <alignment horizontal="center" vertical="center"/>
    </xf>
    <xf numFmtId="181" fontId="6" fillId="0" borderId="1" xfId="1" applyNumberFormat="1" applyFont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6" fillId="2" borderId="1" xfId="1" applyNumberFormat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11" fillId="0" borderId="0" xfId="1" applyFont="1">
      <alignment vertical="center"/>
    </xf>
    <xf numFmtId="0" fontId="6" fillId="0" borderId="0" xfId="1" applyFont="1" applyAlignment="1">
      <alignment vertical="center" wrapText="1"/>
    </xf>
    <xf numFmtId="176" fontId="2" fillId="0" borderId="5" xfId="1" applyNumberFormat="1" applyFont="1" applyFill="1" applyBorder="1" applyAlignment="1">
      <alignment horizontal="left" vertical="center"/>
    </xf>
    <xf numFmtId="176" fontId="2" fillId="0" borderId="6" xfId="1" applyNumberFormat="1" applyFont="1" applyFill="1" applyBorder="1">
      <alignment vertical="center"/>
    </xf>
    <xf numFmtId="0" fontId="6" fillId="0" borderId="1" xfId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1" fontId="6" fillId="0" borderId="1" xfId="1" applyNumberFormat="1" applyFont="1" applyFill="1" applyBorder="1" applyAlignment="1">
      <alignment horizontal="center" vertical="center"/>
    </xf>
    <xf numFmtId="181" fontId="6" fillId="0" borderId="1" xfId="1" applyNumberFormat="1" applyFont="1" applyFill="1" applyBorder="1" applyAlignment="1">
      <alignment horizontal="center" vertical="center"/>
    </xf>
    <xf numFmtId="0" fontId="6" fillId="0" borderId="0" xfId="1" applyFont="1" applyFill="1">
      <alignment vertical="center"/>
    </xf>
    <xf numFmtId="0" fontId="6" fillId="0" borderId="1" xfId="1" applyFont="1" applyFill="1" applyBorder="1" applyAlignment="1">
      <alignment horizontal="center"/>
    </xf>
    <xf numFmtId="0" fontId="6" fillId="0" borderId="1" xfId="1" applyFont="1" applyFill="1" applyBorder="1" applyAlignment="1"/>
    <xf numFmtId="177" fontId="6" fillId="0" borderId="1" xfId="1" applyNumberFormat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6" xfId="1" applyFont="1" applyFill="1" applyBorder="1" applyAlignment="1"/>
    <xf numFmtId="3" fontId="6" fillId="0" borderId="1" xfId="1" applyNumberFormat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16" fillId="0" borderId="0" xfId="5" applyFont="1" applyAlignment="1">
      <alignment vertical="center"/>
    </xf>
    <xf numFmtId="0" fontId="6" fillId="0" borderId="0" xfId="5" applyFont="1">
      <alignment vertical="center"/>
    </xf>
    <xf numFmtId="0" fontId="16" fillId="0" borderId="0" xfId="5" applyFont="1" applyBorder="1" applyAlignment="1">
      <alignment vertical="center"/>
    </xf>
    <xf numFmtId="0" fontId="5" fillId="0" borderId="1" xfId="6" applyFont="1" applyBorder="1" applyAlignment="1">
      <alignment horizontal="center" vertical="center"/>
    </xf>
    <xf numFmtId="0" fontId="6" fillId="0" borderId="13" xfId="6" applyFont="1" applyBorder="1">
      <alignment vertical="center"/>
    </xf>
    <xf numFmtId="0" fontId="6" fillId="0" borderId="0" xfId="6" applyFont="1" applyBorder="1">
      <alignment vertical="center"/>
    </xf>
    <xf numFmtId="0" fontId="6" fillId="0" borderId="0" xfId="6" applyFont="1">
      <alignment vertical="center"/>
    </xf>
    <xf numFmtId="0" fontId="12" fillId="0" borderId="14" xfId="2" applyFont="1" applyBorder="1" applyAlignment="1">
      <alignment horizontal="center" vertical="center" wrapText="1"/>
    </xf>
    <xf numFmtId="0" fontId="12" fillId="0" borderId="15" xfId="2" applyFont="1" applyBorder="1" applyAlignment="1">
      <alignment horizontal="center" vertical="center"/>
    </xf>
    <xf numFmtId="0" fontId="6" fillId="0" borderId="0" xfId="5" applyFont="1" applyAlignment="1">
      <alignment horizontal="center" vertical="center"/>
    </xf>
    <xf numFmtId="0" fontId="23" fillId="0" borderId="0" xfId="6" applyFont="1" applyBorder="1" applyAlignment="1">
      <alignment vertical="center"/>
    </xf>
    <xf numFmtId="0" fontId="24" fillId="0" borderId="0" xfId="6" applyFont="1" applyBorder="1" applyAlignment="1">
      <alignment vertical="center"/>
    </xf>
    <xf numFmtId="0" fontId="2" fillId="0" borderId="0" xfId="6" applyFont="1">
      <alignment vertical="center"/>
    </xf>
    <xf numFmtId="0" fontId="6" fillId="0" borderId="21" xfId="5" applyFont="1" applyBorder="1" applyAlignment="1">
      <alignment horizontal="center" vertical="center"/>
    </xf>
    <xf numFmtId="0" fontId="6" fillId="0" borderId="22" xfId="5" applyFont="1" applyBorder="1" applyAlignment="1">
      <alignment horizontal="center" vertical="center"/>
    </xf>
    <xf numFmtId="0" fontId="6" fillId="0" borderId="23" xfId="5" applyFont="1" applyBorder="1" applyAlignment="1">
      <alignment horizontal="center" vertical="center"/>
    </xf>
    <xf numFmtId="0" fontId="11" fillId="0" borderId="26" xfId="5" applyFont="1" applyBorder="1" applyAlignment="1">
      <alignment horizontal="center" vertical="center" wrapText="1"/>
    </xf>
    <xf numFmtId="0" fontId="11" fillId="0" borderId="27" xfId="5" applyFont="1" applyBorder="1" applyAlignment="1">
      <alignment horizontal="center" vertical="center" wrapText="1"/>
    </xf>
    <xf numFmtId="0" fontId="11" fillId="0" borderId="28" xfId="5" applyFont="1" applyBorder="1" applyAlignment="1">
      <alignment horizontal="center" vertical="center" wrapText="1"/>
    </xf>
    <xf numFmtId="0" fontId="6" fillId="0" borderId="30" xfId="6" applyFont="1" applyBorder="1" applyAlignment="1">
      <alignment horizontal="center" vertical="center" wrapText="1"/>
    </xf>
    <xf numFmtId="177" fontId="6" fillId="0" borderId="31" xfId="5" applyNumberFormat="1" applyFont="1" applyFill="1" applyBorder="1" applyAlignment="1">
      <alignment horizontal="center" vertical="center" wrapText="1"/>
    </xf>
    <xf numFmtId="177" fontId="6" fillId="0" borderId="32" xfId="5" applyNumberFormat="1" applyFont="1" applyFill="1" applyBorder="1" applyAlignment="1">
      <alignment horizontal="center" vertical="center" wrapText="1"/>
    </xf>
    <xf numFmtId="177" fontId="6" fillId="0" borderId="27" xfId="5" applyNumberFormat="1" applyFont="1" applyFill="1" applyBorder="1" applyAlignment="1">
      <alignment horizontal="center" vertical="center" wrapText="1"/>
    </xf>
    <xf numFmtId="177" fontId="6" fillId="0" borderId="28" xfId="5" applyNumberFormat="1" applyFont="1" applyFill="1" applyBorder="1" applyAlignment="1">
      <alignment horizontal="center" vertical="center" wrapText="1"/>
    </xf>
    <xf numFmtId="177" fontId="6" fillId="0" borderId="33" xfId="5" applyNumberFormat="1" applyFont="1" applyFill="1" applyBorder="1" applyAlignment="1">
      <alignment horizontal="center" vertical="center" wrapText="1"/>
    </xf>
    <xf numFmtId="177" fontId="6" fillId="0" borderId="34" xfId="5" applyNumberFormat="1" applyFont="1" applyFill="1" applyBorder="1" applyAlignment="1">
      <alignment horizontal="center" vertical="center" wrapText="1"/>
    </xf>
    <xf numFmtId="0" fontId="26" fillId="0" borderId="30" xfId="6" applyFont="1" applyBorder="1" applyAlignment="1">
      <alignment horizontal="center" vertical="center" wrapText="1"/>
    </xf>
    <xf numFmtId="177" fontId="26" fillId="0" borderId="26" xfId="5" applyNumberFormat="1" applyFont="1" applyFill="1" applyBorder="1" applyAlignment="1">
      <alignment horizontal="center" vertical="center"/>
    </xf>
    <xf numFmtId="177" fontId="26" fillId="0" borderId="27" xfId="5" applyNumberFormat="1" applyFont="1" applyFill="1" applyBorder="1" applyAlignment="1">
      <alignment horizontal="center" vertical="center"/>
    </xf>
    <xf numFmtId="177" fontId="26" fillId="0" borderId="28" xfId="5" applyNumberFormat="1" applyFont="1" applyFill="1" applyBorder="1" applyAlignment="1">
      <alignment horizontal="center" vertical="center"/>
    </xf>
    <xf numFmtId="177" fontId="26" fillId="0" borderId="33" xfId="5" applyNumberFormat="1" applyFont="1" applyFill="1" applyBorder="1" applyAlignment="1">
      <alignment horizontal="center" vertical="center"/>
    </xf>
    <xf numFmtId="177" fontId="26" fillId="0" borderId="34" xfId="5" applyNumberFormat="1" applyFont="1" applyFill="1" applyBorder="1" applyAlignment="1">
      <alignment horizontal="center" vertical="center"/>
    </xf>
    <xf numFmtId="0" fontId="26" fillId="0" borderId="30" xfId="6" applyFont="1" applyBorder="1" applyAlignment="1">
      <alignment horizontal="center" vertical="center"/>
    </xf>
    <xf numFmtId="180" fontId="26" fillId="0" borderId="26" xfId="4" applyNumberFormat="1" applyFont="1" applyFill="1" applyBorder="1" applyAlignment="1">
      <alignment horizontal="center" vertical="center"/>
    </xf>
    <xf numFmtId="180" fontId="26" fillId="0" borderId="27" xfId="4" applyNumberFormat="1" applyFont="1" applyFill="1" applyBorder="1" applyAlignment="1">
      <alignment horizontal="center" vertical="center"/>
    </xf>
    <xf numFmtId="180" fontId="26" fillId="0" borderId="28" xfId="4" applyNumberFormat="1" applyFont="1" applyFill="1" applyBorder="1" applyAlignment="1">
      <alignment horizontal="center" vertical="center"/>
    </xf>
    <xf numFmtId="0" fontId="6" fillId="0" borderId="30" xfId="6" applyFont="1" applyBorder="1" applyAlignment="1">
      <alignment horizontal="center" vertical="center"/>
    </xf>
    <xf numFmtId="181" fontId="6" fillId="0" borderId="37" xfId="6" applyNumberFormat="1" applyFont="1" applyFill="1" applyBorder="1" applyAlignment="1">
      <alignment horizontal="center" vertical="center"/>
    </xf>
    <xf numFmtId="181" fontId="6" fillId="0" borderId="1" xfId="6" applyNumberFormat="1" applyFont="1" applyFill="1" applyBorder="1" applyAlignment="1">
      <alignment horizontal="center" vertical="center"/>
    </xf>
    <xf numFmtId="181" fontId="6" fillId="0" borderId="30" xfId="6" applyNumberFormat="1" applyFont="1" applyFill="1" applyBorder="1" applyAlignment="1">
      <alignment horizontal="center" vertical="center"/>
    </xf>
    <xf numFmtId="181" fontId="6" fillId="0" borderId="37" xfId="9" applyNumberFormat="1" applyFont="1" applyFill="1" applyBorder="1" applyAlignment="1">
      <alignment horizontal="center" vertical="center"/>
    </xf>
    <xf numFmtId="181" fontId="6" fillId="0" borderId="1" xfId="9" applyNumberFormat="1" applyFont="1" applyFill="1" applyBorder="1" applyAlignment="1">
      <alignment horizontal="center" vertical="center"/>
    </xf>
    <xf numFmtId="181" fontId="6" fillId="0" borderId="30" xfId="9" applyNumberFormat="1" applyFont="1" applyFill="1" applyBorder="1" applyAlignment="1">
      <alignment horizontal="center" vertical="center"/>
    </xf>
    <xf numFmtId="0" fontId="0" fillId="6" borderId="5" xfId="6" applyFont="1" applyFill="1" applyBorder="1" applyAlignment="1">
      <alignment horizontal="center" vertical="center"/>
    </xf>
    <xf numFmtId="182" fontId="6" fillId="6" borderId="37" xfId="9" applyNumberFormat="1" applyFont="1" applyFill="1" applyBorder="1" applyAlignment="1">
      <alignment horizontal="center" vertical="center"/>
    </xf>
    <xf numFmtId="182" fontId="6" fillId="6" borderId="1" xfId="6" applyNumberFormat="1" applyFont="1" applyFill="1" applyBorder="1" applyAlignment="1">
      <alignment horizontal="center" vertical="center"/>
    </xf>
    <xf numFmtId="182" fontId="6" fillId="6" borderId="30" xfId="6" applyNumberFormat="1" applyFont="1" applyFill="1" applyBorder="1" applyAlignment="1">
      <alignment horizontal="center" vertical="center"/>
    </xf>
    <xf numFmtId="182" fontId="6" fillId="6" borderId="37" xfId="6" applyNumberFormat="1" applyFont="1" applyFill="1" applyBorder="1" applyAlignment="1">
      <alignment horizontal="center" vertical="center"/>
    </xf>
    <xf numFmtId="1" fontId="6" fillId="0" borderId="40" xfId="5" applyNumberFormat="1" applyFont="1" applyFill="1" applyBorder="1" applyAlignment="1">
      <alignment horizontal="center" vertical="center"/>
    </xf>
    <xf numFmtId="1" fontId="6" fillId="0" borderId="2" xfId="5" applyNumberFormat="1" applyFont="1" applyFill="1" applyBorder="1" applyAlignment="1">
      <alignment horizontal="center" vertical="center"/>
    </xf>
    <xf numFmtId="1" fontId="6" fillId="0" borderId="41" xfId="5" applyNumberFormat="1" applyFont="1" applyFill="1" applyBorder="1" applyAlignment="1">
      <alignment horizontal="center" vertical="center"/>
    </xf>
    <xf numFmtId="0" fontId="11" fillId="0" borderId="37" xfId="5" applyFont="1" applyBorder="1" applyAlignment="1">
      <alignment horizontal="center" vertical="center"/>
    </xf>
    <xf numFmtId="0" fontId="11" fillId="0" borderId="1" xfId="5" applyFont="1" applyBorder="1" applyAlignment="1">
      <alignment horizontal="center" vertical="center"/>
    </xf>
    <xf numFmtId="0" fontId="11" fillId="0" borderId="30" xfId="5" applyFont="1" applyBorder="1" applyAlignment="1">
      <alignment horizontal="center" vertical="center"/>
    </xf>
    <xf numFmtId="0" fontId="6" fillId="0" borderId="44" xfId="5" applyFont="1" applyBorder="1">
      <alignment vertical="center"/>
    </xf>
    <xf numFmtId="0" fontId="6" fillId="0" borderId="45" xfId="5" applyFont="1" applyBorder="1" applyAlignment="1">
      <alignment horizontal="center" vertical="center"/>
    </xf>
    <xf numFmtId="0" fontId="6" fillId="0" borderId="48" xfId="5" applyFont="1" applyBorder="1" applyAlignment="1">
      <alignment horizontal="center" vertical="center"/>
    </xf>
    <xf numFmtId="0" fontId="6" fillId="0" borderId="44" xfId="5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6" xfId="1" applyFont="1" applyFill="1" applyBorder="1" applyAlignment="1"/>
    <xf numFmtId="182" fontId="6" fillId="0" borderId="1" xfId="1" applyNumberFormat="1" applyFont="1" applyFill="1" applyBorder="1" applyAlignment="1">
      <alignment horizontal="center" vertical="center"/>
    </xf>
    <xf numFmtId="181" fontId="6" fillId="0" borderId="5" xfId="1" applyNumberFormat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10" fillId="0" borderId="4" xfId="2" applyFont="1" applyFill="1" applyBorder="1" applyAlignment="1">
      <alignment horizontal="center" vertical="center" wrapText="1"/>
    </xf>
    <xf numFmtId="178" fontId="12" fillId="0" borderId="7" xfId="2" applyNumberFormat="1" applyFont="1" applyFill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6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20" fontId="6" fillId="0" borderId="1" xfId="1" applyNumberFormat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6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6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6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6" xfId="1" applyFont="1" applyFill="1" applyBorder="1" applyAlignment="1"/>
    <xf numFmtId="0" fontId="6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1" xfId="1" applyFont="1" applyFill="1" applyBorder="1" applyAlignment="1"/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1" xfId="1" applyFont="1" applyFill="1" applyBorder="1" applyAlignment="1"/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6" xfId="1" applyFont="1" applyFill="1" applyBorder="1" applyAlignment="1"/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0" borderId="1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  <xf numFmtId="0" fontId="6" fillId="4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6" fillId="0" borderId="46" xfId="5" applyFont="1" applyBorder="1" applyAlignment="1">
      <alignment horizontal="center" vertical="center"/>
    </xf>
    <xf numFmtId="0" fontId="6" fillId="0" borderId="47" xfId="5" applyFont="1" applyBorder="1" applyAlignment="1">
      <alignment horizontal="center" vertical="center"/>
    </xf>
    <xf numFmtId="0" fontId="0" fillId="6" borderId="29" xfId="6" applyFont="1" applyFill="1" applyBorder="1" applyAlignment="1">
      <alignment horizontal="center" vertical="center" wrapText="1"/>
    </xf>
    <xf numFmtId="0" fontId="6" fillId="6" borderId="36" xfId="6" applyFont="1" applyFill="1" applyBorder="1" applyAlignment="1">
      <alignment horizontal="center" vertical="center"/>
    </xf>
    <xf numFmtId="0" fontId="6" fillId="0" borderId="38" xfId="6" applyFont="1" applyBorder="1" applyAlignment="1">
      <alignment horizontal="center" vertical="center"/>
    </xf>
    <xf numFmtId="0" fontId="6" fillId="0" borderId="39" xfId="6" applyFont="1" applyBorder="1" applyAlignment="1">
      <alignment horizontal="center" vertical="center"/>
    </xf>
    <xf numFmtId="0" fontId="6" fillId="0" borderId="42" xfId="6" applyFont="1" applyBorder="1" applyAlignment="1">
      <alignment horizontal="center" vertical="center"/>
    </xf>
    <xf numFmtId="0" fontId="6" fillId="0" borderId="43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25" fillId="4" borderId="16" xfId="5" applyFont="1" applyFill="1" applyBorder="1" applyAlignment="1">
      <alignment horizontal="center" vertical="center"/>
    </xf>
    <xf numFmtId="0" fontId="25" fillId="4" borderId="18" xfId="5" applyFont="1" applyFill="1" applyBorder="1" applyAlignment="1">
      <alignment horizontal="center" vertical="center"/>
    </xf>
    <xf numFmtId="0" fontId="25" fillId="4" borderId="17" xfId="5" applyFont="1" applyFill="1" applyBorder="1" applyAlignment="1">
      <alignment horizontal="center" vertical="center"/>
    </xf>
    <xf numFmtId="0" fontId="25" fillId="6" borderId="16" xfId="5" applyFont="1" applyFill="1" applyBorder="1" applyAlignment="1">
      <alignment horizontal="center" vertical="center"/>
    </xf>
    <xf numFmtId="0" fontId="25" fillId="6" borderId="18" xfId="5" applyFont="1" applyFill="1" applyBorder="1" applyAlignment="1">
      <alignment horizontal="center" vertical="center"/>
    </xf>
    <xf numFmtId="0" fontId="25" fillId="6" borderId="17" xfId="5" applyFont="1" applyFill="1" applyBorder="1" applyAlignment="1">
      <alignment horizontal="center" vertical="center"/>
    </xf>
    <xf numFmtId="0" fontId="6" fillId="0" borderId="19" xfId="6" applyFont="1" applyBorder="1" applyAlignment="1">
      <alignment horizontal="center" vertical="center"/>
    </xf>
    <xf numFmtId="0" fontId="6" fillId="0" borderId="20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2" fillId="0" borderId="29" xfId="6" applyFont="1" applyBorder="1" applyAlignment="1">
      <alignment horizontal="center" vertical="center" textRotation="255"/>
    </xf>
    <xf numFmtId="0" fontId="2" fillId="0" borderId="35" xfId="6" applyFont="1" applyBorder="1" applyAlignment="1">
      <alignment horizontal="center" vertical="center" textRotation="255"/>
    </xf>
    <xf numFmtId="0" fontId="2" fillId="0" borderId="36" xfId="6" applyFont="1" applyBorder="1" applyAlignment="1">
      <alignment horizontal="center" vertical="center" textRotation="255"/>
    </xf>
    <xf numFmtId="0" fontId="6" fillId="0" borderId="29" xfId="6" applyFont="1" applyBorder="1" applyAlignment="1">
      <alignment horizontal="center" vertical="center" wrapText="1"/>
    </xf>
    <xf numFmtId="0" fontId="6" fillId="0" borderId="36" xfId="6" applyFont="1" applyBorder="1" applyAlignment="1">
      <alignment horizontal="center" vertical="center" wrapText="1"/>
    </xf>
    <xf numFmtId="1" fontId="21" fillId="0" borderId="1" xfId="8" applyNumberFormat="1" applyFont="1" applyBorder="1" applyAlignment="1">
      <alignment horizontal="center" vertical="center"/>
    </xf>
    <xf numFmtId="0" fontId="22" fillId="0" borderId="5" xfId="6" applyFont="1" applyBorder="1" applyAlignment="1">
      <alignment horizontal="center" vertical="center"/>
    </xf>
    <xf numFmtId="0" fontId="22" fillId="0" borderId="6" xfId="6" applyFont="1" applyBorder="1" applyAlignment="1">
      <alignment horizontal="center" vertical="center"/>
    </xf>
    <xf numFmtId="177" fontId="22" fillId="7" borderId="5" xfId="6" applyNumberFormat="1" applyFont="1" applyFill="1" applyBorder="1" applyAlignment="1">
      <alignment horizontal="center" vertical="center"/>
    </xf>
    <xf numFmtId="177" fontId="22" fillId="7" borderId="6" xfId="6" applyNumberFormat="1" applyFont="1" applyFill="1" applyBorder="1" applyAlignment="1">
      <alignment horizontal="center" vertical="center"/>
    </xf>
    <xf numFmtId="177" fontId="22" fillId="7" borderId="5" xfId="7" applyNumberFormat="1" applyFont="1" applyFill="1" applyBorder="1" applyAlignment="1">
      <alignment horizontal="center" vertical="center"/>
    </xf>
    <xf numFmtId="177" fontId="22" fillId="7" borderId="6" xfId="7" applyNumberFormat="1" applyFont="1" applyFill="1" applyBorder="1" applyAlignment="1">
      <alignment horizontal="center" vertical="center"/>
    </xf>
    <xf numFmtId="180" fontId="22" fillId="0" borderId="5" xfId="6" applyNumberFormat="1" applyFont="1" applyBorder="1" applyAlignment="1">
      <alignment horizontal="center" vertical="center"/>
    </xf>
    <xf numFmtId="180" fontId="22" fillId="0" borderId="6" xfId="6" applyNumberFormat="1" applyFont="1" applyBorder="1" applyAlignment="1">
      <alignment horizontal="center" vertical="center"/>
    </xf>
    <xf numFmtId="180" fontId="22" fillId="0" borderId="5" xfId="4" applyNumberFormat="1" applyFont="1" applyFill="1" applyBorder="1" applyAlignment="1">
      <alignment horizontal="center" vertical="center"/>
    </xf>
    <xf numFmtId="180" fontId="22" fillId="0" borderId="6" xfId="4" applyNumberFormat="1" applyFont="1" applyFill="1" applyBorder="1" applyAlignment="1">
      <alignment horizontal="center" vertical="center"/>
    </xf>
    <xf numFmtId="177" fontId="5" fillId="0" borderId="5" xfId="6" applyNumberFormat="1" applyFont="1" applyBorder="1" applyAlignment="1">
      <alignment horizontal="center" vertical="center"/>
    </xf>
    <xf numFmtId="177" fontId="5" fillId="0" borderId="6" xfId="6" applyNumberFormat="1" applyFont="1" applyBorder="1" applyAlignment="1">
      <alignment horizontal="center" vertical="center"/>
    </xf>
    <xf numFmtId="177" fontId="5" fillId="0" borderId="5" xfId="7" applyNumberFormat="1" applyFont="1" applyBorder="1" applyAlignment="1">
      <alignment horizontal="center" vertical="center"/>
    </xf>
    <xf numFmtId="177" fontId="5" fillId="0" borderId="6" xfId="7" applyNumberFormat="1" applyFont="1" applyBorder="1" applyAlignment="1">
      <alignment horizontal="center" vertical="center"/>
    </xf>
    <xf numFmtId="0" fontId="21" fillId="0" borderId="6" xfId="8" applyFont="1" applyBorder="1" applyAlignment="1">
      <alignment horizontal="center" vertical="center"/>
    </xf>
    <xf numFmtId="0" fontId="21" fillId="0" borderId="1" xfId="8" applyFont="1" applyBorder="1" applyAlignment="1">
      <alignment horizontal="center" vertical="center"/>
    </xf>
    <xf numFmtId="0" fontId="20" fillId="2" borderId="6" xfId="2" applyFont="1" applyFill="1" applyBorder="1" applyAlignment="1">
      <alignment horizontal="center" vertical="center"/>
    </xf>
    <xf numFmtId="0" fontId="20" fillId="2" borderId="1" xfId="2" applyFont="1" applyFill="1" applyBorder="1" applyAlignment="1">
      <alignment horizontal="center" vertical="center"/>
    </xf>
    <xf numFmtId="0" fontId="5" fillId="0" borderId="5" xfId="6" applyFont="1" applyBorder="1" applyAlignment="1">
      <alignment horizontal="center" vertical="center"/>
    </xf>
    <xf numFmtId="0" fontId="5" fillId="0" borderId="6" xfId="6" applyFont="1" applyBorder="1" applyAlignment="1">
      <alignment horizontal="center" vertical="center"/>
    </xf>
    <xf numFmtId="183" fontId="2" fillId="4" borderId="5" xfId="7" applyNumberFormat="1" applyFont="1" applyFill="1" applyBorder="1" applyAlignment="1">
      <alignment horizontal="center" vertical="center"/>
    </xf>
    <xf numFmtId="183" fontId="2" fillId="4" borderId="6" xfId="7" applyNumberFormat="1" applyFont="1" applyFill="1" applyBorder="1" applyAlignment="1">
      <alignment horizontal="center" vertical="center"/>
    </xf>
    <xf numFmtId="183" fontId="2" fillId="6" borderId="5" xfId="7" applyNumberFormat="1" applyFont="1" applyFill="1" applyBorder="1" applyAlignment="1">
      <alignment horizontal="center" vertical="center"/>
    </xf>
    <xf numFmtId="183" fontId="2" fillId="6" borderId="6" xfId="7" applyNumberFormat="1" applyFont="1" applyFill="1" applyBorder="1" applyAlignment="1">
      <alignment horizontal="center" vertical="center"/>
    </xf>
    <xf numFmtId="0" fontId="16" fillId="0" borderId="0" xfId="5" applyFont="1" applyAlignment="1">
      <alignment horizontal="center" vertical="center"/>
    </xf>
    <xf numFmtId="0" fontId="16" fillId="0" borderId="12" xfId="5" applyFont="1" applyBorder="1" applyAlignment="1">
      <alignment horizontal="center" vertical="center"/>
    </xf>
    <xf numFmtId="0" fontId="18" fillId="14" borderId="5" xfId="6" applyFont="1" applyFill="1" applyBorder="1" applyAlignment="1">
      <alignment horizontal="center" vertical="center"/>
    </xf>
    <xf numFmtId="0" fontId="18" fillId="14" borderId="6" xfId="6" applyFont="1" applyFill="1" applyBorder="1" applyAlignment="1">
      <alignment horizontal="center" vertical="center"/>
    </xf>
    <xf numFmtId="183" fontId="5" fillId="0" borderId="5" xfId="7" applyNumberFormat="1" applyFont="1" applyBorder="1" applyAlignment="1">
      <alignment horizontal="center" vertical="center"/>
    </xf>
    <xf numFmtId="183" fontId="5" fillId="0" borderId="6" xfId="7" applyNumberFormat="1" applyFont="1" applyBorder="1" applyAlignment="1">
      <alignment horizontal="center" vertical="center"/>
    </xf>
    <xf numFmtId="184" fontId="5" fillId="0" borderId="5" xfId="7" applyNumberFormat="1" applyFont="1" applyBorder="1" applyAlignment="1">
      <alignment horizontal="center" vertical="center"/>
    </xf>
    <xf numFmtId="184" fontId="5" fillId="0" borderId="6" xfId="7" applyNumberFormat="1" applyFont="1" applyBorder="1" applyAlignment="1">
      <alignment horizontal="center" vertical="center"/>
    </xf>
    <xf numFmtId="0" fontId="5" fillId="0" borderId="7" xfId="6" applyFont="1" applyBorder="1" applyAlignment="1">
      <alignment horizontal="center" vertical="center"/>
    </xf>
    <xf numFmtId="0" fontId="5" fillId="0" borderId="11" xfId="6" applyFont="1" applyBorder="1" applyAlignment="1">
      <alignment horizontal="center" vertical="center"/>
    </xf>
    <xf numFmtId="0" fontId="5" fillId="0" borderId="8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19" fillId="0" borderId="6" xfId="6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 vertical="center"/>
    </xf>
    <xf numFmtId="0" fontId="6" fillId="0" borderId="6" xfId="1" applyFont="1" applyFill="1" applyBorder="1" applyAlignment="1">
      <alignment horizontal="left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5" xfId="1" applyFont="1" applyFill="1" applyBorder="1" applyAlignment="1"/>
    <xf numFmtId="0" fontId="6" fillId="0" borderId="6" xfId="1" applyFont="1" applyFill="1" applyBorder="1" applyAlignment="1"/>
    <xf numFmtId="0" fontId="6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left" vertical="center"/>
    </xf>
    <xf numFmtId="0" fontId="10" fillId="7" borderId="7" xfId="1" applyFont="1" applyFill="1" applyBorder="1" applyAlignment="1">
      <alignment horizontal="center" vertical="center" wrapText="1"/>
    </xf>
    <xf numFmtId="0" fontId="10" fillId="7" borderId="11" xfId="1" applyFont="1" applyFill="1" applyBorder="1" applyAlignment="1">
      <alignment horizontal="center" vertical="center" wrapText="1"/>
    </xf>
    <xf numFmtId="0" fontId="10" fillId="7" borderId="8" xfId="1" applyFont="1" applyFill="1" applyBorder="1" applyAlignment="1">
      <alignment horizontal="center" vertical="center" wrapText="1"/>
    </xf>
    <xf numFmtId="180" fontId="6" fillId="0" borderId="1" xfId="4" applyNumberFormat="1" applyFont="1" applyBorder="1" applyAlignment="1">
      <alignment horizontal="center" vertical="center"/>
    </xf>
    <xf numFmtId="0" fontId="6" fillId="0" borderId="1" xfId="1" applyFont="1" applyFill="1" applyBorder="1" applyAlignment="1"/>
    <xf numFmtId="0" fontId="6" fillId="13" borderId="1" xfId="1" applyFont="1" applyFill="1" applyBorder="1" applyAlignment="1">
      <alignment horizontal="center" vertical="center" wrapText="1"/>
    </xf>
    <xf numFmtId="0" fontId="6" fillId="13" borderId="1" xfId="1" applyFont="1" applyFill="1" applyBorder="1" applyAlignment="1">
      <alignment horizontal="center" vertical="center"/>
    </xf>
    <xf numFmtId="0" fontId="6" fillId="8" borderId="1" xfId="1" applyFont="1" applyFill="1" applyBorder="1" applyAlignment="1">
      <alignment horizontal="center" vertical="center" wrapText="1"/>
    </xf>
    <xf numFmtId="0" fontId="6" fillId="8" borderId="1" xfId="1" applyFont="1" applyFill="1" applyBorder="1" applyAlignment="1">
      <alignment horizontal="center" vertical="center"/>
    </xf>
    <xf numFmtId="180" fontId="6" fillId="0" borderId="7" xfId="4" applyNumberFormat="1" applyFont="1" applyBorder="1" applyAlignment="1">
      <alignment horizontal="center" vertical="center"/>
    </xf>
    <xf numFmtId="180" fontId="6" fillId="0" borderId="11" xfId="4" applyNumberFormat="1" applyFont="1" applyBorder="1" applyAlignment="1">
      <alignment horizontal="center" vertical="center"/>
    </xf>
    <xf numFmtId="180" fontId="6" fillId="0" borderId="8" xfId="4" applyNumberFormat="1" applyFont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6" borderId="7" xfId="1" applyFont="1" applyFill="1" applyBorder="1" applyAlignment="1">
      <alignment horizontal="center" vertical="center" wrapText="1"/>
    </xf>
    <xf numFmtId="0" fontId="6" fillId="6" borderId="11" xfId="1" applyFont="1" applyFill="1" applyBorder="1" applyAlignment="1">
      <alignment horizontal="center" vertical="center" wrapText="1"/>
    </xf>
    <xf numFmtId="0" fontId="6" fillId="6" borderId="8" xfId="1" applyFont="1" applyFill="1" applyBorder="1" applyAlignment="1">
      <alignment horizontal="center" vertical="center" wrapText="1"/>
    </xf>
    <xf numFmtId="0" fontId="6" fillId="12" borderId="1" xfId="1" applyFont="1" applyFill="1" applyBorder="1" applyAlignment="1">
      <alignment horizontal="center" vertical="center" wrapText="1"/>
    </xf>
    <xf numFmtId="0" fontId="6" fillId="12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left"/>
    </xf>
    <xf numFmtId="0" fontId="6" fillId="11" borderId="1" xfId="1" applyFont="1" applyFill="1" applyBorder="1" applyAlignment="1">
      <alignment horizontal="center" vertical="center" wrapText="1"/>
    </xf>
    <xf numFmtId="0" fontId="6" fillId="10" borderId="9" xfId="1" applyFont="1" applyFill="1" applyBorder="1" applyAlignment="1">
      <alignment horizontal="center" vertical="center" wrapText="1"/>
    </xf>
    <xf numFmtId="0" fontId="6" fillId="10" borderId="10" xfId="1" applyFont="1" applyFill="1" applyBorder="1" applyAlignment="1">
      <alignment horizontal="center" vertical="center" wrapText="1"/>
    </xf>
    <xf numFmtId="0" fontId="6" fillId="9" borderId="1" xfId="1" applyFont="1" applyFill="1" applyBorder="1" applyAlignment="1">
      <alignment horizontal="center" vertical="center" wrapText="1"/>
    </xf>
    <xf numFmtId="0" fontId="6" fillId="9" borderId="1" xfId="1" applyFont="1" applyFill="1" applyBorder="1" applyAlignment="1">
      <alignment horizontal="center" vertical="center"/>
    </xf>
    <xf numFmtId="0" fontId="10" fillId="7" borderId="1" xfId="1" applyFont="1" applyFill="1" applyBorder="1" applyAlignment="1">
      <alignment horizontal="center" vertical="center" wrapText="1"/>
    </xf>
    <xf numFmtId="0" fontId="6" fillId="0" borderId="5" xfId="3" applyFont="1" applyFill="1" applyBorder="1" applyAlignment="1">
      <alignment horizontal="left"/>
    </xf>
    <xf numFmtId="0" fontId="6" fillId="0" borderId="6" xfId="3" applyFont="1" applyFill="1" applyBorder="1" applyAlignment="1">
      <alignment horizontal="left"/>
    </xf>
    <xf numFmtId="0" fontId="6" fillId="5" borderId="1" xfId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/>
    </xf>
    <xf numFmtId="0" fontId="6" fillId="0" borderId="1" xfId="3" applyFont="1" applyFill="1" applyBorder="1" applyAlignment="1">
      <alignment horizontal="left"/>
    </xf>
    <xf numFmtId="0" fontId="6" fillId="0" borderId="1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6" fillId="6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6" fillId="0" borderId="5" xfId="1" applyFont="1" applyFill="1" applyBorder="1" applyAlignment="1">
      <alignment horizontal="left"/>
    </xf>
    <xf numFmtId="0" fontId="6" fillId="0" borderId="6" xfId="1" applyFont="1" applyFill="1" applyBorder="1" applyAlignment="1">
      <alignment horizontal="left"/>
    </xf>
  </cellXfs>
  <cellStyles count="10">
    <cellStyle name="一般" xfId="0" builtinId="0"/>
    <cellStyle name="一般 2 17 2" xfId="8"/>
    <cellStyle name="一般 2 2 2" xfId="6"/>
    <cellStyle name="一般 2 2 29" xfId="9"/>
    <cellStyle name="一般 2 2 7" xfId="1"/>
    <cellStyle name="一般 2 4" xfId="3"/>
    <cellStyle name="一般 2 8" xfId="2"/>
    <cellStyle name="一般 3" xfId="5"/>
    <cellStyle name="千分位 2" xfId="7"/>
    <cellStyle name="百分比 2" xfId="4"/>
  </cellStyles>
  <dxfs count="2096"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theme" Target="theme/theme1.xml"/><Relationship Id="rId68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69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tabSelected="1" zoomScale="85" zoomScaleNormal="85" workbookViewId="0">
      <selection activeCell="A9" sqref="A9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612" t="s">
        <v>2897</v>
      </c>
      <c r="C1" s="612"/>
      <c r="D1" s="612"/>
      <c r="E1" s="612"/>
      <c r="F1" s="612"/>
      <c r="G1" s="612"/>
      <c r="H1" s="612"/>
      <c r="I1" s="612"/>
      <c r="J1" s="612"/>
      <c r="K1" s="51"/>
      <c r="L1" s="51"/>
      <c r="M1" s="51"/>
      <c r="N1" s="51"/>
      <c r="O1" s="51"/>
      <c r="P1" s="51"/>
    </row>
    <row r="2" spans="2:17" ht="27.75" customHeight="1">
      <c r="B2" s="613"/>
      <c r="C2" s="613"/>
      <c r="D2" s="613"/>
      <c r="E2" s="613"/>
      <c r="F2" s="613"/>
      <c r="G2" s="613"/>
      <c r="H2" s="613"/>
      <c r="I2" s="613"/>
      <c r="J2" s="613"/>
      <c r="K2" s="53"/>
      <c r="L2" s="53"/>
      <c r="M2" s="53"/>
      <c r="N2" s="51"/>
      <c r="O2" s="51"/>
      <c r="P2" s="51"/>
    </row>
    <row r="3" spans="2:17" ht="46.5" customHeight="1">
      <c r="B3" s="54" t="s">
        <v>2898</v>
      </c>
      <c r="C3" s="614" t="str">
        <f>TEXT('0831 4度C'!A2,"yyyy.mm.ddaaaa")</f>
        <v>2026.08.31星期一</v>
      </c>
      <c r="D3" s="615"/>
      <c r="E3" s="54" t="s">
        <v>2899</v>
      </c>
      <c r="F3" s="616">
        <f>'0831 4度C'!D1</f>
        <v>188787</v>
      </c>
      <c r="G3" s="617"/>
      <c r="H3" s="54" t="s">
        <v>2900</v>
      </c>
      <c r="I3" s="618">
        <f>'0831 4度C'!F1</f>
        <v>6748732.919999999</v>
      </c>
      <c r="J3" s="619"/>
      <c r="K3" s="55"/>
      <c r="L3" s="56"/>
      <c r="M3" s="57"/>
      <c r="N3" s="57"/>
    </row>
    <row r="4" spans="2:17" ht="28.5" customHeight="1">
      <c r="B4" s="620" t="s">
        <v>2901</v>
      </c>
      <c r="C4" s="606" t="s">
        <v>2902</v>
      </c>
      <c r="D4" s="607"/>
      <c r="E4" s="623" t="s">
        <v>2903</v>
      </c>
      <c r="F4" s="624"/>
      <c r="G4" s="623" t="s">
        <v>2904</v>
      </c>
      <c r="H4" s="624"/>
      <c r="I4" s="623" t="s">
        <v>2905</v>
      </c>
      <c r="J4" s="624"/>
      <c r="K4" s="604" t="s">
        <v>2906</v>
      </c>
      <c r="L4" s="605"/>
      <c r="M4" s="605" t="s">
        <v>2907</v>
      </c>
      <c r="N4" s="605"/>
    </row>
    <row r="5" spans="2:17" ht="28.5" customHeight="1">
      <c r="B5" s="621"/>
      <c r="C5" s="606" t="s">
        <v>2908</v>
      </c>
      <c r="D5" s="607"/>
      <c r="E5" s="606" t="s">
        <v>2909</v>
      </c>
      <c r="F5" s="607"/>
      <c r="G5" s="608" t="s">
        <v>2910</v>
      </c>
      <c r="H5" s="609"/>
      <c r="I5" s="610" t="s">
        <v>2911</v>
      </c>
      <c r="J5" s="611"/>
      <c r="K5" s="58" t="s">
        <v>2912</v>
      </c>
      <c r="L5" s="59" t="s">
        <v>2913</v>
      </c>
      <c r="M5" s="58" t="s">
        <v>2914</v>
      </c>
      <c r="N5" s="59" t="s">
        <v>2915</v>
      </c>
    </row>
    <row r="6" spans="2:17" ht="28.5" customHeight="1">
      <c r="B6" s="621"/>
      <c r="C6" s="606" t="s">
        <v>169</v>
      </c>
      <c r="D6" s="607"/>
      <c r="E6" s="598">
        <f>AVERAGE(D13:M13)</f>
        <v>156.32946792746321</v>
      </c>
      <c r="F6" s="599">
        <f>AVERAGE(D31:O31,D13:J13)</f>
        <v>163.93398829687865</v>
      </c>
      <c r="G6" s="600">
        <f>AVERAGE(D13:J13)</f>
        <v>163.93398829687865</v>
      </c>
      <c r="H6" s="601"/>
      <c r="I6" s="600">
        <f>AVERAGE(K13:M13)</f>
        <v>138.58558706549388</v>
      </c>
      <c r="J6" s="601"/>
      <c r="K6" s="602">
        <f>'0831 4度C'!Y2</f>
        <v>0</v>
      </c>
      <c r="L6" s="587">
        <f>'0831 4度C'!Z2</f>
        <v>0</v>
      </c>
      <c r="M6" s="603">
        <f>'0831 4度C'!AC2</f>
        <v>61</v>
      </c>
      <c r="N6" s="587">
        <f>'0831 4度C'!AD2</f>
        <v>0</v>
      </c>
    </row>
    <row r="7" spans="2:17" ht="28.5" customHeight="1">
      <c r="B7" s="621"/>
      <c r="C7" s="588" t="s">
        <v>170</v>
      </c>
      <c r="D7" s="589"/>
      <c r="E7" s="590">
        <f>AVERAGE(D14:M14)</f>
        <v>149.73015830315308</v>
      </c>
      <c r="F7" s="591">
        <f>AVERAGE(D32:O32,D14:J14)</f>
        <v>157.04747597893879</v>
      </c>
      <c r="G7" s="592">
        <f>AVERAGE(D14:J14)</f>
        <v>157.04747597893879</v>
      </c>
      <c r="H7" s="593"/>
      <c r="I7" s="592">
        <f>AVERAGE(K14:M14)</f>
        <v>132.65641705965308</v>
      </c>
      <c r="J7" s="593"/>
      <c r="K7" s="602"/>
      <c r="L7" s="587"/>
      <c r="M7" s="603"/>
      <c r="N7" s="587"/>
    </row>
    <row r="8" spans="2:17" ht="28.5" customHeight="1">
      <c r="B8" s="622"/>
      <c r="C8" s="588" t="s">
        <v>171</v>
      </c>
      <c r="D8" s="589"/>
      <c r="E8" s="594">
        <f>AVERAGE(D15:M15)</f>
        <v>0.95811088984717241</v>
      </c>
      <c r="F8" s="595">
        <f>AVERAGE(D15:J15,D33:O33)</f>
        <v>0.95854161286783335</v>
      </c>
      <c r="G8" s="596">
        <f>AVERAGE(D15:J15)</f>
        <v>0.95854161286783335</v>
      </c>
      <c r="H8" s="597"/>
      <c r="I8" s="596">
        <f>AVERAGE(K15:M15)</f>
        <v>0.95710586946563037</v>
      </c>
      <c r="J8" s="597"/>
      <c r="K8" s="602"/>
      <c r="L8" s="587"/>
      <c r="M8" s="603"/>
      <c r="N8" s="587"/>
    </row>
    <row r="9" spans="2:17" ht="28.5" customHeight="1" thickBot="1">
      <c r="H9" s="61"/>
      <c r="K9" s="62" t="s">
        <v>2916</v>
      </c>
      <c r="N9" s="57"/>
      <c r="O9" s="57"/>
      <c r="P9" s="57"/>
      <c r="Q9" s="57"/>
    </row>
    <row r="10" spans="2:17" ht="30" customHeight="1">
      <c r="B10" s="570" t="s">
        <v>2917</v>
      </c>
      <c r="C10" s="571"/>
      <c r="D10" s="572" t="s">
        <v>2918</v>
      </c>
      <c r="E10" s="573"/>
      <c r="F10" s="573"/>
      <c r="G10" s="573"/>
      <c r="H10" s="573"/>
      <c r="I10" s="573"/>
      <c r="J10" s="574"/>
      <c r="K10" s="575" t="s">
        <v>2919</v>
      </c>
      <c r="L10" s="576"/>
      <c r="M10" s="577"/>
      <c r="P10" s="63"/>
      <c r="Q10" s="63"/>
    </row>
    <row r="11" spans="2:17" ht="17.25" customHeight="1">
      <c r="B11" s="578" t="s">
        <v>176</v>
      </c>
      <c r="C11" s="579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80"/>
      <c r="C12" s="581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582" t="s">
        <v>2920</v>
      </c>
      <c r="C13" s="70" t="s">
        <v>2921</v>
      </c>
      <c r="D13" s="71">
        <f>SUMIFS('0831 4度C'!$K:$K,'0831 4度C'!$A:$A,"新豐6線",'0831 4度C'!$B:$B,"平均")</f>
        <v>135.59322033898306</v>
      </c>
      <c r="E13" s="72">
        <f>SUMIFS('0831 4度C'!$K:$K,'0831 4度C'!$A:$A,"新豐2線",'0831 4度C'!$B:$B,"平均")</f>
        <v>81.081081081081081</v>
      </c>
      <c r="F13" s="73">
        <f>SUMIFS('0831 4度C'!$K:$K,'0831 4度C'!$A:$A,"新豐5線",'0831 4度C'!$B:$B,"平均")</f>
        <v>106.61764705882354</v>
      </c>
      <c r="G13" s="73">
        <f>SUMIFS('0831 4度C'!$K:$K,'0831 4度C'!$A:$A,"新豐7線",'0831 4度C'!$B:$B,"平均")</f>
        <v>128</v>
      </c>
      <c r="H13" s="73">
        <f>SUMIFS('0831 4度C'!$K:$K,'0831 4度C'!$A:$A,"新豐3線",'0831 4度C'!$B:$B,"平均")</f>
        <v>300</v>
      </c>
      <c r="I13" s="73">
        <f>SUMIFS('0831 4度C'!$K:$K,'0831 4度C'!$A:$A,"新豐1線",'0831 4度C'!$B:$B,"平均")</f>
        <v>107.78443113772454</v>
      </c>
      <c r="J13" s="74">
        <f>SUMIFS('0831 4度C'!$K:$K,'0831 4度C'!$A:$A,"新豐10線",'0831 4度C'!$B:$B,"平均")</f>
        <v>288.46153846153845</v>
      </c>
      <c r="K13" s="75">
        <f>SUMIFS('0831 4度C'!$K:$K,'0831 4度C'!$A:$A,"新豐8線",'0831 4度C'!$B:$B,"平均")</f>
        <v>125.49019607843138</v>
      </c>
      <c r="L13" s="76">
        <f>SUMIFS('0831 4度C'!$K:$K,'0831 4度C'!$A:$A,"新豐9線",'0831 4度C'!$B:$B,"平均")</f>
        <v>147.69230769230768</v>
      </c>
      <c r="M13" s="74">
        <f>SUMIFS('0831 4度C'!$K:$K,'0831 4度C'!$A:$A,"新豐4線",'0831 4度C'!$B:$B,"平均")</f>
        <v>142.57425742574259</v>
      </c>
    </row>
    <row r="14" spans="2:17" ht="39.6" customHeight="1">
      <c r="B14" s="583"/>
      <c r="C14" s="77" t="s">
        <v>2922</v>
      </c>
      <c r="D14" s="78">
        <f>SUMIFS('0831 4度C'!$N:$N,'0831 4度C'!$A:$A,"新豐6線",'0831 4度C'!$B:$B,"平均")</f>
        <v>130.48099335270922</v>
      </c>
      <c r="E14" s="79">
        <f>SUMIFS('0831 4度C'!$N:$N,'0831 4度C'!$A:$A,"新豐2線",'0831 4度C'!$B:$B,"平均")</f>
        <v>77.595820867483553</v>
      </c>
      <c r="F14" s="79">
        <f>SUMIFS('0831 4度C'!$N:$N,'0831 4度C'!$A:$A,"新豐5線",'0831 4度C'!$B:$B,"平均")</f>
        <v>102.11329370853667</v>
      </c>
      <c r="G14" s="79">
        <f>SUMIFS('0831 4度C'!$N:$N,'0831 4度C'!$A:$A,"新豐7線",'0831 4度C'!$B:$B,"平均")</f>
        <v>122.72052226222965</v>
      </c>
      <c r="H14" s="79">
        <f>SUMIFS('0831 4度C'!$N:$N,'0831 4度C'!$A:$A,"新豐3線",'0831 4度C'!$B:$B,"平均")</f>
        <v>286.93746525935978</v>
      </c>
      <c r="I14" s="79">
        <f>SUMIFS('0831 4度C'!$N:$N,'0831 4度C'!$A:$A,"新豐1線",'0831 4度C'!$B:$B,"平均")</f>
        <v>103.58929746230571</v>
      </c>
      <c r="J14" s="80">
        <f>SUMIFS('0831 4度C'!$N:$N,'0831 4度C'!$A:$A,"新豐10線",'0831 4度C'!$B:$B,"平均")</f>
        <v>275.89493893994705</v>
      </c>
      <c r="K14" s="81">
        <f>SUMIFS('0831 4度C'!$N:$N,'0831 4度C'!$A:$A,"新豐8線",'0831 4度C'!$B:$B,"平均")</f>
        <v>119.83563993713634</v>
      </c>
      <c r="L14" s="82">
        <f>SUMIFS('0831 4度C'!$N:$N,'0831 4度C'!$A:$A,"新豐9線",'0831 4度C'!$B:$B,"平均")</f>
        <v>141.61738779865118</v>
      </c>
      <c r="M14" s="80">
        <f>SUMIFS('0831 4度C'!$N:$N,'0831 4度C'!$A:$A,"新豐4線",'0831 4度C'!$B:$B,"平均")</f>
        <v>136.51622344317173</v>
      </c>
    </row>
    <row r="15" spans="2:17" ht="40.15" customHeight="1">
      <c r="B15" s="584"/>
      <c r="C15" s="83" t="s">
        <v>2923</v>
      </c>
      <c r="D15" s="84">
        <f t="shared" ref="D15:M15" si="0">D14/D13</f>
        <v>0.96229732597623041</v>
      </c>
      <c r="E15" s="85">
        <f t="shared" si="0"/>
        <v>0.95701512403229716</v>
      </c>
      <c r="F15" s="85">
        <f t="shared" si="0"/>
        <v>0.95775227202489566</v>
      </c>
      <c r="G15" s="85">
        <f t="shared" si="0"/>
        <v>0.95875408017366914</v>
      </c>
      <c r="H15" s="85">
        <f t="shared" si="0"/>
        <v>0.95645821753119931</v>
      </c>
      <c r="I15" s="85">
        <f t="shared" si="0"/>
        <v>0.96107848201139201</v>
      </c>
      <c r="J15" s="86">
        <f t="shared" si="0"/>
        <v>0.95643578832514986</v>
      </c>
      <c r="K15" s="84">
        <f t="shared" si="0"/>
        <v>0.95494025574905506</v>
      </c>
      <c r="L15" s="85">
        <f t="shared" si="0"/>
        <v>0.95886772988670077</v>
      </c>
      <c r="M15" s="86">
        <f t="shared" si="0"/>
        <v>0.95750962276113494</v>
      </c>
    </row>
    <row r="16" spans="2:17" ht="17.25" customHeight="1">
      <c r="B16" s="585" t="s">
        <v>2924</v>
      </c>
      <c r="C16" s="87" t="s">
        <v>2925</v>
      </c>
      <c r="D16" s="88">
        <f>VLOOKUP("新豐6線",'0831 4度C'!$A:$T,19,0)</f>
        <v>0.70833333333333337</v>
      </c>
      <c r="E16" s="89">
        <f>VLOOKUP("新豐2線",'0831 4度C'!$A:$T,19,0)</f>
        <v>8.3333333333333329E-2</v>
      </c>
      <c r="F16" s="89">
        <f>VLOOKUP("新豐5線",'0831 4度C'!$A:$T,19,0)</f>
        <v>0.20833333333333334</v>
      </c>
      <c r="G16" s="89">
        <f>VLOOKUP("新豐7線",'0831 4度C'!$A:$T,19,0)</f>
        <v>0.20833333333333334</v>
      </c>
      <c r="H16" s="89">
        <f>VLOOKUP("新豐3線",'0831 4度C'!$A:$T,19,0)</f>
        <v>0.20833333333333334</v>
      </c>
      <c r="I16" s="89">
        <f>VLOOKUP("新豐1線",'0831 4度C'!$A:$T,19,0)</f>
        <v>0.20833333333333334</v>
      </c>
      <c r="J16" s="90">
        <f>VLOOKUP("新豐10線",'0831 4度C'!$A:$T,19,0)</f>
        <v>0.20833333333333334</v>
      </c>
      <c r="K16" s="91">
        <f>VLOOKUP("新豐8線",'0831 4度C'!$A:$T,19,0)</f>
        <v>8.3333333333333329E-2</v>
      </c>
      <c r="L16" s="92">
        <f>VLOOKUP("新豐9線",'0831 4度C'!$A:$T,19,0)</f>
        <v>8.3333333333333329E-2</v>
      </c>
      <c r="M16" s="93">
        <f>VLOOKUP("新豐4線",'0831 4度C'!$A:$T,19,0)</f>
        <v>8.3333333333333329E-2</v>
      </c>
    </row>
    <row r="17" spans="2:13" ht="17.25" customHeight="1">
      <c r="B17" s="586"/>
      <c r="C17" s="87" t="s">
        <v>2926</v>
      </c>
      <c r="D17" s="91">
        <f>LOOKUP(2,1/(('0831 4度C'!$A:$A="新豐6線")*('0831 4度C'!$T:$T&lt;&gt;"")),'0831 4度C'!$T:$T)</f>
        <v>0.92291666666666672</v>
      </c>
      <c r="E17" s="89">
        <f>LOOKUP(2,1/(('0831 4度C'!$A:$A="新豐2線")*('0831 4度C'!$T:$T&lt;&gt;"")),'0831 4度C'!$T:$T)</f>
        <v>0.56874999999999998</v>
      </c>
      <c r="F17" s="89">
        <f>LOOKUP(2,1/(('0831 4度C'!$A:$A="新豐5線")*('0831 4度C'!$T:$T&lt;&gt;"")),'0831 4度C'!$T:$T)</f>
        <v>0.95277777777777772</v>
      </c>
      <c r="G17" s="89">
        <f>LOOKUP(2,1/(('0831 4度C'!$A:$A="新豐7線")*('0831 4度C'!$T:$T&lt;&gt;"")),'0831 4度C'!$T:$T)</f>
        <v>0.93125000000000013</v>
      </c>
      <c r="H17" s="89">
        <f>LOOKUP(2,1/(('0831 4度C'!$A:$A="新豐3線")*('0831 4度C'!$T:$T&lt;&gt;"")),'0831 4度C'!$T:$T)</f>
        <v>0.44930555555555551</v>
      </c>
      <c r="I17" s="89">
        <f>LOOKUP(2,1/(('0831 4度C'!$A:$A="新豐1線")*('0831 4度C'!$T:$T&lt;&gt;"")),'0831 4度C'!$T:$T)</f>
        <v>0.90486111111111112</v>
      </c>
      <c r="J17" s="90">
        <f>LOOKUP(2,1/(('0831 4度C'!$A:$A="新豐10線")*('0831 4度C'!$T:$T&lt;&gt;"")),'0831 4度C'!$T:$T)</f>
        <v>0.4680555555555555</v>
      </c>
      <c r="K17" s="88">
        <f>LOOKUP(2,1/(('0831 4度C'!$A:$A="新豐8線")*('0831 4度C'!$T:$T&lt;&gt;"")),'0831 4度C'!$T:$T)</f>
        <v>0.72083333333333321</v>
      </c>
      <c r="L17" s="89">
        <f>LOOKUP(2,1/(('0831 4度C'!$A:$A="新豐9線")*('0831 4度C'!$T:$T&lt;&gt;"")),'0831 4度C'!$T:$T)</f>
        <v>0.69444444444444431</v>
      </c>
      <c r="M17" s="90">
        <f>LOOKUP(2,1/(('0831 4度C'!$A:$A="新豐4線")*('0831 4度C'!$T:$T&lt;&gt;"")),'0831 4度C'!$T:$T)</f>
        <v>0.62222222222222223</v>
      </c>
    </row>
    <row r="18" spans="2:13" ht="17.25" customHeight="1">
      <c r="B18" s="564" t="s">
        <v>2927</v>
      </c>
      <c r="C18" s="94" t="s">
        <v>2928</v>
      </c>
      <c r="D18" s="95">
        <f>SUMIFS('0831 4度C'!$Y:$Y,'0831 4度C'!$A:$A,"新豐6線",'0831 4度C'!$B:$B,"平均")</f>
        <v>0</v>
      </c>
      <c r="E18" s="96">
        <f>SUMIFS('0831 4度C'!$Y:$Y,'0831 4度C'!$A:$A,"新豐2線",'0831 4度C'!$B:$B,"平均")</f>
        <v>0</v>
      </c>
      <c r="F18" s="96">
        <f>SUMIFS('0831 4度C'!$Y:$Y,'0831 4度C'!$A:$A,"新豐5線",'0831 4度C'!$B:$B,"平均")</f>
        <v>0</v>
      </c>
      <c r="G18" s="96">
        <f>SUMIFS('0831 4度C'!$Y:$Y,'0831 4度C'!$A:$A,"新豐7線",'0831 4度C'!$B:$B,"平均")</f>
        <v>0</v>
      </c>
      <c r="H18" s="96">
        <f>SUMIFS('0831 4度C'!$Y:$Y,'0831 4度C'!$A:$A,"新豐3線",'0831 4度C'!$B:$B,"平均")</f>
        <v>0</v>
      </c>
      <c r="I18" s="96">
        <f>SUMIFS('0831 4度C'!$Y:$Y,'0831 4度C'!$A:$A,"新豐1線",'0831 4度C'!$B:$B,"平均")</f>
        <v>0</v>
      </c>
      <c r="J18" s="97">
        <f>SUMIFS('0831 4度C'!$Y:$Y,'0831 4度C'!$A:$A,"新豐10線",'0831 4度C'!$B:$B,"平均")</f>
        <v>0</v>
      </c>
      <c r="K18" s="98">
        <f>SUMIFS('0831 4度C'!$Y:$Y,'0831 4度C'!$A:$A,"新豐8線",'0831 4度C'!$B:$B,"平均")</f>
        <v>0</v>
      </c>
      <c r="L18" s="96">
        <f>SUMIFS('0831 4度C'!$Y:$Y,'0831 4度C'!$A:$A,"新豐9線",'0831 4度C'!$B:$B,"平均")</f>
        <v>0</v>
      </c>
      <c r="M18" s="97">
        <f>SUMIFS('0831 4度C'!$Y:$Y,'0831 4度C'!$A:$A,"新豐4線",'0831 4度C'!$B:$B,"平均")</f>
        <v>0</v>
      </c>
    </row>
    <row r="19" spans="2:13" ht="17.25" customHeight="1">
      <c r="B19" s="565"/>
      <c r="C19" s="94" t="s">
        <v>2929</v>
      </c>
      <c r="D19" s="95">
        <f>SUMIFS('0831 4度C'!$Z:$Z,'0831 4度C'!$A:$A,"新豐6線",'0831 4度C'!$B:$B,"平均")</f>
        <v>0</v>
      </c>
      <c r="E19" s="96">
        <f>SUMIFS('0831 4度C'!$Z:$Z,'0831 4度C'!$A:$A,"新豐2線",'0831 4度C'!$B:$B,"平均")</f>
        <v>0</v>
      </c>
      <c r="F19" s="96">
        <f>SUMIFS('0831 4度C'!$Z:$Z,'0831 4度C'!$A:$A,"新豐5線",'0831 4度C'!$B:$B,"平均")</f>
        <v>0</v>
      </c>
      <c r="G19" s="96">
        <f>SUMIFS('0831 4度C'!$Z:$Z,'0831 4度C'!$A:$A,"新豐7線",'0831 4度C'!$B:$B,"平均")</f>
        <v>0</v>
      </c>
      <c r="H19" s="96">
        <f>SUMIFS('0831 4度C'!$Z:$Z,'0831 4度C'!$A:$A,"新豐3線",'0831 4度C'!$B:$B,"平均")</f>
        <v>0</v>
      </c>
      <c r="I19" s="96">
        <f>SUMIFS('0831 4度C'!$Z:$Z,'0831 4度C'!$A:$A,"新豐1線",'0831 4度C'!$B:$B,"平均")</f>
        <v>0</v>
      </c>
      <c r="J19" s="97">
        <f>SUMIFS('0831 4度C'!$Z:$Z,'0831 4度C'!$A:$A,"新豐10線",'0831 4度C'!$B:$B,"平均")</f>
        <v>0</v>
      </c>
      <c r="K19" s="98">
        <f>SUMIFS('0831 4度C'!$Z:$Z,'0831 4度C'!$A:$A,"新豐8線",'0831 4度C'!$B:$B,"平均")</f>
        <v>0</v>
      </c>
      <c r="L19" s="96">
        <f>SUMIFS('0831 4度C'!$Z:$Z,'0831 4度C'!$A:$A,"新豐9線",'0831 4度C'!$B:$B,"平均")</f>
        <v>0</v>
      </c>
      <c r="M19" s="97">
        <f>SUMIFS('0831 4度C'!$Z:$Z,'0831 4度C'!$A:$A,"新豐4線",'0831 4度C'!$B:$B,"平均")</f>
        <v>0</v>
      </c>
    </row>
    <row r="20" spans="2:13" ht="17.25" customHeight="1">
      <c r="B20" s="564" t="s">
        <v>2930</v>
      </c>
      <c r="C20" s="94" t="s">
        <v>2931</v>
      </c>
      <c r="D20" s="95">
        <f>SUMIFS('0831 4度C'!$AC:$AC,'0831 4度C'!$A:$A,"新豐6線",'0831 4度C'!$B:$B,"平均")</f>
        <v>4</v>
      </c>
      <c r="E20" s="96">
        <f>SUMIFS('0831 4度C'!$AC:$AC,'0831 4度C'!$A:$A,"新豐2線",'0831 4度C'!$B:$B,"平均")</f>
        <v>4</v>
      </c>
      <c r="F20" s="96">
        <f>SUMIFS('0831 4度C'!$AC:$AC,'0831 4度C'!$A:$A,"新豐5線",'0831 4度C'!$B:$B,"平均")</f>
        <v>8</v>
      </c>
      <c r="G20" s="96">
        <f>SUMIFS('0831 4度C'!$AC:$AC,'0831 4度C'!$A:$A,"新豐7線",'0831 4度C'!$B:$B,"平均")</f>
        <v>8</v>
      </c>
      <c r="H20" s="96">
        <f>SUMIFS('0831 4度C'!$AC:$AC,'0831 4度C'!$A:$A,"新豐3線",'0831 4度C'!$B:$B,"平均")</f>
        <v>3</v>
      </c>
      <c r="I20" s="96">
        <f>SUMIFS('0831 4度C'!$AC:$AC,'0831 4度C'!$A:$A,"新豐1線",'0831 4度C'!$B:$B,"平均")</f>
        <v>9</v>
      </c>
      <c r="J20" s="97">
        <f>SUMIFS('0831 4度C'!$AC:$AC,'0831 4度C'!$A:$A,"新豐10線",'0831 4度C'!$B:$B,"平均")</f>
        <v>5</v>
      </c>
      <c r="K20" s="98">
        <f>SUMIFS('0831 4度C'!$AC:$AC,'0831 4度C'!$A:$A,"新豐8線",'0831 4度C'!$B:$B,"平均")</f>
        <v>6</v>
      </c>
      <c r="L20" s="96">
        <f>SUMIFS('0831 4度C'!$AC:$AC,'0831 4度C'!$A:$A,"新豐9線",'0831 4度C'!$B:$B,"平均")</f>
        <v>8</v>
      </c>
      <c r="M20" s="97">
        <f>SUMIFS('0831 4度C'!$AC:$AC,'0831 4度C'!$A:$A,"新豐4線",'0831 4度C'!$B:$B,"平均")</f>
        <v>6</v>
      </c>
    </row>
    <row r="21" spans="2:13" ht="17.25" customHeight="1">
      <c r="B21" s="565"/>
      <c r="C21" s="94" t="s">
        <v>2932</v>
      </c>
      <c r="D21" s="95">
        <f>SUMIFS('0831 4度C'!$AD:$AD,'0831 4度C'!$A:$A,"新豐6線",'0831 4度C'!$B:$B,"平均")</f>
        <v>0</v>
      </c>
      <c r="E21" s="96">
        <f>SUMIFS('0831 4度C'!$AD:$AD,'0831 4度C'!$A:$A,"新豐2線",'0831 4度C'!$B:$B,"平均")</f>
        <v>0</v>
      </c>
      <c r="F21" s="96">
        <f>SUMIFS('0831 4度C'!$AD:$AD,'0831 4度C'!$A:$A,"新豐5線",'0831 4度C'!$B:$B,"平均")</f>
        <v>0</v>
      </c>
      <c r="G21" s="96">
        <f>SUMIFS('0831 4度C'!$AD:$AD,'0831 4度C'!$A:$A,"新豐7線",'0831 4度C'!$B:$B,"平均")</f>
        <v>0</v>
      </c>
      <c r="H21" s="96">
        <f>SUMIFS('0831 4度C'!$AD:$AD,'0831 4度C'!$A:$A,"新豐3線",'0831 4度C'!$B:$B,"平均")</f>
        <v>0</v>
      </c>
      <c r="I21" s="96">
        <f>SUMIFS('0831 4度C'!$AD:$AD,'0831 4度C'!$A:$A,"新豐1線",'0831 4度C'!$B:$B,"平均")</f>
        <v>0</v>
      </c>
      <c r="J21" s="97">
        <f>SUMIFS('0831 4度C'!$AD:$AD,'0831 4度C'!$A:$A,"新豐10線",'0831 4度C'!$B:$B,"平均")</f>
        <v>0</v>
      </c>
      <c r="K21" s="98">
        <f>SUMIFS('0831 4度C'!$AD:$AD,'0831 4度C'!$A:$A,"新豐8線",'0831 4度C'!$B:$B,"平均")</f>
        <v>0</v>
      </c>
      <c r="L21" s="96">
        <f>SUMIFS('0831 4度C'!$AD:$AD,'0831 4度C'!$A:$A,"新豐9線",'0831 4度C'!$B:$B,"平均")</f>
        <v>0</v>
      </c>
      <c r="M21" s="97">
        <f>SUMIFS('0831 4度C'!$AD:$AD,'0831 4度C'!$A:$A,"新豐4線",'0831 4度C'!$B:$B,"平均")</f>
        <v>0</v>
      </c>
    </row>
    <row r="22" spans="2:13" ht="17.25" customHeight="1">
      <c r="B22" s="566" t="s">
        <v>2933</v>
      </c>
      <c r="C22" s="567"/>
      <c r="D22" s="99">
        <f>SUMIFS('0831 4度C'!$I:$I,'0831 4度C'!$A:$A,"新豐6線",'0831 4度C'!$B:$B,"平均")</f>
        <v>14.75</v>
      </c>
      <c r="E22" s="100">
        <f>SUMIFS('0831 4度C'!$I:$I,'0831 4度C'!$A:$A,"新豐2線",'0831 4度C'!$B:$B,"平均")</f>
        <v>18.5</v>
      </c>
      <c r="F22" s="100">
        <f>SUMIFS('0831 4度C'!$I:$I,'0831 4度C'!$A:$A,"新豐5線",'0831 4度C'!$B:$B,"平均")</f>
        <v>17</v>
      </c>
      <c r="G22" s="100">
        <f>SUMIFS('0831 4度C'!$I:$I,'0831 4度C'!$A:$A,"新豐7線",'0831 4度C'!$B:$B,"平均")</f>
        <v>15.625</v>
      </c>
      <c r="H22" s="100">
        <f>SUMIFS('0831 4度C'!$I:$I,'0831 4度C'!$A:$A,"新豐3線",'0831 4度C'!$B:$B,"平均")</f>
        <v>10</v>
      </c>
      <c r="I22" s="100">
        <f>SUMIFS('0831 4度C'!$I:$I,'0831 4度C'!$A:$A,"新豐1線",'0831 4度C'!$B:$B,"平均")</f>
        <v>18.555555555555557</v>
      </c>
      <c r="J22" s="101">
        <f>SUMIFS('0831 4度C'!$I:$I,'0831 4度C'!$A:$A,"新豐10線",'0831 4度C'!$B:$B,"平均")</f>
        <v>10.4</v>
      </c>
      <c r="K22" s="99">
        <f>SUMIFS('0831 4度C'!$I:$I,'0831 4度C'!$A:$A,"新豐8線",'0831 4度C'!$B:$B,"平均")</f>
        <v>17</v>
      </c>
      <c r="L22" s="100">
        <f>SUMIFS('0831 4度C'!$I:$I,'0831 4度C'!$A:$A,"新豐9線",'0831 4度C'!$B:$B,"平均")</f>
        <v>16.25</v>
      </c>
      <c r="M22" s="101">
        <f>SUMIFS('0831 4度C'!$I:$I,'0831 4度C'!$A:$A,"新豐4線",'0831 4度C'!$B:$B,"平均")</f>
        <v>16.833333333333332</v>
      </c>
    </row>
    <row r="23" spans="2:13" ht="17.25" customHeight="1">
      <c r="B23" s="566" t="s">
        <v>2934</v>
      </c>
      <c r="C23" s="567"/>
      <c r="D23" s="102" t="s">
        <v>202</v>
      </c>
      <c r="E23" s="103" t="s">
        <v>203</v>
      </c>
      <c r="F23" s="103" t="s">
        <v>2935</v>
      </c>
      <c r="G23" s="103" t="s">
        <v>2936</v>
      </c>
      <c r="H23" s="103" t="s">
        <v>205</v>
      </c>
      <c r="I23" s="103" t="s">
        <v>202</v>
      </c>
      <c r="J23" s="104" t="s">
        <v>205</v>
      </c>
      <c r="K23" s="102" t="s">
        <v>2937</v>
      </c>
      <c r="L23" s="103" t="s">
        <v>2937</v>
      </c>
      <c r="M23" s="104" t="s">
        <v>2937</v>
      </c>
    </row>
    <row r="24" spans="2:13" ht="17.25" customHeight="1">
      <c r="B24" s="566" t="s">
        <v>2938</v>
      </c>
      <c r="C24" s="567"/>
      <c r="D24" s="102"/>
      <c r="E24" s="103"/>
      <c r="F24" s="103" t="s">
        <v>2939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68" t="s">
        <v>2940</v>
      </c>
      <c r="C25" s="569"/>
      <c r="D25" s="105"/>
      <c r="E25" s="106" t="s">
        <v>2941</v>
      </c>
      <c r="F25" s="562" t="s">
        <v>2942</v>
      </c>
      <c r="G25" s="563"/>
      <c r="H25" s="106" t="s">
        <v>2943</v>
      </c>
      <c r="I25" s="106" t="s">
        <v>2944</v>
      </c>
      <c r="J25" s="107" t="s">
        <v>2945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72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6"/>
  <sheetViews>
    <sheetView zoomScale="80" zoomScaleNormal="80" workbookViewId="0">
      <pane ySplit="4" topLeftCell="A5" activePane="bottomLeft" state="frozen"/>
      <selection activeCell="A9" sqref="A9"/>
      <selection pane="bottomLeft" activeCell="U74" sqref="U74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41" customWidth="1"/>
    <col min="20" max="20" width="7.625" style="41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2946</v>
      </c>
      <c r="B1" s="1"/>
      <c r="C1" s="2" t="s">
        <v>2947</v>
      </c>
      <c r="D1" s="3">
        <f>SUM(F5:F75)</f>
        <v>188787</v>
      </c>
      <c r="E1" s="547" t="s">
        <v>2948</v>
      </c>
      <c r="F1" s="1">
        <f>SUM(G5:G75)</f>
        <v>6748732.919999999</v>
      </c>
      <c r="G1" s="1" t="s">
        <v>2949</v>
      </c>
      <c r="H1" s="5">
        <f>L9+L14+L52+L62+L23+L68+L39+L48+L32+L75</f>
        <v>154.91388888888892</v>
      </c>
      <c r="I1" s="676" t="s">
        <v>2950</v>
      </c>
      <c r="J1" s="676"/>
      <c r="K1" s="676"/>
      <c r="L1" s="676" t="s">
        <v>2951</v>
      </c>
      <c r="M1" s="676"/>
      <c r="N1" s="676"/>
      <c r="O1" s="676" t="s">
        <v>2952</v>
      </c>
      <c r="P1" s="676"/>
      <c r="Q1" s="676"/>
      <c r="R1" s="676"/>
      <c r="S1" s="676" t="s">
        <v>2953</v>
      </c>
      <c r="T1" s="676"/>
      <c r="U1" s="676"/>
      <c r="V1" s="676"/>
      <c r="W1" s="676"/>
      <c r="X1" s="676"/>
      <c r="Y1" s="6" t="s">
        <v>2954</v>
      </c>
      <c r="Z1" s="7" t="s">
        <v>2955</v>
      </c>
      <c r="AA1" s="677" t="s">
        <v>2956</v>
      </c>
      <c r="AB1" s="677"/>
      <c r="AC1" s="8" t="s">
        <v>2954</v>
      </c>
      <c r="AD1" s="7" t="s">
        <v>2957</v>
      </c>
      <c r="AE1" s="676" t="s">
        <v>2958</v>
      </c>
      <c r="AF1" s="678"/>
      <c r="AG1" s="678"/>
    </row>
    <row r="2" spans="1:33" ht="26.25" customHeight="1">
      <c r="A2" s="35">
        <v>46265</v>
      </c>
      <c r="B2" s="36" t="s">
        <v>378</v>
      </c>
      <c r="C2" s="2" t="s">
        <v>2959</v>
      </c>
      <c r="D2" s="10">
        <f>AVERAGE(N9,N14,N52,N62,N23,N68,N32,N39,N48,N75)</f>
        <v>149.73015830315308</v>
      </c>
      <c r="E2" s="11" t="s">
        <v>14</v>
      </c>
      <c r="F2" s="12">
        <f>F1/D1</f>
        <v>35.747868868089427</v>
      </c>
      <c r="G2" s="1" t="s">
        <v>2960</v>
      </c>
      <c r="H2" s="561">
        <f>COUNT(H5:H75)</f>
        <v>10</v>
      </c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14">
        <f>SUM(Y9+Y14+Y23+Y32+Y39+Y48+Y52+Y62+Y68+Y75)</f>
        <v>0</v>
      </c>
      <c r="Z2" s="14">
        <f>SUM(Z9+Z14+Z23+Z32+Z39+Z48+Z52+Z62+Z68+Z75)</f>
        <v>0</v>
      </c>
      <c r="AA2" s="677"/>
      <c r="AB2" s="677"/>
      <c r="AC2" s="14">
        <v>61</v>
      </c>
      <c r="AD2" s="14">
        <f>SUM(AD9+AD14+AD23+AD32+AD39+AD48+AD52+AD62+AD68+AD75)</f>
        <v>0</v>
      </c>
      <c r="AE2" s="678"/>
      <c r="AF2" s="678"/>
      <c r="AG2" s="678"/>
    </row>
    <row r="3" spans="1:33" ht="40.5" customHeight="1">
      <c r="A3" s="632" t="s">
        <v>2961</v>
      </c>
      <c r="B3" s="632" t="s">
        <v>2962</v>
      </c>
      <c r="C3" s="632" t="s">
        <v>2963</v>
      </c>
      <c r="D3" s="632"/>
      <c r="E3" s="674" t="s">
        <v>2964</v>
      </c>
      <c r="F3" s="632" t="s">
        <v>2965</v>
      </c>
      <c r="G3" s="674" t="s">
        <v>2966</v>
      </c>
      <c r="H3" s="667" t="s">
        <v>2967</v>
      </c>
      <c r="I3" s="665" t="s">
        <v>2968</v>
      </c>
      <c r="J3" s="662" t="s">
        <v>2969</v>
      </c>
      <c r="K3" s="672" t="s">
        <v>2970</v>
      </c>
      <c r="L3" s="665" t="s">
        <v>2968</v>
      </c>
      <c r="M3" s="662" t="s">
        <v>2969</v>
      </c>
      <c r="N3" s="672" t="s">
        <v>2959</v>
      </c>
      <c r="O3" s="665" t="s">
        <v>2971</v>
      </c>
      <c r="P3" s="672" t="s">
        <v>2970</v>
      </c>
      <c r="Q3" s="663" t="s">
        <v>2972</v>
      </c>
      <c r="R3" s="641" t="s">
        <v>2973</v>
      </c>
      <c r="S3" s="673" t="s">
        <v>29</v>
      </c>
      <c r="T3" s="673"/>
      <c r="U3" s="667" t="s">
        <v>30</v>
      </c>
      <c r="V3" s="667" t="s">
        <v>2974</v>
      </c>
      <c r="W3" s="632" t="s">
        <v>2975</v>
      </c>
      <c r="X3" s="632"/>
      <c r="Y3" s="668" t="s">
        <v>2976</v>
      </c>
      <c r="Z3" s="631"/>
      <c r="AA3" s="669" t="s">
        <v>2977</v>
      </c>
      <c r="AB3" s="670"/>
      <c r="AC3" s="668" t="s">
        <v>2978</v>
      </c>
      <c r="AD3" s="631"/>
      <c r="AE3" s="662" t="s">
        <v>2969</v>
      </c>
      <c r="AF3" s="663" t="s">
        <v>2979</v>
      </c>
      <c r="AG3" s="641" t="s">
        <v>2973</v>
      </c>
    </row>
    <row r="4" spans="1:33" ht="15.75" customHeight="1">
      <c r="A4" s="632"/>
      <c r="B4" s="632"/>
      <c r="C4" s="632"/>
      <c r="D4" s="632"/>
      <c r="E4" s="675"/>
      <c r="F4" s="632"/>
      <c r="G4" s="675"/>
      <c r="H4" s="667"/>
      <c r="I4" s="665"/>
      <c r="J4" s="662"/>
      <c r="K4" s="672"/>
      <c r="L4" s="665"/>
      <c r="M4" s="662"/>
      <c r="N4" s="672"/>
      <c r="O4" s="665"/>
      <c r="P4" s="672"/>
      <c r="Q4" s="663"/>
      <c r="R4" s="641"/>
      <c r="S4" s="560" t="s">
        <v>39</v>
      </c>
      <c r="T4" s="560" t="s">
        <v>40</v>
      </c>
      <c r="U4" s="667"/>
      <c r="V4" s="667"/>
      <c r="W4" s="547" t="s">
        <v>2980</v>
      </c>
      <c r="X4" s="547" t="s">
        <v>2981</v>
      </c>
      <c r="Y4" s="549" t="s">
        <v>2982</v>
      </c>
      <c r="Z4" s="549" t="s">
        <v>2983</v>
      </c>
      <c r="AA4" s="671"/>
      <c r="AB4" s="670"/>
      <c r="AC4" s="549" t="s">
        <v>2984</v>
      </c>
      <c r="AD4" s="549" t="s">
        <v>2985</v>
      </c>
      <c r="AE4" s="662"/>
      <c r="AF4" s="663"/>
      <c r="AG4" s="641"/>
    </row>
    <row r="5" spans="1:33">
      <c r="A5" s="664" t="s">
        <v>2986</v>
      </c>
      <c r="B5" s="42" t="s">
        <v>92</v>
      </c>
      <c r="C5" s="666" t="s">
        <v>93</v>
      </c>
      <c r="D5" s="666"/>
      <c r="E5" s="42">
        <v>50.92</v>
      </c>
      <c r="F5" s="560">
        <v>1000</v>
      </c>
      <c r="G5" s="547">
        <f t="shared" ref="G5:G8" si="0">E5*F5</f>
        <v>50920</v>
      </c>
      <c r="H5" s="37">
        <v>2</v>
      </c>
      <c r="I5" s="558">
        <v>15</v>
      </c>
      <c r="J5" s="39">
        <v>2000</v>
      </c>
      <c r="K5" s="17">
        <f t="shared" ref="K5:K68" si="1">J5/I5</f>
        <v>133.33333333333334</v>
      </c>
      <c r="L5" s="558">
        <v>15</v>
      </c>
      <c r="M5" s="18">
        <f t="shared" ref="M5:M8" si="2">F5/V5*60</f>
        <v>1935.483870967739</v>
      </c>
      <c r="N5" s="17">
        <f t="shared" ref="N5:N68" si="3">M5/L5</f>
        <v>129.03225806451593</v>
      </c>
      <c r="O5" s="19">
        <f t="shared" ref="O5:O68" si="4">L5-I5</f>
        <v>0</v>
      </c>
      <c r="P5" s="20">
        <f t="shared" ref="P5:P68" si="5">N5-K5</f>
        <v>-4.3010752688174136</v>
      </c>
      <c r="Q5" s="550">
        <f t="shared" ref="Q5:Q68" si="6">N5/K5</f>
        <v>0.96774193548386944</v>
      </c>
      <c r="R5" s="637">
        <f>Q9</f>
        <v>0.96229732597623041</v>
      </c>
      <c r="S5" s="40">
        <v>0.70833333333333337</v>
      </c>
      <c r="T5" s="40">
        <v>0.72986111111111118</v>
      </c>
      <c r="U5" s="547"/>
      <c r="V5" s="559">
        <f t="shared" ref="V5:V8" si="7">(T5-S5)*24*60</f>
        <v>31.00000000000005</v>
      </c>
      <c r="W5" s="23"/>
      <c r="X5" s="23"/>
      <c r="Y5" s="24"/>
      <c r="Z5" s="24"/>
      <c r="AA5" s="632"/>
      <c r="AB5" s="632"/>
      <c r="AC5" s="25">
        <v>4</v>
      </c>
      <c r="AD5" s="25"/>
      <c r="AE5" s="19">
        <f t="shared" ref="AE5:AE61" si="8">M5-J5</f>
        <v>-64.516129032261006</v>
      </c>
      <c r="AF5" s="550">
        <f t="shared" ref="AF5:AF68" si="9">M5/J5</f>
        <v>0.96774193548386944</v>
      </c>
      <c r="AG5" s="637">
        <f>AF9</f>
        <v>0.96229732597623052</v>
      </c>
    </row>
    <row r="6" spans="1:33">
      <c r="A6" s="665" t="s">
        <v>2478</v>
      </c>
      <c r="B6" s="42" t="s">
        <v>92</v>
      </c>
      <c r="C6" s="666" t="s">
        <v>94</v>
      </c>
      <c r="D6" s="666"/>
      <c r="E6" s="42">
        <v>50.98</v>
      </c>
      <c r="F6" s="560">
        <v>3644</v>
      </c>
      <c r="G6" s="547">
        <f t="shared" si="0"/>
        <v>185771.12</v>
      </c>
      <c r="H6" s="37" t="s">
        <v>91</v>
      </c>
      <c r="I6" s="558">
        <v>16</v>
      </c>
      <c r="J6" s="39">
        <v>2000</v>
      </c>
      <c r="K6" s="17">
        <f t="shared" si="1"/>
        <v>125</v>
      </c>
      <c r="L6" s="558">
        <v>16</v>
      </c>
      <c r="M6" s="18">
        <f t="shared" si="2"/>
        <v>1917.8947368421041</v>
      </c>
      <c r="N6" s="17">
        <f t="shared" si="3"/>
        <v>119.8684210526315</v>
      </c>
      <c r="O6" s="19">
        <f t="shared" si="4"/>
        <v>0</v>
      </c>
      <c r="P6" s="20">
        <f t="shared" si="5"/>
        <v>-5.1315789473684958</v>
      </c>
      <c r="Q6" s="550">
        <f t="shared" si="6"/>
        <v>0.95894736842105199</v>
      </c>
      <c r="R6" s="637"/>
      <c r="S6" s="40">
        <v>0.73402777777777783</v>
      </c>
      <c r="T6" s="40">
        <v>0.81319444444444455</v>
      </c>
      <c r="U6" s="547">
        <f t="shared" ref="U6:U8" si="10">IF(S6=TIME(17,0,0),"",(S6-T5)*24*60)</f>
        <v>5.9999999999999787</v>
      </c>
      <c r="V6" s="559">
        <f t="shared" si="7"/>
        <v>114.00000000000007</v>
      </c>
      <c r="W6" s="23"/>
      <c r="X6" s="23"/>
      <c r="Y6" s="23"/>
      <c r="Z6" s="23"/>
      <c r="AA6" s="632"/>
      <c r="AB6" s="632"/>
      <c r="AC6" s="25"/>
      <c r="AD6" s="25"/>
      <c r="AE6" s="19">
        <f t="shared" si="8"/>
        <v>-82.105263157895934</v>
      </c>
      <c r="AF6" s="550">
        <f t="shared" si="9"/>
        <v>0.95894736842105199</v>
      </c>
      <c r="AG6" s="637"/>
    </row>
    <row r="7" spans="1:33">
      <c r="A7" s="665" t="s">
        <v>2987</v>
      </c>
      <c r="B7" s="42" t="s">
        <v>92</v>
      </c>
      <c r="C7" s="660" t="s">
        <v>113</v>
      </c>
      <c r="D7" s="661"/>
      <c r="E7" s="42">
        <v>56.43</v>
      </c>
      <c r="F7" s="560">
        <v>1419</v>
      </c>
      <c r="G7" s="547">
        <f t="shared" si="0"/>
        <v>80074.17</v>
      </c>
      <c r="H7" s="37" t="s">
        <v>91</v>
      </c>
      <c r="I7" s="558">
        <v>13</v>
      </c>
      <c r="J7" s="39">
        <v>2000</v>
      </c>
      <c r="K7" s="17">
        <f t="shared" si="1"/>
        <v>153.84615384615384</v>
      </c>
      <c r="L7" s="558">
        <v>13</v>
      </c>
      <c r="M7" s="18">
        <f t="shared" si="2"/>
        <v>1935</v>
      </c>
      <c r="N7" s="17">
        <f t="shared" si="3"/>
        <v>148.84615384615384</v>
      </c>
      <c r="O7" s="19">
        <f t="shared" si="4"/>
        <v>0</v>
      </c>
      <c r="P7" s="20">
        <f t="shared" si="5"/>
        <v>-5</v>
      </c>
      <c r="Q7" s="550">
        <f t="shared" si="6"/>
        <v>0.96750000000000003</v>
      </c>
      <c r="R7" s="637"/>
      <c r="S7" s="40">
        <v>0.81666666666666676</v>
      </c>
      <c r="T7" s="40">
        <v>0.84722222222222232</v>
      </c>
      <c r="U7" s="547">
        <f t="shared" si="10"/>
        <v>4.9999999999999822</v>
      </c>
      <c r="V7" s="559">
        <f t="shared" si="7"/>
        <v>44</v>
      </c>
      <c r="W7" s="23">
        <f>T7</f>
        <v>0.84722222222222232</v>
      </c>
      <c r="X7" s="23">
        <f>S8</f>
        <v>0.88541666666666674</v>
      </c>
      <c r="Y7" s="26"/>
      <c r="Z7" s="26"/>
      <c r="AA7" s="627"/>
      <c r="AB7" s="628"/>
      <c r="AC7" s="27"/>
      <c r="AD7" s="27"/>
      <c r="AE7" s="19">
        <f t="shared" si="8"/>
        <v>-65</v>
      </c>
      <c r="AF7" s="550">
        <f t="shared" si="9"/>
        <v>0.96750000000000003</v>
      </c>
      <c r="AG7" s="637"/>
    </row>
    <row r="8" spans="1:33">
      <c r="A8" s="665" t="s">
        <v>2988</v>
      </c>
      <c r="B8" s="42" t="s">
        <v>92</v>
      </c>
      <c r="C8" s="660" t="s">
        <v>93</v>
      </c>
      <c r="D8" s="661"/>
      <c r="E8" s="42">
        <v>50.92</v>
      </c>
      <c r="F8" s="560">
        <v>1719</v>
      </c>
      <c r="G8" s="547">
        <f t="shared" si="0"/>
        <v>87531.48</v>
      </c>
      <c r="H8" s="37" t="s">
        <v>91</v>
      </c>
      <c r="I8" s="558">
        <v>15</v>
      </c>
      <c r="J8" s="39">
        <v>2000</v>
      </c>
      <c r="K8" s="17">
        <f t="shared" si="1"/>
        <v>133.33333333333334</v>
      </c>
      <c r="L8" s="558">
        <v>15</v>
      </c>
      <c r="M8" s="18">
        <f t="shared" si="2"/>
        <v>1910.0000000000009</v>
      </c>
      <c r="N8" s="17">
        <f t="shared" si="3"/>
        <v>127.3333333333334</v>
      </c>
      <c r="O8" s="19">
        <f t="shared" si="4"/>
        <v>0</v>
      </c>
      <c r="P8" s="20">
        <f t="shared" si="5"/>
        <v>-5.9999999999999432</v>
      </c>
      <c r="Q8" s="550">
        <f t="shared" si="6"/>
        <v>0.9550000000000004</v>
      </c>
      <c r="R8" s="637"/>
      <c r="S8" s="40">
        <v>0.88541666666666674</v>
      </c>
      <c r="T8" s="40">
        <v>0.92291666666666672</v>
      </c>
      <c r="U8" s="547">
        <f t="shared" si="10"/>
        <v>54.999999999999964</v>
      </c>
      <c r="V8" s="559">
        <f t="shared" si="7"/>
        <v>53.999999999999972</v>
      </c>
      <c r="W8" s="28"/>
      <c r="X8" s="28"/>
      <c r="Y8" s="136"/>
      <c r="Z8" s="136"/>
      <c r="AA8" s="627"/>
      <c r="AB8" s="628"/>
      <c r="AC8" s="27"/>
      <c r="AD8" s="27"/>
      <c r="AE8" s="19">
        <f t="shared" si="8"/>
        <v>-89.999999999999091</v>
      </c>
      <c r="AF8" s="550">
        <f t="shared" si="9"/>
        <v>0.9550000000000004</v>
      </c>
      <c r="AG8" s="637"/>
    </row>
    <row r="9" spans="1:33">
      <c r="A9" s="665" t="s">
        <v>2989</v>
      </c>
      <c r="B9" s="42" t="s">
        <v>2990</v>
      </c>
      <c r="C9" s="638"/>
      <c r="D9" s="638"/>
      <c r="E9" s="551"/>
      <c r="F9" s="44"/>
      <c r="G9" s="17"/>
      <c r="H9" s="560"/>
      <c r="I9" s="29">
        <v>14.75</v>
      </c>
      <c r="J9" s="39">
        <v>2000</v>
      </c>
      <c r="K9" s="17">
        <f t="shared" si="1"/>
        <v>135.59322033898306</v>
      </c>
      <c r="L9" s="29">
        <v>14.75</v>
      </c>
      <c r="M9" s="18">
        <f>AVERAGE(M5:M8)</f>
        <v>1924.5946519524609</v>
      </c>
      <c r="N9" s="17">
        <f t="shared" si="3"/>
        <v>130.48099335270922</v>
      </c>
      <c r="O9" s="19">
        <f t="shared" si="4"/>
        <v>0</v>
      </c>
      <c r="P9" s="20">
        <f t="shared" si="5"/>
        <v>-5.1122269862738392</v>
      </c>
      <c r="Q9" s="550">
        <f t="shared" si="6"/>
        <v>0.96229732597623041</v>
      </c>
      <c r="R9" s="637"/>
      <c r="S9" s="40"/>
      <c r="T9" s="40"/>
      <c r="U9" s="547"/>
      <c r="V9" s="559"/>
      <c r="W9" s="17"/>
      <c r="X9" s="17"/>
      <c r="Y9" s="30">
        <f>SUM(Y5:Y8)</f>
        <v>0</v>
      </c>
      <c r="Z9" s="30">
        <f>SUM(Z5:Z8)</f>
        <v>0</v>
      </c>
      <c r="AA9" s="631"/>
      <c r="AB9" s="631"/>
      <c r="AC9" s="30">
        <v>4</v>
      </c>
      <c r="AD9" s="30">
        <f>SUM(AD5:AD8)</f>
        <v>0</v>
      </c>
      <c r="AE9" s="19">
        <f t="shared" si="8"/>
        <v>-75.405348047539064</v>
      </c>
      <c r="AF9" s="550">
        <f t="shared" si="9"/>
        <v>0.96229732597623052</v>
      </c>
      <c r="AG9" s="637"/>
    </row>
    <row r="10" spans="1:33" ht="15.75" customHeight="1">
      <c r="A10" s="659" t="s">
        <v>2991</v>
      </c>
      <c r="B10" s="42" t="s">
        <v>96</v>
      </c>
      <c r="C10" s="660" t="s">
        <v>100</v>
      </c>
      <c r="D10" s="661"/>
      <c r="E10" s="42">
        <v>39.619999999999997</v>
      </c>
      <c r="F10" s="560">
        <v>2800</v>
      </c>
      <c r="G10" s="547">
        <f t="shared" ref="G10:G13" si="11">E10*F10</f>
        <v>110936</v>
      </c>
      <c r="H10" s="37">
        <v>2</v>
      </c>
      <c r="I10" s="558">
        <v>19</v>
      </c>
      <c r="J10" s="39">
        <v>1500</v>
      </c>
      <c r="K10" s="17">
        <f t="shared" si="1"/>
        <v>78.94736842105263</v>
      </c>
      <c r="L10" s="558">
        <v>19</v>
      </c>
      <c r="M10" s="18">
        <f t="shared" ref="M10:M13" si="12">F10/V10*60</f>
        <v>1435.8974358974358</v>
      </c>
      <c r="N10" s="17">
        <f t="shared" si="3"/>
        <v>75.57354925775978</v>
      </c>
      <c r="O10" s="19">
        <f t="shared" si="4"/>
        <v>0</v>
      </c>
      <c r="P10" s="20">
        <f t="shared" si="5"/>
        <v>-3.3738191632928505</v>
      </c>
      <c r="Q10" s="550">
        <f t="shared" si="6"/>
        <v>0.95726495726495719</v>
      </c>
      <c r="R10" s="637">
        <f>Q14</f>
        <v>0.95701512403229716</v>
      </c>
      <c r="S10" s="40">
        <v>8.3333333333333329E-2</v>
      </c>
      <c r="T10" s="40">
        <v>0.16458333333333333</v>
      </c>
      <c r="U10" s="547"/>
      <c r="V10" s="559">
        <f t="shared" ref="V10:V13" si="13">(T10-S10)*24*60</f>
        <v>117.00000000000001</v>
      </c>
      <c r="W10" s="23">
        <f>T10</f>
        <v>0.16458333333333333</v>
      </c>
      <c r="X10" s="23">
        <f>S11</f>
        <v>0.18402777777777779</v>
      </c>
      <c r="Y10" s="23"/>
      <c r="Z10" s="23"/>
      <c r="AA10" s="632"/>
      <c r="AB10" s="632"/>
      <c r="AC10" s="25">
        <v>4</v>
      </c>
      <c r="AD10" s="25"/>
      <c r="AE10" s="19">
        <f t="shared" si="8"/>
        <v>-64.102564102564202</v>
      </c>
      <c r="AF10" s="550">
        <f t="shared" si="9"/>
        <v>0.95726495726495719</v>
      </c>
      <c r="AG10" s="637">
        <f>AF14</f>
        <v>0.95701512403229727</v>
      </c>
    </row>
    <row r="11" spans="1:33" ht="15.75" customHeight="1">
      <c r="A11" s="659" t="s">
        <v>2992</v>
      </c>
      <c r="B11" s="42" t="s">
        <v>96</v>
      </c>
      <c r="C11" s="660" t="s">
        <v>97</v>
      </c>
      <c r="D11" s="661"/>
      <c r="E11" s="42">
        <v>39.799999999999997</v>
      </c>
      <c r="F11" s="560">
        <v>7169</v>
      </c>
      <c r="G11" s="547">
        <f t="shared" si="11"/>
        <v>285326.19999999995</v>
      </c>
      <c r="H11" s="37" t="s">
        <v>91</v>
      </c>
      <c r="I11" s="558">
        <v>17</v>
      </c>
      <c r="J11" s="39">
        <v>1500</v>
      </c>
      <c r="K11" s="17">
        <f t="shared" si="1"/>
        <v>88.235294117647058</v>
      </c>
      <c r="L11" s="558">
        <v>17</v>
      </c>
      <c r="M11" s="18">
        <f t="shared" si="12"/>
        <v>1433.7999999999997</v>
      </c>
      <c r="N11" s="17">
        <f t="shared" si="3"/>
        <v>84.341176470588223</v>
      </c>
      <c r="O11" s="19">
        <f t="shared" si="4"/>
        <v>0</v>
      </c>
      <c r="P11" s="20">
        <f t="shared" si="5"/>
        <v>-3.8941176470588346</v>
      </c>
      <c r="Q11" s="550">
        <f t="shared" si="6"/>
        <v>0.95586666666666653</v>
      </c>
      <c r="R11" s="637"/>
      <c r="S11" s="40">
        <v>0.18402777777777779</v>
      </c>
      <c r="T11" s="40">
        <v>0.39236111111111116</v>
      </c>
      <c r="U11" s="547">
        <f t="shared" ref="U11:U13" si="14">IF(S11=TIME(17,0,0),"",(S11-T10)*24*60)</f>
        <v>28.000000000000021</v>
      </c>
      <c r="V11" s="559">
        <f t="shared" si="13"/>
        <v>300.00000000000006</v>
      </c>
      <c r="W11" s="23"/>
      <c r="X11" s="23"/>
      <c r="Y11" s="23"/>
      <c r="Z11" s="23"/>
      <c r="AA11" s="632"/>
      <c r="AB11" s="632"/>
      <c r="AC11" s="25"/>
      <c r="AD11" s="25"/>
      <c r="AE11" s="19">
        <f t="shared" si="8"/>
        <v>-66.200000000000273</v>
      </c>
      <c r="AF11" s="550">
        <f t="shared" si="9"/>
        <v>0.95586666666666653</v>
      </c>
      <c r="AG11" s="637"/>
    </row>
    <row r="12" spans="1:33" ht="15.75" customHeight="1">
      <c r="A12" s="659" t="s">
        <v>2993</v>
      </c>
      <c r="B12" s="42" t="s">
        <v>96</v>
      </c>
      <c r="C12" s="660" t="s">
        <v>99</v>
      </c>
      <c r="D12" s="661"/>
      <c r="E12" s="42">
        <v>39.520000000000003</v>
      </c>
      <c r="F12" s="560">
        <v>2417</v>
      </c>
      <c r="G12" s="547">
        <f t="shared" si="11"/>
        <v>95519.840000000011</v>
      </c>
      <c r="H12" s="37" t="s">
        <v>91</v>
      </c>
      <c r="I12" s="558">
        <v>19</v>
      </c>
      <c r="J12" s="39">
        <v>1500</v>
      </c>
      <c r="K12" s="17">
        <f t="shared" si="1"/>
        <v>78.94736842105263</v>
      </c>
      <c r="L12" s="558">
        <v>19</v>
      </c>
      <c r="M12" s="18">
        <f t="shared" si="12"/>
        <v>1435.8415841584165</v>
      </c>
      <c r="N12" s="17">
        <f t="shared" si="3"/>
        <v>75.570609692548231</v>
      </c>
      <c r="O12" s="19">
        <f t="shared" si="4"/>
        <v>0</v>
      </c>
      <c r="P12" s="20">
        <f t="shared" si="5"/>
        <v>-3.3767587285043987</v>
      </c>
      <c r="Q12" s="550">
        <f t="shared" si="6"/>
        <v>0.95722772277227763</v>
      </c>
      <c r="R12" s="637"/>
      <c r="S12" s="40">
        <v>0.3979166666666667</v>
      </c>
      <c r="T12" s="40">
        <v>0.46805555555555556</v>
      </c>
      <c r="U12" s="547">
        <f t="shared" si="14"/>
        <v>7.9999999999999716</v>
      </c>
      <c r="V12" s="559">
        <f t="shared" si="13"/>
        <v>100.99999999999996</v>
      </c>
      <c r="W12" s="23">
        <f>T12</f>
        <v>0.46805555555555556</v>
      </c>
      <c r="X12" s="23">
        <f>S13</f>
        <v>0.5083333333333333</v>
      </c>
      <c r="Y12" s="23"/>
      <c r="Z12" s="23"/>
      <c r="AA12" s="632"/>
      <c r="AB12" s="632"/>
      <c r="AC12" s="25"/>
      <c r="AD12" s="25"/>
      <c r="AE12" s="19">
        <f t="shared" si="8"/>
        <v>-64.158415841583519</v>
      </c>
      <c r="AF12" s="550">
        <f t="shared" si="9"/>
        <v>0.95722772277227763</v>
      </c>
      <c r="AG12" s="637"/>
    </row>
    <row r="13" spans="1:33" ht="15.75" customHeight="1">
      <c r="A13" s="659" t="s">
        <v>2992</v>
      </c>
      <c r="B13" s="42" t="s">
        <v>96</v>
      </c>
      <c r="C13" s="660" t="s">
        <v>100</v>
      </c>
      <c r="D13" s="661"/>
      <c r="E13" s="42">
        <v>39.619999999999997</v>
      </c>
      <c r="F13" s="560">
        <v>2083</v>
      </c>
      <c r="G13" s="547">
        <f t="shared" si="11"/>
        <v>82528.459999999992</v>
      </c>
      <c r="H13" s="37" t="s">
        <v>91</v>
      </c>
      <c r="I13" s="558">
        <v>19</v>
      </c>
      <c r="J13" s="39">
        <v>1500</v>
      </c>
      <c r="K13" s="17">
        <f t="shared" si="1"/>
        <v>78.94736842105263</v>
      </c>
      <c r="L13" s="558">
        <v>19</v>
      </c>
      <c r="M13" s="18">
        <f t="shared" si="12"/>
        <v>1436.5517241379307</v>
      </c>
      <c r="N13" s="17">
        <f t="shared" si="3"/>
        <v>75.607985480943725</v>
      </c>
      <c r="O13" s="19">
        <f t="shared" si="4"/>
        <v>0</v>
      </c>
      <c r="P13" s="20">
        <f t="shared" si="5"/>
        <v>-3.339382940108905</v>
      </c>
      <c r="Q13" s="550">
        <f t="shared" si="6"/>
        <v>0.95770114942528717</v>
      </c>
      <c r="R13" s="637"/>
      <c r="S13" s="40">
        <v>0.5083333333333333</v>
      </c>
      <c r="T13" s="40">
        <v>0.56874999999999998</v>
      </c>
      <c r="U13" s="547">
        <f t="shared" si="14"/>
        <v>57.999999999999957</v>
      </c>
      <c r="V13" s="559">
        <f t="shared" si="13"/>
        <v>87.000000000000014</v>
      </c>
      <c r="W13" s="23"/>
      <c r="X13" s="23"/>
      <c r="Y13" s="23"/>
      <c r="Z13" s="23"/>
      <c r="AA13" s="627"/>
      <c r="AB13" s="628"/>
      <c r="AC13" s="25"/>
      <c r="AD13" s="25"/>
      <c r="AE13" s="19">
        <f t="shared" si="8"/>
        <v>-63.448275862069295</v>
      </c>
      <c r="AF13" s="550">
        <f t="shared" si="9"/>
        <v>0.95770114942528717</v>
      </c>
      <c r="AG13" s="637"/>
    </row>
    <row r="14" spans="1:33" ht="16.5" customHeight="1">
      <c r="A14" s="659" t="s">
        <v>2994</v>
      </c>
      <c r="B14" s="42" t="s">
        <v>2990</v>
      </c>
      <c r="C14" s="638"/>
      <c r="D14" s="638"/>
      <c r="E14" s="551"/>
      <c r="F14" s="39"/>
      <c r="G14" s="18"/>
      <c r="H14" s="560"/>
      <c r="I14" s="29">
        <v>18.5</v>
      </c>
      <c r="J14" s="39">
        <v>1500</v>
      </c>
      <c r="K14" s="17">
        <f t="shared" si="1"/>
        <v>81.081081081081081</v>
      </c>
      <c r="L14" s="29">
        <v>18.5</v>
      </c>
      <c r="M14" s="18">
        <f>AVERAGE(M10:M13)</f>
        <v>1435.5226860484458</v>
      </c>
      <c r="N14" s="17">
        <f t="shared" si="3"/>
        <v>77.595820867483553</v>
      </c>
      <c r="O14" s="19">
        <f t="shared" si="4"/>
        <v>0</v>
      </c>
      <c r="P14" s="20">
        <f t="shared" si="5"/>
        <v>-3.4852602135975275</v>
      </c>
      <c r="Q14" s="550">
        <f t="shared" si="6"/>
        <v>0.95701512403229716</v>
      </c>
      <c r="R14" s="637"/>
      <c r="S14" s="40"/>
      <c r="T14" s="40"/>
      <c r="U14" s="17"/>
      <c r="V14" s="559"/>
      <c r="W14" s="17"/>
      <c r="X14" s="17"/>
      <c r="Y14" s="30">
        <f>SUM(Y10:Y13)</f>
        <v>0</v>
      </c>
      <c r="Z14" s="30">
        <f>SUM(Z10:Z13)</f>
        <v>0</v>
      </c>
      <c r="AA14" s="631"/>
      <c r="AB14" s="631"/>
      <c r="AC14" s="30">
        <v>4</v>
      </c>
      <c r="AD14" s="30">
        <f>SUM(AD10:AD13)</f>
        <v>0</v>
      </c>
      <c r="AE14" s="19">
        <f t="shared" si="8"/>
        <v>-64.477313951554152</v>
      </c>
      <c r="AF14" s="550">
        <f t="shared" si="9"/>
        <v>0.95701512403229727</v>
      </c>
      <c r="AG14" s="637"/>
    </row>
    <row r="15" spans="1:33" ht="16.5" customHeight="1">
      <c r="A15" s="657" t="s">
        <v>2995</v>
      </c>
      <c r="B15" s="560" t="s">
        <v>101</v>
      </c>
      <c r="C15" s="653" t="s">
        <v>102</v>
      </c>
      <c r="D15" s="653"/>
      <c r="E15" s="42">
        <v>31.11</v>
      </c>
      <c r="F15" s="560">
        <v>3253</v>
      </c>
      <c r="G15" s="547">
        <f t="shared" ref="G15:G22" si="15">E15*F15</f>
        <v>101200.83</v>
      </c>
      <c r="H15" s="37" t="s">
        <v>91</v>
      </c>
      <c r="I15" s="558">
        <v>14</v>
      </c>
      <c r="J15" s="39">
        <v>2000</v>
      </c>
      <c r="K15" s="17">
        <f t="shared" si="1"/>
        <v>142.85714285714286</v>
      </c>
      <c r="L15" s="558">
        <v>14</v>
      </c>
      <c r="M15" s="18">
        <f t="shared" ref="M15:M22" si="16">F15/V15*60</f>
        <v>1913.5294117647059</v>
      </c>
      <c r="N15" s="17">
        <f t="shared" si="3"/>
        <v>136.68067226890756</v>
      </c>
      <c r="O15" s="19">
        <f t="shared" si="4"/>
        <v>0</v>
      </c>
      <c r="P15" s="20">
        <f t="shared" si="5"/>
        <v>-6.1764705882353041</v>
      </c>
      <c r="Q15" s="550">
        <f t="shared" si="6"/>
        <v>0.95676470588235285</v>
      </c>
      <c r="R15" s="637">
        <f>Q23</f>
        <v>0.95775227202489566</v>
      </c>
      <c r="S15" s="40">
        <v>0.20833333333333334</v>
      </c>
      <c r="T15" s="40">
        <v>0.27916666666666667</v>
      </c>
      <c r="U15" s="547"/>
      <c r="V15" s="559">
        <f t="shared" ref="V15:V22" si="17">(T15-S15)*24*60</f>
        <v>102</v>
      </c>
      <c r="W15" s="23"/>
      <c r="X15" s="23"/>
      <c r="Y15" s="28"/>
      <c r="Z15" s="28"/>
      <c r="AA15" s="632"/>
      <c r="AB15" s="632"/>
      <c r="AC15" s="25">
        <v>8</v>
      </c>
      <c r="AD15" s="25"/>
      <c r="AE15" s="19">
        <f t="shared" si="8"/>
        <v>-86.470588235294144</v>
      </c>
      <c r="AF15" s="550">
        <f t="shared" si="9"/>
        <v>0.95676470588235296</v>
      </c>
      <c r="AG15" s="637">
        <f>AF23</f>
        <v>0.95775227202489577</v>
      </c>
    </row>
    <row r="16" spans="1:33" ht="16.5" customHeight="1">
      <c r="A16" s="658" t="s">
        <v>2996</v>
      </c>
      <c r="B16" s="560" t="s">
        <v>103</v>
      </c>
      <c r="C16" s="653" t="s">
        <v>105</v>
      </c>
      <c r="D16" s="653"/>
      <c r="E16" s="42">
        <v>41</v>
      </c>
      <c r="F16" s="560">
        <v>2010</v>
      </c>
      <c r="G16" s="547">
        <f t="shared" si="15"/>
        <v>82410</v>
      </c>
      <c r="H16" s="37" t="s">
        <v>91</v>
      </c>
      <c r="I16" s="558">
        <v>26</v>
      </c>
      <c r="J16" s="39">
        <v>1500</v>
      </c>
      <c r="K16" s="17">
        <f t="shared" si="1"/>
        <v>57.692307692307693</v>
      </c>
      <c r="L16" s="558">
        <v>26</v>
      </c>
      <c r="M16" s="18">
        <f t="shared" si="16"/>
        <v>1435.7142857142851</v>
      </c>
      <c r="N16" s="17">
        <f t="shared" si="3"/>
        <v>55.219780219780198</v>
      </c>
      <c r="O16" s="19">
        <f t="shared" si="4"/>
        <v>0</v>
      </c>
      <c r="P16" s="20">
        <f t="shared" si="5"/>
        <v>-2.4725274725274957</v>
      </c>
      <c r="Q16" s="550">
        <f t="shared" si="6"/>
        <v>0.95714285714285674</v>
      </c>
      <c r="R16" s="637"/>
      <c r="S16" s="40">
        <v>0.28333333333333333</v>
      </c>
      <c r="T16" s="40">
        <v>0.34166666666666667</v>
      </c>
      <c r="U16" s="547">
        <f t="shared" ref="U16:U22" si="18">IF(S16=TIME(17,0,0),"",(S16-T15)*24*60)</f>
        <v>5.9999999999999787</v>
      </c>
      <c r="V16" s="559">
        <f t="shared" si="17"/>
        <v>84.000000000000028</v>
      </c>
      <c r="W16" s="23"/>
      <c r="X16" s="23"/>
      <c r="Y16" s="23"/>
      <c r="Z16" s="23"/>
      <c r="AA16" s="632"/>
      <c r="AB16" s="632"/>
      <c r="AC16" s="25"/>
      <c r="AD16" s="25"/>
      <c r="AE16" s="19">
        <f t="shared" si="8"/>
        <v>-64.285714285714903</v>
      </c>
      <c r="AF16" s="550">
        <f t="shared" si="9"/>
        <v>0.95714285714285674</v>
      </c>
      <c r="AG16" s="637"/>
    </row>
    <row r="17" spans="1:33" ht="16.5" customHeight="1">
      <c r="A17" s="658" t="s">
        <v>2997</v>
      </c>
      <c r="B17" s="560" t="s">
        <v>101</v>
      </c>
      <c r="C17" s="653" t="s">
        <v>2402</v>
      </c>
      <c r="D17" s="653"/>
      <c r="E17" s="42">
        <v>68.88</v>
      </c>
      <c r="F17" s="560">
        <v>1885</v>
      </c>
      <c r="G17" s="547">
        <f t="shared" si="15"/>
        <v>129838.79999999999</v>
      </c>
      <c r="H17" s="37" t="s">
        <v>91</v>
      </c>
      <c r="I17" s="558">
        <v>16</v>
      </c>
      <c r="J17" s="39">
        <v>2000</v>
      </c>
      <c r="K17" s="17">
        <f t="shared" si="1"/>
        <v>125</v>
      </c>
      <c r="L17" s="558">
        <v>16</v>
      </c>
      <c r="M17" s="18">
        <f t="shared" si="16"/>
        <v>1916.9491525423718</v>
      </c>
      <c r="N17" s="17">
        <f t="shared" si="3"/>
        <v>119.80932203389824</v>
      </c>
      <c r="O17" s="19">
        <f t="shared" si="4"/>
        <v>0</v>
      </c>
      <c r="P17" s="20">
        <f t="shared" si="5"/>
        <v>-5.1906779661017595</v>
      </c>
      <c r="Q17" s="550">
        <f t="shared" si="6"/>
        <v>0.95847457627118593</v>
      </c>
      <c r="R17" s="637"/>
      <c r="S17" s="40">
        <v>0.34513888888888888</v>
      </c>
      <c r="T17" s="40">
        <v>0.38611111111111113</v>
      </c>
      <c r="U17" s="547">
        <f t="shared" si="18"/>
        <v>4.9999999999999822</v>
      </c>
      <c r="V17" s="559">
        <f t="shared" si="17"/>
        <v>59.000000000000028</v>
      </c>
      <c r="W17" s="23"/>
      <c r="X17" s="23"/>
      <c r="Y17" s="23"/>
      <c r="Z17" s="23"/>
      <c r="AA17" s="632"/>
      <c r="AB17" s="632"/>
      <c r="AC17" s="25"/>
      <c r="AD17" s="25"/>
      <c r="AE17" s="19">
        <f t="shared" si="8"/>
        <v>-83.050847457628151</v>
      </c>
      <c r="AF17" s="550">
        <f t="shared" si="9"/>
        <v>0.95847457627118593</v>
      </c>
      <c r="AG17" s="637"/>
    </row>
    <row r="18" spans="1:33" ht="16.5" customHeight="1">
      <c r="A18" s="658" t="s">
        <v>2998</v>
      </c>
      <c r="B18" s="560" t="s">
        <v>96</v>
      </c>
      <c r="C18" s="653" t="s">
        <v>98</v>
      </c>
      <c r="D18" s="653"/>
      <c r="E18" s="42">
        <v>39.46</v>
      </c>
      <c r="F18" s="560">
        <v>2571</v>
      </c>
      <c r="G18" s="547">
        <f t="shared" si="15"/>
        <v>101451.66</v>
      </c>
      <c r="H18" s="37" t="s">
        <v>91</v>
      </c>
      <c r="I18" s="558">
        <v>15</v>
      </c>
      <c r="J18" s="39">
        <v>1500</v>
      </c>
      <c r="K18" s="17">
        <f t="shared" si="1"/>
        <v>100</v>
      </c>
      <c r="L18" s="558">
        <v>15</v>
      </c>
      <c r="M18" s="18">
        <f t="shared" si="16"/>
        <v>1428.3333333333333</v>
      </c>
      <c r="N18" s="17">
        <f t="shared" si="3"/>
        <v>95.222222222222214</v>
      </c>
      <c r="O18" s="19">
        <f t="shared" si="4"/>
        <v>0</v>
      </c>
      <c r="P18" s="20">
        <f t="shared" si="5"/>
        <v>-4.7777777777777857</v>
      </c>
      <c r="Q18" s="550">
        <f t="shared" si="6"/>
        <v>0.95222222222222219</v>
      </c>
      <c r="R18" s="637"/>
      <c r="S18" s="40">
        <v>0.39027777777777778</v>
      </c>
      <c r="T18" s="40">
        <v>0.46527777777777779</v>
      </c>
      <c r="U18" s="547">
        <f t="shared" si="18"/>
        <v>5.9999999999999787</v>
      </c>
      <c r="V18" s="559">
        <f t="shared" si="17"/>
        <v>108.00000000000001</v>
      </c>
      <c r="W18" s="23"/>
      <c r="X18" s="23"/>
      <c r="Y18" s="23"/>
      <c r="Z18" s="23"/>
      <c r="AA18" s="632"/>
      <c r="AB18" s="632"/>
      <c r="AC18" s="25"/>
      <c r="AD18" s="25"/>
      <c r="AE18" s="19">
        <f t="shared" si="8"/>
        <v>-71.666666666666742</v>
      </c>
      <c r="AF18" s="550">
        <f t="shared" si="9"/>
        <v>0.95222222222222219</v>
      </c>
      <c r="AG18" s="637"/>
    </row>
    <row r="19" spans="1:33" ht="16.5" customHeight="1">
      <c r="A19" s="658" t="s">
        <v>2789</v>
      </c>
      <c r="B19" s="560" t="s">
        <v>92</v>
      </c>
      <c r="C19" s="653" t="s">
        <v>108</v>
      </c>
      <c r="D19" s="653"/>
      <c r="E19" s="42">
        <v>54.5</v>
      </c>
      <c r="F19" s="560">
        <v>1260</v>
      </c>
      <c r="G19" s="547">
        <f t="shared" si="15"/>
        <v>68670</v>
      </c>
      <c r="H19" s="37" t="s">
        <v>91</v>
      </c>
      <c r="I19" s="558">
        <v>19</v>
      </c>
      <c r="J19" s="39">
        <v>1500</v>
      </c>
      <c r="K19" s="17">
        <f t="shared" si="1"/>
        <v>78.94736842105263</v>
      </c>
      <c r="L19" s="558">
        <v>19</v>
      </c>
      <c r="M19" s="18">
        <f t="shared" si="16"/>
        <v>1426.4150943396232</v>
      </c>
      <c r="N19" s="17">
        <f t="shared" si="3"/>
        <v>75.074478649453852</v>
      </c>
      <c r="O19" s="19">
        <f t="shared" si="4"/>
        <v>0</v>
      </c>
      <c r="P19" s="20">
        <f t="shared" si="5"/>
        <v>-3.8728897715987785</v>
      </c>
      <c r="Q19" s="550">
        <f t="shared" si="6"/>
        <v>0.95094339622641544</v>
      </c>
      <c r="R19" s="637"/>
      <c r="S19" s="40">
        <v>0.70833333333333337</v>
      </c>
      <c r="T19" s="40">
        <v>0.74513888888888891</v>
      </c>
      <c r="U19" s="547" t="str">
        <f t="shared" si="18"/>
        <v/>
      </c>
      <c r="V19" s="559">
        <f t="shared" si="17"/>
        <v>52.999999999999972</v>
      </c>
      <c r="W19" s="23"/>
      <c r="X19" s="23"/>
      <c r="Y19" s="23"/>
      <c r="Z19" s="23"/>
      <c r="AA19" s="632"/>
      <c r="AB19" s="632"/>
      <c r="AC19" s="25"/>
      <c r="AD19" s="25"/>
      <c r="AE19" s="19">
        <f t="shared" si="8"/>
        <v>-73.584905660376762</v>
      </c>
      <c r="AF19" s="550">
        <f t="shared" si="9"/>
        <v>0.95094339622641544</v>
      </c>
      <c r="AG19" s="637"/>
    </row>
    <row r="20" spans="1:33" ht="16.5" customHeight="1">
      <c r="A20" s="658" t="s">
        <v>2789</v>
      </c>
      <c r="B20" s="560" t="s">
        <v>92</v>
      </c>
      <c r="C20" s="556" t="s">
        <v>107</v>
      </c>
      <c r="D20" s="557"/>
      <c r="E20" s="42">
        <v>50.67</v>
      </c>
      <c r="F20" s="560">
        <v>1794</v>
      </c>
      <c r="G20" s="547">
        <f t="shared" si="15"/>
        <v>90901.98</v>
      </c>
      <c r="H20" s="37" t="s">
        <v>91</v>
      </c>
      <c r="I20" s="558">
        <v>17</v>
      </c>
      <c r="J20" s="39">
        <v>2000</v>
      </c>
      <c r="K20" s="17">
        <f t="shared" si="1"/>
        <v>117.64705882352941</v>
      </c>
      <c r="L20" s="558">
        <v>17</v>
      </c>
      <c r="M20" s="18">
        <f t="shared" si="16"/>
        <v>1922.1428571428587</v>
      </c>
      <c r="N20" s="17">
        <f t="shared" si="3"/>
        <v>113.06722689075639</v>
      </c>
      <c r="O20" s="19">
        <f t="shared" si="4"/>
        <v>0</v>
      </c>
      <c r="P20" s="20">
        <f t="shared" si="5"/>
        <v>-4.5798319327730184</v>
      </c>
      <c r="Q20" s="550">
        <f t="shared" si="6"/>
        <v>0.96107142857142935</v>
      </c>
      <c r="R20" s="637"/>
      <c r="S20" s="40">
        <v>0.74861111111111112</v>
      </c>
      <c r="T20" s="40">
        <v>0.78749999999999998</v>
      </c>
      <c r="U20" s="547">
        <f t="shared" si="18"/>
        <v>4.9999999999999822</v>
      </c>
      <c r="V20" s="559">
        <f t="shared" si="17"/>
        <v>55.999999999999957</v>
      </c>
      <c r="W20" s="23"/>
      <c r="X20" s="23"/>
      <c r="Y20" s="26"/>
      <c r="Z20" s="26"/>
      <c r="AA20" s="554"/>
      <c r="AB20" s="555"/>
      <c r="AC20" s="25"/>
      <c r="AD20" s="25"/>
      <c r="AE20" s="19">
        <f t="shared" si="8"/>
        <v>-77.857142857141298</v>
      </c>
      <c r="AF20" s="550">
        <f t="shared" si="9"/>
        <v>0.96107142857142935</v>
      </c>
      <c r="AG20" s="637"/>
    </row>
    <row r="21" spans="1:33" ht="16.5" customHeight="1">
      <c r="A21" s="658" t="s">
        <v>2998</v>
      </c>
      <c r="B21" s="560" t="s">
        <v>92</v>
      </c>
      <c r="C21" s="556" t="s">
        <v>95</v>
      </c>
      <c r="D21" s="557"/>
      <c r="E21" s="42">
        <v>50.67</v>
      </c>
      <c r="F21" s="560">
        <v>1604</v>
      </c>
      <c r="G21" s="547">
        <f t="shared" si="15"/>
        <v>81274.680000000008</v>
      </c>
      <c r="H21" s="37" t="s">
        <v>91</v>
      </c>
      <c r="I21" s="558">
        <v>15</v>
      </c>
      <c r="J21" s="39">
        <v>2000</v>
      </c>
      <c r="K21" s="17">
        <f t="shared" si="1"/>
        <v>133.33333333333334</v>
      </c>
      <c r="L21" s="558">
        <v>15</v>
      </c>
      <c r="M21" s="18">
        <f t="shared" si="16"/>
        <v>1924.8000000000006</v>
      </c>
      <c r="N21" s="17">
        <f t="shared" si="3"/>
        <v>128.32000000000005</v>
      </c>
      <c r="O21" s="19">
        <f t="shared" si="4"/>
        <v>0</v>
      </c>
      <c r="P21" s="20">
        <f t="shared" si="5"/>
        <v>-5.0133333333332928</v>
      </c>
      <c r="Q21" s="550">
        <f t="shared" si="6"/>
        <v>0.96240000000000026</v>
      </c>
      <c r="R21" s="637"/>
      <c r="S21" s="40">
        <v>0.79097222222222219</v>
      </c>
      <c r="T21" s="40">
        <v>0.8256944444444444</v>
      </c>
      <c r="U21" s="547">
        <f t="shared" si="18"/>
        <v>4.9999999999999822</v>
      </c>
      <c r="V21" s="559">
        <f t="shared" si="17"/>
        <v>49.999999999999986</v>
      </c>
      <c r="W21" s="23">
        <f>T21</f>
        <v>0.8256944444444444</v>
      </c>
      <c r="X21" s="23">
        <f>S22</f>
        <v>0.8652777777777777</v>
      </c>
      <c r="Y21" s="26"/>
      <c r="Z21" s="26"/>
      <c r="AA21" s="554"/>
      <c r="AB21" s="555"/>
      <c r="AC21" s="25"/>
      <c r="AD21" s="25"/>
      <c r="AE21" s="19">
        <f t="shared" si="8"/>
        <v>-75.199999999999363</v>
      </c>
      <c r="AF21" s="550">
        <f t="shared" si="9"/>
        <v>0.96240000000000037</v>
      </c>
      <c r="AG21" s="637"/>
    </row>
    <row r="22" spans="1:33" ht="16.5" customHeight="1">
      <c r="A22" s="658" t="s">
        <v>2997</v>
      </c>
      <c r="B22" s="560" t="s">
        <v>92</v>
      </c>
      <c r="C22" s="556" t="s">
        <v>2999</v>
      </c>
      <c r="D22" s="557"/>
      <c r="E22" s="42">
        <v>54.09</v>
      </c>
      <c r="F22" s="560">
        <v>4031</v>
      </c>
      <c r="G22" s="547">
        <f t="shared" si="15"/>
        <v>218036.79</v>
      </c>
      <c r="H22" s="37" t="s">
        <v>91</v>
      </c>
      <c r="I22" s="558">
        <v>14</v>
      </c>
      <c r="J22" s="39">
        <v>2000</v>
      </c>
      <c r="K22" s="17">
        <f t="shared" si="1"/>
        <v>142.85714285714286</v>
      </c>
      <c r="L22" s="558">
        <v>14</v>
      </c>
      <c r="M22" s="18">
        <f t="shared" si="16"/>
        <v>1919.5238095238089</v>
      </c>
      <c r="N22" s="17">
        <f t="shared" si="3"/>
        <v>137.10884353741491</v>
      </c>
      <c r="O22" s="19">
        <f t="shared" si="4"/>
        <v>0</v>
      </c>
      <c r="P22" s="20">
        <f t="shared" si="5"/>
        <v>-5.7482993197279484</v>
      </c>
      <c r="Q22" s="550">
        <f t="shared" si="6"/>
        <v>0.95976190476190437</v>
      </c>
      <c r="R22" s="637"/>
      <c r="S22" s="40">
        <v>0.8652777777777777</v>
      </c>
      <c r="T22" s="40">
        <v>0.95277777777777772</v>
      </c>
      <c r="U22" s="547">
        <f t="shared" si="18"/>
        <v>56.999999999999957</v>
      </c>
      <c r="V22" s="559">
        <f t="shared" si="17"/>
        <v>126.00000000000003</v>
      </c>
      <c r="W22" s="23"/>
      <c r="X22" s="23"/>
      <c r="Y22" s="26"/>
      <c r="Z22" s="26"/>
      <c r="AA22" s="554"/>
      <c r="AB22" s="555"/>
      <c r="AC22" s="25"/>
      <c r="AD22" s="25"/>
      <c r="AE22" s="19">
        <f t="shared" si="8"/>
        <v>-80.47619047619105</v>
      </c>
      <c r="AF22" s="550">
        <f t="shared" si="9"/>
        <v>0.95976190476190448</v>
      </c>
      <c r="AG22" s="637"/>
    </row>
    <row r="23" spans="1:33" ht="16.5" customHeight="1">
      <c r="A23" s="658" t="s">
        <v>2997</v>
      </c>
      <c r="B23" s="42" t="s">
        <v>3000</v>
      </c>
      <c r="C23" s="638"/>
      <c r="D23" s="638"/>
      <c r="E23" s="551"/>
      <c r="F23" s="44"/>
      <c r="G23" s="17"/>
      <c r="H23" s="560"/>
      <c r="I23" s="29">
        <v>17</v>
      </c>
      <c r="J23" s="39">
        <v>1812.5</v>
      </c>
      <c r="K23" s="17">
        <f t="shared" si="1"/>
        <v>106.61764705882354</v>
      </c>
      <c r="L23" s="29">
        <v>17</v>
      </c>
      <c r="M23" s="18">
        <f>AVERAGE(M15:M22)</f>
        <v>1735.9259930451235</v>
      </c>
      <c r="N23" s="17">
        <f t="shared" si="3"/>
        <v>102.11329370853667</v>
      </c>
      <c r="O23" s="19">
        <f t="shared" si="4"/>
        <v>0</v>
      </c>
      <c r="P23" s="20">
        <f t="shared" si="5"/>
        <v>-4.5043533502868627</v>
      </c>
      <c r="Q23" s="550">
        <f t="shared" si="6"/>
        <v>0.95775227202489566</v>
      </c>
      <c r="R23" s="637"/>
      <c r="S23" s="40"/>
      <c r="T23" s="40"/>
      <c r="U23" s="547"/>
      <c r="V23" s="559"/>
      <c r="W23" s="17"/>
      <c r="X23" s="17"/>
      <c r="Y23" s="30">
        <f>SUM(Y15:Y22)</f>
        <v>0</v>
      </c>
      <c r="Z23" s="30">
        <f>SUM(Z15:Z22)</f>
        <v>0</v>
      </c>
      <c r="AA23" s="631"/>
      <c r="AB23" s="631"/>
      <c r="AC23" s="30">
        <v>8</v>
      </c>
      <c r="AD23" s="30">
        <f>SUM(AD15:AD22)</f>
        <v>0</v>
      </c>
      <c r="AE23" s="19">
        <f t="shared" si="8"/>
        <v>-76.574006954876495</v>
      </c>
      <c r="AF23" s="550">
        <f t="shared" si="9"/>
        <v>0.95775227202489577</v>
      </c>
      <c r="AG23" s="637"/>
    </row>
    <row r="24" spans="1:33" ht="15.75" customHeight="1">
      <c r="A24" s="655" t="s">
        <v>3001</v>
      </c>
      <c r="B24" s="42" t="s">
        <v>92</v>
      </c>
      <c r="C24" s="653" t="s">
        <v>110</v>
      </c>
      <c r="D24" s="653"/>
      <c r="E24" s="42">
        <v>50.67</v>
      </c>
      <c r="F24" s="560">
        <v>2032</v>
      </c>
      <c r="G24" s="547">
        <f t="shared" ref="G24:G31" si="19">E24*F24</f>
        <v>102961.44</v>
      </c>
      <c r="H24" s="37" t="s">
        <v>91</v>
      </c>
      <c r="I24" s="558">
        <v>17</v>
      </c>
      <c r="J24" s="39">
        <v>2000</v>
      </c>
      <c r="K24" s="17">
        <f t="shared" si="1"/>
        <v>117.64705882352941</v>
      </c>
      <c r="L24" s="558">
        <v>17</v>
      </c>
      <c r="M24" s="18">
        <f t="shared" ref="M24:M31" si="20">F24/V24*60</f>
        <v>1905.0000000000009</v>
      </c>
      <c r="N24" s="17">
        <f t="shared" si="3"/>
        <v>112.05882352941182</v>
      </c>
      <c r="O24" s="19">
        <f t="shared" si="4"/>
        <v>0</v>
      </c>
      <c r="P24" s="20">
        <f t="shared" si="5"/>
        <v>-5.588235294117581</v>
      </c>
      <c r="Q24" s="550">
        <f t="shared" si="6"/>
        <v>0.95250000000000057</v>
      </c>
      <c r="R24" s="637">
        <f>Q32</f>
        <v>0.95875408017366914</v>
      </c>
      <c r="S24" s="40">
        <v>0.20833333333333334</v>
      </c>
      <c r="T24" s="40">
        <v>0.25277777777777777</v>
      </c>
      <c r="U24" s="547"/>
      <c r="V24" s="559">
        <f t="shared" ref="V24:V31" si="21">(T24-S24)*24*60</f>
        <v>63.999999999999972</v>
      </c>
      <c r="W24" s="23"/>
      <c r="X24" s="23"/>
      <c r="Y24" s="28"/>
      <c r="Z24" s="28"/>
      <c r="AA24" s="632"/>
      <c r="AB24" s="632"/>
      <c r="AC24" s="25">
        <v>8</v>
      </c>
      <c r="AD24" s="25"/>
      <c r="AE24" s="19">
        <f t="shared" si="8"/>
        <v>-94.999999999999091</v>
      </c>
      <c r="AF24" s="550">
        <f t="shared" si="9"/>
        <v>0.95250000000000046</v>
      </c>
      <c r="AG24" s="637">
        <f>AF32</f>
        <v>0.95875408017366914</v>
      </c>
    </row>
    <row r="25" spans="1:33" ht="15.75" customHeight="1">
      <c r="A25" s="656" t="s">
        <v>3001</v>
      </c>
      <c r="B25" s="42" t="s">
        <v>92</v>
      </c>
      <c r="C25" s="653" t="s">
        <v>111</v>
      </c>
      <c r="D25" s="653"/>
      <c r="E25" s="42">
        <v>57.73</v>
      </c>
      <c r="F25" s="560">
        <v>3138</v>
      </c>
      <c r="G25" s="547">
        <f t="shared" si="19"/>
        <v>181156.74</v>
      </c>
      <c r="H25" s="37" t="s">
        <v>91</v>
      </c>
      <c r="I25" s="558">
        <v>14</v>
      </c>
      <c r="J25" s="39">
        <v>2000</v>
      </c>
      <c r="K25" s="17">
        <f t="shared" si="1"/>
        <v>142.85714285714286</v>
      </c>
      <c r="L25" s="558">
        <v>14</v>
      </c>
      <c r="M25" s="18">
        <f t="shared" si="20"/>
        <v>1901.8181818181824</v>
      </c>
      <c r="N25" s="17">
        <f t="shared" si="3"/>
        <v>135.84415584415589</v>
      </c>
      <c r="O25" s="19">
        <f t="shared" si="4"/>
        <v>0</v>
      </c>
      <c r="P25" s="20">
        <f t="shared" si="5"/>
        <v>-7.0129870129869687</v>
      </c>
      <c r="Q25" s="550">
        <f t="shared" si="6"/>
        <v>0.95090909090909126</v>
      </c>
      <c r="R25" s="637"/>
      <c r="S25" s="40">
        <v>0.25624999999999998</v>
      </c>
      <c r="T25" s="40">
        <v>0.32499999999999996</v>
      </c>
      <c r="U25" s="547">
        <f t="shared" ref="U25:U31" si="22">IF(S25=TIME(17,0,0),"",(S25-T24)*24*60)</f>
        <v>4.9999999999999822</v>
      </c>
      <c r="V25" s="559">
        <f t="shared" si="21"/>
        <v>98.999999999999972</v>
      </c>
      <c r="W25" s="23"/>
      <c r="X25" s="547"/>
      <c r="Y25" s="547"/>
      <c r="Z25" s="547"/>
      <c r="AA25" s="632"/>
      <c r="AB25" s="632"/>
      <c r="AC25" s="25"/>
      <c r="AD25" s="25"/>
      <c r="AE25" s="19">
        <f t="shared" si="8"/>
        <v>-98.181818181817562</v>
      </c>
      <c r="AF25" s="550">
        <f t="shared" si="9"/>
        <v>0.95090909090909126</v>
      </c>
      <c r="AG25" s="637"/>
    </row>
    <row r="26" spans="1:33" ht="15.75" customHeight="1">
      <c r="A26" s="656" t="s">
        <v>3001</v>
      </c>
      <c r="B26" s="42" t="s">
        <v>92</v>
      </c>
      <c r="C26" s="653" t="s">
        <v>112</v>
      </c>
      <c r="D26" s="653"/>
      <c r="E26" s="42">
        <v>53.27</v>
      </c>
      <c r="F26" s="560">
        <v>1906</v>
      </c>
      <c r="G26" s="547">
        <f t="shared" si="19"/>
        <v>101532.62000000001</v>
      </c>
      <c r="H26" s="37" t="s">
        <v>91</v>
      </c>
      <c r="I26" s="558">
        <v>16</v>
      </c>
      <c r="J26" s="39">
        <v>2000</v>
      </c>
      <c r="K26" s="17">
        <f t="shared" si="1"/>
        <v>125</v>
      </c>
      <c r="L26" s="558">
        <v>16</v>
      </c>
      <c r="M26" s="18">
        <f t="shared" si="20"/>
        <v>1905.9999999999991</v>
      </c>
      <c r="N26" s="17">
        <f t="shared" si="3"/>
        <v>119.12499999999994</v>
      </c>
      <c r="O26" s="19">
        <f t="shared" si="4"/>
        <v>0</v>
      </c>
      <c r="P26" s="20">
        <f t="shared" si="5"/>
        <v>-5.8750000000000568</v>
      </c>
      <c r="Q26" s="550">
        <f t="shared" si="6"/>
        <v>0.95299999999999951</v>
      </c>
      <c r="R26" s="637"/>
      <c r="S26" s="40">
        <v>0.32916666666666661</v>
      </c>
      <c r="T26" s="40">
        <v>0.37083333333333329</v>
      </c>
      <c r="U26" s="547">
        <f t="shared" si="22"/>
        <v>5.9999999999999787</v>
      </c>
      <c r="V26" s="559">
        <f t="shared" si="21"/>
        <v>60.000000000000028</v>
      </c>
      <c r="W26" s="23"/>
      <c r="X26" s="547"/>
      <c r="Y26" s="547"/>
      <c r="Z26" s="547"/>
      <c r="AA26" s="632"/>
      <c r="AB26" s="632"/>
      <c r="AC26" s="25"/>
      <c r="AD26" s="25"/>
      <c r="AE26" s="19">
        <f t="shared" si="8"/>
        <v>-94.000000000000909</v>
      </c>
      <c r="AF26" s="550">
        <f t="shared" si="9"/>
        <v>0.95299999999999951</v>
      </c>
      <c r="AG26" s="637"/>
    </row>
    <row r="27" spans="1:33" ht="15.75" customHeight="1">
      <c r="A27" s="656" t="s">
        <v>3001</v>
      </c>
      <c r="B27" s="42" t="s">
        <v>92</v>
      </c>
      <c r="C27" s="653" t="s">
        <v>133</v>
      </c>
      <c r="D27" s="653"/>
      <c r="E27" s="42">
        <v>59.04</v>
      </c>
      <c r="F27" s="560">
        <v>1599</v>
      </c>
      <c r="G27" s="547">
        <f t="shared" si="19"/>
        <v>94404.959999999992</v>
      </c>
      <c r="H27" s="37" t="s">
        <v>91</v>
      </c>
      <c r="I27" s="558">
        <v>19</v>
      </c>
      <c r="J27" s="39">
        <v>2000</v>
      </c>
      <c r="K27" s="17">
        <f t="shared" si="1"/>
        <v>105.26315789473684</v>
      </c>
      <c r="L27" s="558">
        <v>19</v>
      </c>
      <c r="M27" s="18">
        <f t="shared" si="20"/>
        <v>1918.8000000000004</v>
      </c>
      <c r="N27" s="17">
        <f t="shared" si="3"/>
        <v>100.98947368421055</v>
      </c>
      <c r="O27" s="19">
        <f t="shared" si="4"/>
        <v>0</v>
      </c>
      <c r="P27" s="20">
        <f t="shared" si="5"/>
        <v>-4.2736842105262838</v>
      </c>
      <c r="Q27" s="550">
        <f t="shared" si="6"/>
        <v>0.95940000000000025</v>
      </c>
      <c r="R27" s="637"/>
      <c r="S27" s="40">
        <v>0.3743055555555555</v>
      </c>
      <c r="T27" s="40">
        <v>0.40902777777777771</v>
      </c>
      <c r="U27" s="547">
        <f t="shared" si="22"/>
        <v>4.9999999999999822</v>
      </c>
      <c r="V27" s="559">
        <f t="shared" si="21"/>
        <v>49.999999999999986</v>
      </c>
      <c r="W27" s="23"/>
      <c r="X27" s="547"/>
      <c r="Y27" s="547"/>
      <c r="Z27" s="547"/>
      <c r="AA27" s="632"/>
      <c r="AB27" s="632"/>
      <c r="AC27" s="25"/>
      <c r="AD27" s="25"/>
      <c r="AE27" s="19">
        <f t="shared" si="8"/>
        <v>-81.199999999999591</v>
      </c>
      <c r="AF27" s="550">
        <f t="shared" si="9"/>
        <v>0.95940000000000025</v>
      </c>
      <c r="AG27" s="637"/>
    </row>
    <row r="28" spans="1:33" ht="15.75" customHeight="1">
      <c r="A28" s="656" t="s">
        <v>2600</v>
      </c>
      <c r="B28" s="42" t="s">
        <v>92</v>
      </c>
      <c r="C28" s="653" t="s">
        <v>109</v>
      </c>
      <c r="D28" s="653"/>
      <c r="E28" s="42">
        <v>50.49</v>
      </c>
      <c r="F28" s="560">
        <v>2316</v>
      </c>
      <c r="G28" s="547">
        <f t="shared" si="19"/>
        <v>116934.84000000001</v>
      </c>
      <c r="H28" s="37" t="s">
        <v>91</v>
      </c>
      <c r="I28" s="558">
        <v>15</v>
      </c>
      <c r="J28" s="39">
        <v>2000</v>
      </c>
      <c r="K28" s="17">
        <f t="shared" si="1"/>
        <v>133.33333333333334</v>
      </c>
      <c r="L28" s="558">
        <v>15</v>
      </c>
      <c r="M28" s="18">
        <f t="shared" si="20"/>
        <v>1929.9999999999986</v>
      </c>
      <c r="N28" s="17">
        <f t="shared" si="3"/>
        <v>128.66666666666657</v>
      </c>
      <c r="O28" s="19">
        <f t="shared" si="4"/>
        <v>0</v>
      </c>
      <c r="P28" s="20">
        <f t="shared" si="5"/>
        <v>-4.6666666666667709</v>
      </c>
      <c r="Q28" s="550">
        <f t="shared" si="6"/>
        <v>0.96499999999999919</v>
      </c>
      <c r="R28" s="637"/>
      <c r="S28" s="40">
        <v>0.70833333333333337</v>
      </c>
      <c r="T28" s="40">
        <v>0.75833333333333341</v>
      </c>
      <c r="U28" s="547" t="str">
        <f t="shared" si="22"/>
        <v/>
      </c>
      <c r="V28" s="559">
        <f t="shared" si="21"/>
        <v>72.000000000000057</v>
      </c>
      <c r="W28" s="23"/>
      <c r="X28" s="23"/>
      <c r="Y28" s="547"/>
      <c r="Z28" s="547"/>
      <c r="AA28" s="632"/>
      <c r="AB28" s="632"/>
      <c r="AC28" s="25"/>
      <c r="AD28" s="25"/>
      <c r="AE28" s="19">
        <f t="shared" si="8"/>
        <v>-70.000000000001364</v>
      </c>
      <c r="AF28" s="550">
        <f t="shared" si="9"/>
        <v>0.9649999999999993</v>
      </c>
      <c r="AG28" s="637"/>
    </row>
    <row r="29" spans="1:33" ht="15.75" customHeight="1">
      <c r="A29" s="656" t="s">
        <v>3001</v>
      </c>
      <c r="B29" s="42" t="s">
        <v>92</v>
      </c>
      <c r="C29" s="653" t="s">
        <v>114</v>
      </c>
      <c r="D29" s="653"/>
      <c r="E29" s="42">
        <v>54.09</v>
      </c>
      <c r="F29" s="560">
        <v>2330</v>
      </c>
      <c r="G29" s="547">
        <f t="shared" si="19"/>
        <v>126029.70000000001</v>
      </c>
      <c r="H29" s="37" t="s">
        <v>91</v>
      </c>
      <c r="I29" s="558">
        <v>18</v>
      </c>
      <c r="J29" s="39">
        <v>2000</v>
      </c>
      <c r="K29" s="17">
        <f t="shared" si="1"/>
        <v>111.11111111111111</v>
      </c>
      <c r="L29" s="558">
        <v>18</v>
      </c>
      <c r="M29" s="18">
        <f t="shared" si="20"/>
        <v>1915.0684931506835</v>
      </c>
      <c r="N29" s="17">
        <f t="shared" si="3"/>
        <v>106.39269406392685</v>
      </c>
      <c r="O29" s="19">
        <f t="shared" si="4"/>
        <v>0</v>
      </c>
      <c r="P29" s="20">
        <f t="shared" si="5"/>
        <v>-4.7184170471842606</v>
      </c>
      <c r="Q29" s="550">
        <f t="shared" si="6"/>
        <v>0.9575342465753417</v>
      </c>
      <c r="R29" s="637"/>
      <c r="S29" s="40">
        <v>0.76250000000000007</v>
      </c>
      <c r="T29" s="40">
        <v>0.81319444444444455</v>
      </c>
      <c r="U29" s="547">
        <f t="shared" si="22"/>
        <v>5.9999999999999787</v>
      </c>
      <c r="V29" s="559">
        <f t="shared" si="21"/>
        <v>73.000000000000057</v>
      </c>
      <c r="W29" s="23"/>
      <c r="X29" s="28"/>
      <c r="Y29" s="28"/>
      <c r="Z29" s="28"/>
      <c r="AA29" s="632"/>
      <c r="AB29" s="632"/>
      <c r="AC29" s="25"/>
      <c r="AD29" s="25"/>
      <c r="AE29" s="19">
        <f t="shared" si="8"/>
        <v>-84.93150684931652</v>
      </c>
      <c r="AF29" s="550">
        <f t="shared" si="9"/>
        <v>0.9575342465753417</v>
      </c>
      <c r="AG29" s="637"/>
    </row>
    <row r="30" spans="1:33" ht="15.75" customHeight="1">
      <c r="A30" s="656" t="s">
        <v>3001</v>
      </c>
      <c r="B30" s="42" t="s">
        <v>92</v>
      </c>
      <c r="C30" s="679" t="s">
        <v>140</v>
      </c>
      <c r="D30" s="680"/>
      <c r="E30" s="42">
        <v>51.06</v>
      </c>
      <c r="F30" s="560">
        <v>1000</v>
      </c>
      <c r="G30" s="547">
        <f t="shared" si="19"/>
        <v>51060</v>
      </c>
      <c r="H30" s="37">
        <v>2</v>
      </c>
      <c r="I30" s="558">
        <v>13</v>
      </c>
      <c r="J30" s="39">
        <v>2000</v>
      </c>
      <c r="K30" s="17">
        <f t="shared" si="1"/>
        <v>153.84615384615384</v>
      </c>
      <c r="L30" s="558">
        <v>13</v>
      </c>
      <c r="M30" s="18">
        <f t="shared" si="20"/>
        <v>1935.483870967739</v>
      </c>
      <c r="N30" s="17">
        <f t="shared" si="3"/>
        <v>148.88337468982607</v>
      </c>
      <c r="O30" s="19">
        <f t="shared" si="4"/>
        <v>0</v>
      </c>
      <c r="P30" s="20">
        <f t="shared" si="5"/>
        <v>-4.9627791563277697</v>
      </c>
      <c r="Q30" s="550">
        <f t="shared" si="6"/>
        <v>0.96774193548386944</v>
      </c>
      <c r="R30" s="637"/>
      <c r="S30" s="40">
        <v>0.8173611111111112</v>
      </c>
      <c r="T30" s="40">
        <v>0.83888888888888902</v>
      </c>
      <c r="U30" s="547">
        <f t="shared" si="22"/>
        <v>5.9999999999999787</v>
      </c>
      <c r="V30" s="559">
        <f t="shared" si="21"/>
        <v>31.00000000000005</v>
      </c>
      <c r="W30" s="23">
        <f>T30</f>
        <v>0.83888888888888902</v>
      </c>
      <c r="X30" s="23">
        <f>S31</f>
        <v>0.87847222222222232</v>
      </c>
      <c r="Y30" s="136"/>
      <c r="Z30" s="136"/>
      <c r="AA30" s="627"/>
      <c r="AB30" s="628"/>
      <c r="AC30" s="25"/>
      <c r="AD30" s="25"/>
      <c r="AE30" s="19">
        <f t="shared" si="8"/>
        <v>-64.516129032261006</v>
      </c>
      <c r="AF30" s="550">
        <f t="shared" si="9"/>
        <v>0.96774193548386944</v>
      </c>
      <c r="AG30" s="637"/>
    </row>
    <row r="31" spans="1:33" ht="15.75" customHeight="1">
      <c r="A31" s="656" t="s">
        <v>3001</v>
      </c>
      <c r="B31" s="42" t="s">
        <v>92</v>
      </c>
      <c r="C31" s="556" t="s">
        <v>140</v>
      </c>
      <c r="D31" s="557"/>
      <c r="E31" s="42">
        <v>51.06</v>
      </c>
      <c r="F31" s="560">
        <v>2442</v>
      </c>
      <c r="G31" s="547">
        <f t="shared" si="19"/>
        <v>124688.52</v>
      </c>
      <c r="H31" s="37" t="s">
        <v>91</v>
      </c>
      <c r="I31" s="558">
        <v>13</v>
      </c>
      <c r="J31" s="39">
        <v>2000</v>
      </c>
      <c r="K31" s="17">
        <f t="shared" si="1"/>
        <v>153.84615384615384</v>
      </c>
      <c r="L31" s="558">
        <v>13</v>
      </c>
      <c r="M31" s="18">
        <f t="shared" si="20"/>
        <v>1927.8947368421038</v>
      </c>
      <c r="N31" s="17">
        <f t="shared" si="3"/>
        <v>148.29959514170031</v>
      </c>
      <c r="O31" s="19">
        <f t="shared" si="4"/>
        <v>0</v>
      </c>
      <c r="P31" s="20">
        <f t="shared" si="5"/>
        <v>-5.5465587044535312</v>
      </c>
      <c r="Q31" s="550">
        <f t="shared" si="6"/>
        <v>0.963947368421052</v>
      </c>
      <c r="R31" s="637"/>
      <c r="S31" s="40">
        <v>0.87847222222222232</v>
      </c>
      <c r="T31" s="40">
        <v>0.93125000000000013</v>
      </c>
      <c r="U31" s="547">
        <f t="shared" si="22"/>
        <v>56.999999999999957</v>
      </c>
      <c r="V31" s="559">
        <f t="shared" si="21"/>
        <v>76.000000000000057</v>
      </c>
      <c r="W31" s="23"/>
      <c r="X31" s="23"/>
      <c r="Y31" s="26"/>
      <c r="Z31" s="26"/>
      <c r="AA31" s="554"/>
      <c r="AB31" s="555"/>
      <c r="AC31" s="25"/>
      <c r="AD31" s="25"/>
      <c r="AE31" s="19">
        <f t="shared" si="8"/>
        <v>-72.105263157896161</v>
      </c>
      <c r="AF31" s="550">
        <f t="shared" si="9"/>
        <v>0.96394736842105189</v>
      </c>
      <c r="AG31" s="637"/>
    </row>
    <row r="32" spans="1:33" ht="15.75" customHeight="1">
      <c r="A32" s="656" t="s">
        <v>3002</v>
      </c>
      <c r="B32" s="42" t="s">
        <v>3003</v>
      </c>
      <c r="C32" s="638"/>
      <c r="D32" s="638"/>
      <c r="E32" s="551"/>
      <c r="F32" s="560"/>
      <c r="G32" s="547"/>
      <c r="H32" s="560"/>
      <c r="I32" s="29">
        <v>15.625</v>
      </c>
      <c r="J32" s="39">
        <v>2000</v>
      </c>
      <c r="K32" s="17">
        <f t="shared" si="1"/>
        <v>128</v>
      </c>
      <c r="L32" s="29">
        <v>15.625</v>
      </c>
      <c r="M32" s="18">
        <f>AVERAGE(M24:M31)</f>
        <v>1917.5081603473384</v>
      </c>
      <c r="N32" s="17">
        <f t="shared" si="3"/>
        <v>122.72052226222965</v>
      </c>
      <c r="O32" s="19">
        <f t="shared" si="4"/>
        <v>0</v>
      </c>
      <c r="P32" s="20">
        <f t="shared" si="5"/>
        <v>-5.2794777377703497</v>
      </c>
      <c r="Q32" s="550">
        <f t="shared" si="6"/>
        <v>0.95875408017366914</v>
      </c>
      <c r="R32" s="637"/>
      <c r="S32" s="40"/>
      <c r="T32" s="40"/>
      <c r="U32" s="17"/>
      <c r="V32" s="559"/>
      <c r="W32" s="17"/>
      <c r="X32" s="17"/>
      <c r="Y32" s="30">
        <f>SUM(Y24:Y31)</f>
        <v>0</v>
      </c>
      <c r="Z32" s="30">
        <f>SUM(Z24:Z31)</f>
        <v>0</v>
      </c>
      <c r="AA32" s="631"/>
      <c r="AB32" s="631"/>
      <c r="AC32" s="30">
        <v>8</v>
      </c>
      <c r="AD32" s="30">
        <f>SUM(AD24:AD31)</f>
        <v>0</v>
      </c>
      <c r="AE32" s="19">
        <f t="shared" si="8"/>
        <v>-82.491839652661611</v>
      </c>
      <c r="AF32" s="550">
        <f t="shared" si="9"/>
        <v>0.95875408017366914</v>
      </c>
      <c r="AG32" s="637"/>
    </row>
    <row r="33" spans="1:33" ht="15.75" customHeight="1">
      <c r="A33" s="654" t="s">
        <v>3004</v>
      </c>
      <c r="B33" s="42" t="s">
        <v>116</v>
      </c>
      <c r="C33" s="653" t="s">
        <v>117</v>
      </c>
      <c r="D33" s="653"/>
      <c r="E33" s="42">
        <v>31.29</v>
      </c>
      <c r="F33" s="560">
        <v>5600</v>
      </c>
      <c r="G33" s="547">
        <f t="shared" ref="G33:G38" si="23">E33*F33</f>
        <v>175224</v>
      </c>
      <c r="H33" s="37">
        <v>2</v>
      </c>
      <c r="I33" s="558">
        <v>18</v>
      </c>
      <c r="J33" s="39">
        <v>2400</v>
      </c>
      <c r="K33" s="17">
        <f t="shared" si="1"/>
        <v>133.33333333333334</v>
      </c>
      <c r="L33" s="558">
        <v>18</v>
      </c>
      <c r="M33" s="18">
        <f t="shared" ref="M33:M38" si="24">F33/V33*60</f>
        <v>2285.7142857142858</v>
      </c>
      <c r="N33" s="17">
        <f t="shared" si="3"/>
        <v>126.98412698412699</v>
      </c>
      <c r="O33" s="19">
        <f t="shared" si="4"/>
        <v>0</v>
      </c>
      <c r="P33" s="20">
        <f t="shared" si="5"/>
        <v>-6.3492063492063551</v>
      </c>
      <c r="Q33" s="550">
        <f t="shared" si="6"/>
        <v>0.95238095238095233</v>
      </c>
      <c r="R33" s="637">
        <f>Q39</f>
        <v>0.95494025574905506</v>
      </c>
      <c r="S33" s="40">
        <v>8.3333333333333329E-2</v>
      </c>
      <c r="T33" s="40">
        <v>0.18541666666666667</v>
      </c>
      <c r="U33" s="547"/>
      <c r="V33" s="559">
        <f t="shared" ref="V33:V38" si="25">(T33-S33)*24*60</f>
        <v>147</v>
      </c>
      <c r="W33" s="23">
        <f>T33</f>
        <v>0.18541666666666667</v>
      </c>
      <c r="X33" s="23">
        <f>S34</f>
        <v>0.20277777777777775</v>
      </c>
      <c r="Y33" s="23"/>
      <c r="Z33" s="23"/>
      <c r="AA33" s="632"/>
      <c r="AB33" s="632"/>
      <c r="AC33" s="25">
        <v>6</v>
      </c>
      <c r="AD33" s="25"/>
      <c r="AE33" s="19">
        <f t="shared" si="8"/>
        <v>-114.28571428571422</v>
      </c>
      <c r="AF33" s="550">
        <f t="shared" si="9"/>
        <v>0.95238095238095244</v>
      </c>
      <c r="AG33" s="637">
        <f>AF39</f>
        <v>0.95494025574905517</v>
      </c>
    </row>
    <row r="34" spans="1:33" ht="15.75" customHeight="1">
      <c r="A34" s="654" t="s">
        <v>3005</v>
      </c>
      <c r="B34" s="42" t="s">
        <v>116</v>
      </c>
      <c r="C34" s="653" t="s">
        <v>118</v>
      </c>
      <c r="D34" s="653"/>
      <c r="E34" s="42">
        <v>26.37</v>
      </c>
      <c r="F34" s="560">
        <v>6818</v>
      </c>
      <c r="G34" s="547">
        <f t="shared" si="23"/>
        <v>179790.66</v>
      </c>
      <c r="H34" s="37" t="s">
        <v>91</v>
      </c>
      <c r="I34" s="558">
        <v>18</v>
      </c>
      <c r="J34" s="39">
        <v>2400</v>
      </c>
      <c r="K34" s="17">
        <f t="shared" si="1"/>
        <v>133.33333333333334</v>
      </c>
      <c r="L34" s="558">
        <v>18</v>
      </c>
      <c r="M34" s="18">
        <f t="shared" si="24"/>
        <v>2285.363128491621</v>
      </c>
      <c r="N34" s="17">
        <f t="shared" si="3"/>
        <v>126.9646182495345</v>
      </c>
      <c r="O34" s="19">
        <f t="shared" si="4"/>
        <v>0</v>
      </c>
      <c r="P34" s="20">
        <f t="shared" si="5"/>
        <v>-6.3687150837988469</v>
      </c>
      <c r="Q34" s="550">
        <f t="shared" si="6"/>
        <v>0.95223463687150867</v>
      </c>
      <c r="R34" s="637"/>
      <c r="S34" s="40">
        <v>0.20277777777777775</v>
      </c>
      <c r="T34" s="40">
        <v>0.32708333333333328</v>
      </c>
      <c r="U34" s="547">
        <f t="shared" ref="U34:U38" si="26">(S34-T33)*24*60</f>
        <v>24.99999999999995</v>
      </c>
      <c r="V34" s="559">
        <f t="shared" si="25"/>
        <v>178.99999999999994</v>
      </c>
      <c r="W34" s="23"/>
      <c r="X34" s="23"/>
      <c r="Y34" s="23"/>
      <c r="Z34" s="23"/>
      <c r="AA34" s="632"/>
      <c r="AB34" s="632"/>
      <c r="AC34" s="25"/>
      <c r="AD34" s="25"/>
      <c r="AE34" s="19">
        <f t="shared" si="8"/>
        <v>-114.63687150837904</v>
      </c>
      <c r="AF34" s="550">
        <f t="shared" si="9"/>
        <v>0.95223463687150878</v>
      </c>
      <c r="AG34" s="637"/>
    </row>
    <row r="35" spans="1:33" ht="15.75" customHeight="1">
      <c r="A35" s="654" t="s">
        <v>3005</v>
      </c>
      <c r="B35" s="42" t="s">
        <v>116</v>
      </c>
      <c r="C35" s="653" t="s">
        <v>124</v>
      </c>
      <c r="D35" s="653"/>
      <c r="E35" s="42">
        <v>24.43</v>
      </c>
      <c r="F35" s="560">
        <v>4200</v>
      </c>
      <c r="G35" s="547">
        <f t="shared" si="23"/>
        <v>102606</v>
      </c>
      <c r="H35" s="37">
        <v>2</v>
      </c>
      <c r="I35" s="558">
        <v>14</v>
      </c>
      <c r="J35" s="39">
        <v>2400</v>
      </c>
      <c r="K35" s="17">
        <f t="shared" si="1"/>
        <v>171.42857142857142</v>
      </c>
      <c r="L35" s="558">
        <v>14</v>
      </c>
      <c r="M35" s="18">
        <f t="shared" si="24"/>
        <v>2290.909090909091</v>
      </c>
      <c r="N35" s="17">
        <f t="shared" si="3"/>
        <v>163.63636363636365</v>
      </c>
      <c r="O35" s="19">
        <f t="shared" si="4"/>
        <v>0</v>
      </c>
      <c r="P35" s="20">
        <f t="shared" si="5"/>
        <v>-7.7922077922077619</v>
      </c>
      <c r="Q35" s="550">
        <f t="shared" si="6"/>
        <v>0.9545454545454547</v>
      </c>
      <c r="R35" s="637"/>
      <c r="S35" s="40">
        <v>0.33194444444444438</v>
      </c>
      <c r="T35" s="40">
        <v>0.40833333333333327</v>
      </c>
      <c r="U35" s="547">
        <f t="shared" si="26"/>
        <v>6.9999999999999751</v>
      </c>
      <c r="V35" s="559">
        <f t="shared" si="25"/>
        <v>110.00000000000001</v>
      </c>
      <c r="W35" s="23"/>
      <c r="X35" s="23"/>
      <c r="Y35" s="23"/>
      <c r="Z35" s="23"/>
      <c r="AA35" s="632"/>
      <c r="AB35" s="632"/>
      <c r="AC35" s="25"/>
      <c r="AD35" s="25"/>
      <c r="AE35" s="19">
        <f t="shared" si="8"/>
        <v>-109.09090909090901</v>
      </c>
      <c r="AF35" s="550">
        <f t="shared" si="9"/>
        <v>0.95454545454545459</v>
      </c>
      <c r="AG35" s="637"/>
    </row>
    <row r="36" spans="1:33" ht="15.75" customHeight="1">
      <c r="A36" s="654" t="s">
        <v>3004</v>
      </c>
      <c r="B36" s="42" t="s">
        <v>116</v>
      </c>
      <c r="C36" s="653" t="s">
        <v>126</v>
      </c>
      <c r="D36" s="653"/>
      <c r="E36" s="42">
        <v>34.1</v>
      </c>
      <c r="F36" s="560">
        <v>3700</v>
      </c>
      <c r="G36" s="547">
        <f t="shared" si="23"/>
        <v>126170</v>
      </c>
      <c r="H36" s="37">
        <v>2</v>
      </c>
      <c r="I36" s="558">
        <v>17</v>
      </c>
      <c r="J36" s="39">
        <v>1600</v>
      </c>
      <c r="K36" s="17">
        <f t="shared" si="1"/>
        <v>94.117647058823536</v>
      </c>
      <c r="L36" s="558">
        <v>17</v>
      </c>
      <c r="M36" s="18">
        <f t="shared" si="24"/>
        <v>1531.03448275862</v>
      </c>
      <c r="N36" s="17">
        <f t="shared" si="3"/>
        <v>90.060851926977648</v>
      </c>
      <c r="O36" s="19">
        <f t="shared" si="4"/>
        <v>0</v>
      </c>
      <c r="P36" s="20">
        <f t="shared" si="5"/>
        <v>-4.0567951318458881</v>
      </c>
      <c r="Q36" s="550">
        <f t="shared" si="6"/>
        <v>0.95689655172413746</v>
      </c>
      <c r="R36" s="637"/>
      <c r="S36" s="40">
        <v>0.41180555555555548</v>
      </c>
      <c r="T36" s="40">
        <v>0.51249999999999996</v>
      </c>
      <c r="U36" s="547">
        <f t="shared" si="26"/>
        <v>4.9999999999999822</v>
      </c>
      <c r="V36" s="559">
        <f t="shared" si="25"/>
        <v>145.00000000000006</v>
      </c>
      <c r="W36" s="23">
        <f>T36</f>
        <v>0.51249999999999996</v>
      </c>
      <c r="X36" s="23">
        <f>S37</f>
        <v>0.55486111111111103</v>
      </c>
      <c r="Y36" s="23"/>
      <c r="Z36" s="23"/>
      <c r="AA36" s="632"/>
      <c r="AB36" s="632"/>
      <c r="AC36" s="25"/>
      <c r="AD36" s="25"/>
      <c r="AE36" s="19">
        <f t="shared" si="8"/>
        <v>-68.965517241379985</v>
      </c>
      <c r="AF36" s="550">
        <f t="shared" si="9"/>
        <v>0.95689655172413746</v>
      </c>
      <c r="AG36" s="637"/>
    </row>
    <row r="37" spans="1:33" ht="15.75" customHeight="1">
      <c r="A37" s="654" t="s">
        <v>3004</v>
      </c>
      <c r="B37" s="42" t="s">
        <v>116</v>
      </c>
      <c r="C37" s="653" t="s">
        <v>117</v>
      </c>
      <c r="D37" s="653"/>
      <c r="E37" s="42">
        <v>31.29</v>
      </c>
      <c r="F37" s="560">
        <v>4290</v>
      </c>
      <c r="G37" s="547">
        <f t="shared" si="23"/>
        <v>134234.1</v>
      </c>
      <c r="H37" s="37" t="s">
        <v>91</v>
      </c>
      <c r="I37" s="558">
        <v>18</v>
      </c>
      <c r="J37" s="39">
        <v>2400</v>
      </c>
      <c r="K37" s="17">
        <f t="shared" si="1"/>
        <v>133.33333333333334</v>
      </c>
      <c r="L37" s="558">
        <v>18</v>
      </c>
      <c r="M37" s="18">
        <f t="shared" si="24"/>
        <v>2298.2142857142876</v>
      </c>
      <c r="N37" s="17">
        <f t="shared" si="3"/>
        <v>127.67857142857153</v>
      </c>
      <c r="O37" s="19">
        <f t="shared" si="4"/>
        <v>0</v>
      </c>
      <c r="P37" s="20">
        <f t="shared" si="5"/>
        <v>-5.6547619047618127</v>
      </c>
      <c r="Q37" s="550">
        <f t="shared" si="6"/>
        <v>0.95758928571428636</v>
      </c>
      <c r="R37" s="637"/>
      <c r="S37" s="40">
        <v>0.55486111111111103</v>
      </c>
      <c r="T37" s="40">
        <v>0.63263888888888875</v>
      </c>
      <c r="U37" s="547">
        <f t="shared" si="26"/>
        <v>60.999999999999943</v>
      </c>
      <c r="V37" s="559">
        <f t="shared" si="25"/>
        <v>111.99999999999991</v>
      </c>
      <c r="W37" s="23"/>
      <c r="X37" s="23"/>
      <c r="Y37" s="23"/>
      <c r="Z37" s="23"/>
      <c r="AA37" s="632"/>
      <c r="AB37" s="632"/>
      <c r="AC37" s="25"/>
      <c r="AD37" s="25"/>
      <c r="AE37" s="19">
        <f t="shared" si="8"/>
        <v>-101.7857142857124</v>
      </c>
      <c r="AF37" s="550">
        <f t="shared" si="9"/>
        <v>0.95758928571428648</v>
      </c>
      <c r="AG37" s="637"/>
    </row>
    <row r="38" spans="1:33" ht="15.75" customHeight="1">
      <c r="A38" s="654" t="s">
        <v>3004</v>
      </c>
      <c r="B38" s="42" t="s">
        <v>116</v>
      </c>
      <c r="C38" s="653" t="s">
        <v>126</v>
      </c>
      <c r="D38" s="653"/>
      <c r="E38" s="42">
        <v>34.1</v>
      </c>
      <c r="F38" s="560">
        <v>3064</v>
      </c>
      <c r="G38" s="547">
        <f t="shared" si="23"/>
        <v>104482.40000000001</v>
      </c>
      <c r="H38" s="37" t="s">
        <v>91</v>
      </c>
      <c r="I38" s="558">
        <v>17</v>
      </c>
      <c r="J38" s="39">
        <v>1600</v>
      </c>
      <c r="K38" s="17">
        <f t="shared" si="1"/>
        <v>94.117647058823536</v>
      </c>
      <c r="L38" s="558">
        <v>17</v>
      </c>
      <c r="M38" s="18">
        <f t="shared" si="24"/>
        <v>1531.9999999999993</v>
      </c>
      <c r="N38" s="17">
        <f t="shared" si="3"/>
        <v>90.117647058823493</v>
      </c>
      <c r="O38" s="19">
        <f t="shared" si="4"/>
        <v>0</v>
      </c>
      <c r="P38" s="20">
        <f t="shared" si="5"/>
        <v>-4.0000000000000426</v>
      </c>
      <c r="Q38" s="550">
        <f t="shared" si="6"/>
        <v>0.95749999999999957</v>
      </c>
      <c r="R38" s="637"/>
      <c r="S38" s="40">
        <v>0.63749999999999984</v>
      </c>
      <c r="T38" s="40">
        <v>0.72083333333333321</v>
      </c>
      <c r="U38" s="547">
        <f t="shared" si="26"/>
        <v>6.9999999999999751</v>
      </c>
      <c r="V38" s="559">
        <f t="shared" si="25"/>
        <v>120.00000000000006</v>
      </c>
      <c r="W38" s="23"/>
      <c r="X38" s="23"/>
      <c r="Y38" s="23"/>
      <c r="Z38" s="23"/>
      <c r="AA38" s="632"/>
      <c r="AB38" s="632"/>
      <c r="AC38" s="25"/>
      <c r="AD38" s="25"/>
      <c r="AE38" s="19">
        <f t="shared" si="8"/>
        <v>-68.000000000000682</v>
      </c>
      <c r="AF38" s="550">
        <f t="shared" si="9"/>
        <v>0.95749999999999957</v>
      </c>
      <c r="AG38" s="637"/>
    </row>
    <row r="39" spans="1:33" ht="15.75" customHeight="1">
      <c r="A39" s="654" t="s">
        <v>3004</v>
      </c>
      <c r="B39" s="42" t="s">
        <v>3006</v>
      </c>
      <c r="C39" s="638"/>
      <c r="D39" s="638"/>
      <c r="E39" s="551"/>
      <c r="F39" s="560"/>
      <c r="G39" s="547"/>
      <c r="H39" s="560"/>
      <c r="I39" s="29">
        <v>17</v>
      </c>
      <c r="J39" s="39">
        <v>2133.3333333333335</v>
      </c>
      <c r="K39" s="17">
        <f t="shared" si="1"/>
        <v>125.49019607843138</v>
      </c>
      <c r="L39" s="29">
        <v>17</v>
      </c>
      <c r="M39" s="18">
        <f>AVERAGE(M33:M38)</f>
        <v>2037.2058789313178</v>
      </c>
      <c r="N39" s="17">
        <f t="shared" si="3"/>
        <v>119.83563993713634</v>
      </c>
      <c r="O39" s="19">
        <f t="shared" si="4"/>
        <v>0</v>
      </c>
      <c r="P39" s="20">
        <f t="shared" si="5"/>
        <v>-5.6545561412950462</v>
      </c>
      <c r="Q39" s="550">
        <f t="shared" si="6"/>
        <v>0.95494025574905506</v>
      </c>
      <c r="R39" s="637"/>
      <c r="S39" s="40"/>
      <c r="T39" s="40"/>
      <c r="U39" s="547"/>
      <c r="V39" s="559"/>
      <c r="W39" s="547"/>
      <c r="X39" s="547"/>
      <c r="Y39" s="30">
        <f>SUM(Y33:Y38)</f>
        <v>0</v>
      </c>
      <c r="Z39" s="30">
        <f>SUM(Z33:Z38)</f>
        <v>0</v>
      </c>
      <c r="AA39" s="631"/>
      <c r="AB39" s="631"/>
      <c r="AC39" s="30">
        <v>6</v>
      </c>
      <c r="AD39" s="30">
        <f>SUM(AD33:AD38)</f>
        <v>0</v>
      </c>
      <c r="AE39" s="19">
        <f t="shared" si="8"/>
        <v>-96.127454402015701</v>
      </c>
      <c r="AF39" s="550">
        <f t="shared" si="9"/>
        <v>0.95494025574905517</v>
      </c>
      <c r="AG39" s="637"/>
    </row>
    <row r="40" spans="1:33" ht="15.75" customHeight="1">
      <c r="A40" s="651" t="s">
        <v>3007</v>
      </c>
      <c r="B40" s="42" t="s">
        <v>116</v>
      </c>
      <c r="C40" s="633" t="s">
        <v>123</v>
      </c>
      <c r="D40" s="633"/>
      <c r="E40" s="42">
        <v>26.18</v>
      </c>
      <c r="F40" s="560">
        <v>6369</v>
      </c>
      <c r="G40" s="547">
        <f t="shared" ref="G40:G47" si="27">E40*F40</f>
        <v>166740.41999999998</v>
      </c>
      <c r="H40" s="37" t="s">
        <v>91</v>
      </c>
      <c r="I40" s="558">
        <v>20</v>
      </c>
      <c r="J40" s="39">
        <v>2400</v>
      </c>
      <c r="K40" s="17">
        <f t="shared" si="1"/>
        <v>120</v>
      </c>
      <c r="L40" s="558">
        <v>20</v>
      </c>
      <c r="M40" s="18">
        <f t="shared" ref="M40:M47" si="28">F40/V40*60</f>
        <v>2288.2634730538925</v>
      </c>
      <c r="N40" s="17">
        <f t="shared" si="3"/>
        <v>114.41317365269462</v>
      </c>
      <c r="O40" s="19">
        <f t="shared" si="4"/>
        <v>0</v>
      </c>
      <c r="P40" s="20">
        <f t="shared" si="5"/>
        <v>-5.5868263473053759</v>
      </c>
      <c r="Q40" s="550">
        <f t="shared" si="6"/>
        <v>0.95344311377245516</v>
      </c>
      <c r="R40" s="637">
        <f>Q48</f>
        <v>0.95886772988670077</v>
      </c>
      <c r="S40" s="40">
        <v>8.3333333333333329E-2</v>
      </c>
      <c r="T40" s="40">
        <v>0.19930555555555554</v>
      </c>
      <c r="U40" s="547"/>
      <c r="V40" s="559">
        <f t="shared" ref="V40:V47" si="29">(T40-S40)*24*60</f>
        <v>167</v>
      </c>
      <c r="W40" s="28">
        <f>T40</f>
        <v>0.19930555555555554</v>
      </c>
      <c r="X40" s="28">
        <f>S41</f>
        <v>0.21805555555555553</v>
      </c>
      <c r="Y40" s="28"/>
      <c r="Z40" s="28"/>
      <c r="AA40" s="632"/>
      <c r="AB40" s="632"/>
      <c r="AC40" s="25">
        <v>8</v>
      </c>
      <c r="AD40" s="25"/>
      <c r="AE40" s="19">
        <f t="shared" si="8"/>
        <v>-111.73652694610746</v>
      </c>
      <c r="AF40" s="550">
        <f t="shared" si="9"/>
        <v>0.95344311377245528</v>
      </c>
      <c r="AG40" s="637">
        <f>AF48</f>
        <v>0.95886772988670066</v>
      </c>
    </row>
    <row r="41" spans="1:33" ht="15.75" customHeight="1">
      <c r="A41" s="651" t="s">
        <v>3008</v>
      </c>
      <c r="B41" s="42" t="s">
        <v>116</v>
      </c>
      <c r="C41" s="633" t="s">
        <v>150</v>
      </c>
      <c r="D41" s="633"/>
      <c r="E41" s="42">
        <v>23.89</v>
      </c>
      <c r="F41" s="560">
        <v>1397</v>
      </c>
      <c r="G41" s="547">
        <f t="shared" si="27"/>
        <v>33374.33</v>
      </c>
      <c r="H41" s="37" t="s">
        <v>91</v>
      </c>
      <c r="I41" s="558">
        <v>13</v>
      </c>
      <c r="J41" s="39">
        <v>2400</v>
      </c>
      <c r="K41" s="17">
        <f t="shared" si="1"/>
        <v>184.61538461538461</v>
      </c>
      <c r="L41" s="558">
        <v>13</v>
      </c>
      <c r="M41" s="18">
        <f t="shared" si="28"/>
        <v>2328.3333333333339</v>
      </c>
      <c r="N41" s="17">
        <f t="shared" si="3"/>
        <v>179.10256410256414</v>
      </c>
      <c r="O41" s="19">
        <f t="shared" si="4"/>
        <v>0</v>
      </c>
      <c r="P41" s="20">
        <f t="shared" si="5"/>
        <v>-5.5128205128204684</v>
      </c>
      <c r="Q41" s="550">
        <f t="shared" si="6"/>
        <v>0.97013888888888911</v>
      </c>
      <c r="R41" s="637"/>
      <c r="S41" s="40">
        <v>0.21805555555555553</v>
      </c>
      <c r="T41" s="40">
        <v>0.24305555555555552</v>
      </c>
      <c r="U41" s="547">
        <f t="shared" ref="U41:U47" si="30">(S41-T40)*24*60</f>
        <v>26.999999999999986</v>
      </c>
      <c r="V41" s="559">
        <f t="shared" si="29"/>
        <v>35.999999999999993</v>
      </c>
      <c r="W41" s="547"/>
      <c r="X41" s="547"/>
      <c r="Y41" s="547"/>
      <c r="Z41" s="547"/>
      <c r="AA41" s="632"/>
      <c r="AB41" s="632"/>
      <c r="AC41" s="25"/>
      <c r="AD41" s="25"/>
      <c r="AE41" s="19">
        <f t="shared" si="8"/>
        <v>-71.66666666666606</v>
      </c>
      <c r="AF41" s="550">
        <f t="shared" si="9"/>
        <v>0.97013888888888911</v>
      </c>
      <c r="AG41" s="637"/>
    </row>
    <row r="42" spans="1:33">
      <c r="A42" s="652" t="s">
        <v>3008</v>
      </c>
      <c r="B42" s="42" t="s">
        <v>116</v>
      </c>
      <c r="C42" s="633" t="s">
        <v>119</v>
      </c>
      <c r="D42" s="633"/>
      <c r="E42" s="42">
        <v>26.18</v>
      </c>
      <c r="F42" s="560">
        <v>4900</v>
      </c>
      <c r="G42" s="547">
        <f t="shared" si="27"/>
        <v>128282</v>
      </c>
      <c r="H42" s="37">
        <v>2</v>
      </c>
      <c r="I42" s="558">
        <v>18</v>
      </c>
      <c r="J42" s="39">
        <v>2400</v>
      </c>
      <c r="K42" s="17">
        <f t="shared" si="1"/>
        <v>133.33333333333334</v>
      </c>
      <c r="L42" s="558">
        <v>18</v>
      </c>
      <c r="M42" s="18">
        <f t="shared" si="28"/>
        <v>2296.8749999999995</v>
      </c>
      <c r="N42" s="17">
        <f t="shared" si="3"/>
        <v>127.60416666666664</v>
      </c>
      <c r="O42" s="19">
        <f t="shared" si="4"/>
        <v>0</v>
      </c>
      <c r="P42" s="20">
        <f t="shared" si="5"/>
        <v>-5.7291666666666998</v>
      </c>
      <c r="Q42" s="550">
        <f t="shared" si="6"/>
        <v>0.95703124999999978</v>
      </c>
      <c r="R42" s="637"/>
      <c r="S42" s="40">
        <v>0.24652777777777773</v>
      </c>
      <c r="T42" s="40">
        <v>0.33541666666666664</v>
      </c>
      <c r="U42" s="547">
        <f t="shared" si="30"/>
        <v>4.9999999999999822</v>
      </c>
      <c r="V42" s="559">
        <f t="shared" si="29"/>
        <v>128.00000000000003</v>
      </c>
      <c r="W42" s="547"/>
      <c r="X42" s="547"/>
      <c r="Y42" s="547"/>
      <c r="Z42" s="547"/>
      <c r="AA42" s="632"/>
      <c r="AB42" s="632"/>
      <c r="AC42" s="25"/>
      <c r="AD42" s="25"/>
      <c r="AE42" s="19">
        <f t="shared" si="8"/>
        <v>-103.12500000000045</v>
      </c>
      <c r="AF42" s="550">
        <f t="shared" si="9"/>
        <v>0.95703124999999978</v>
      </c>
      <c r="AG42" s="637"/>
    </row>
    <row r="43" spans="1:33">
      <c r="A43" s="652" t="s">
        <v>3008</v>
      </c>
      <c r="B43" s="42" t="s">
        <v>116</v>
      </c>
      <c r="C43" s="633" t="s">
        <v>121</v>
      </c>
      <c r="D43" s="633"/>
      <c r="E43" s="42">
        <v>25.99</v>
      </c>
      <c r="F43" s="560">
        <v>4072</v>
      </c>
      <c r="G43" s="547">
        <f t="shared" si="27"/>
        <v>105831.28</v>
      </c>
      <c r="H43" s="37" t="s">
        <v>91</v>
      </c>
      <c r="I43" s="558">
        <v>14</v>
      </c>
      <c r="J43" s="39">
        <v>2400</v>
      </c>
      <c r="K43" s="17">
        <f t="shared" si="1"/>
        <v>171.42857142857142</v>
      </c>
      <c r="L43" s="558">
        <v>14</v>
      </c>
      <c r="M43" s="18">
        <f t="shared" si="28"/>
        <v>2304.9056603773579</v>
      </c>
      <c r="N43" s="17">
        <f t="shared" si="3"/>
        <v>164.63611859838269</v>
      </c>
      <c r="O43" s="19">
        <f t="shared" si="4"/>
        <v>0</v>
      </c>
      <c r="P43" s="20">
        <f t="shared" si="5"/>
        <v>-6.7924528301887221</v>
      </c>
      <c r="Q43" s="550">
        <f t="shared" si="6"/>
        <v>0.96037735849056582</v>
      </c>
      <c r="R43" s="637"/>
      <c r="S43" s="40">
        <v>0.33958333333333329</v>
      </c>
      <c r="T43" s="40">
        <v>0.41319444444444442</v>
      </c>
      <c r="U43" s="547">
        <f t="shared" si="30"/>
        <v>5.9999999999999787</v>
      </c>
      <c r="V43" s="559">
        <f t="shared" si="29"/>
        <v>106.00000000000003</v>
      </c>
      <c r="W43" s="23"/>
      <c r="X43" s="23"/>
      <c r="Y43" s="23"/>
      <c r="Z43" s="23"/>
      <c r="AA43" s="632"/>
      <c r="AB43" s="632"/>
      <c r="AC43" s="25"/>
      <c r="AD43" s="25"/>
      <c r="AE43" s="19">
        <f t="shared" si="8"/>
        <v>-95.09433962264211</v>
      </c>
      <c r="AF43" s="550">
        <f t="shared" si="9"/>
        <v>0.96037735849056582</v>
      </c>
      <c r="AG43" s="637"/>
    </row>
    <row r="44" spans="1:33">
      <c r="A44" s="652" t="s">
        <v>3008</v>
      </c>
      <c r="B44" s="42" t="s">
        <v>116</v>
      </c>
      <c r="C44" s="633" t="s">
        <v>147</v>
      </c>
      <c r="D44" s="633"/>
      <c r="E44" s="42">
        <v>25.98</v>
      </c>
      <c r="F44" s="560">
        <v>2326</v>
      </c>
      <c r="G44" s="547">
        <f t="shared" si="27"/>
        <v>60429.48</v>
      </c>
      <c r="H44" s="37" t="s">
        <v>91</v>
      </c>
      <c r="I44" s="558">
        <v>17</v>
      </c>
      <c r="J44" s="39">
        <v>2400</v>
      </c>
      <c r="K44" s="17">
        <f t="shared" si="1"/>
        <v>141.1764705882353</v>
      </c>
      <c r="L44" s="558">
        <v>17</v>
      </c>
      <c r="M44" s="18">
        <f t="shared" si="28"/>
        <v>2287.8688524590152</v>
      </c>
      <c r="N44" s="17">
        <f t="shared" si="3"/>
        <v>134.58052073288326</v>
      </c>
      <c r="O44" s="19">
        <f t="shared" si="4"/>
        <v>0</v>
      </c>
      <c r="P44" s="20">
        <f t="shared" si="5"/>
        <v>-6.5959498553520461</v>
      </c>
      <c r="Q44" s="550">
        <f t="shared" si="6"/>
        <v>0.95327868852458963</v>
      </c>
      <c r="R44" s="637"/>
      <c r="S44" s="40">
        <v>0.41805555555555551</v>
      </c>
      <c r="T44" s="40">
        <v>0.46041666666666664</v>
      </c>
      <c r="U44" s="547">
        <f t="shared" si="30"/>
        <v>6.9999999999999751</v>
      </c>
      <c r="V44" s="559">
        <f t="shared" si="29"/>
        <v>61.000000000000021</v>
      </c>
      <c r="W44" s="23"/>
      <c r="X44" s="23"/>
      <c r="Y44" s="23"/>
      <c r="Z44" s="23"/>
      <c r="AA44" s="632"/>
      <c r="AB44" s="632"/>
      <c r="AC44" s="25"/>
      <c r="AD44" s="25"/>
      <c r="AE44" s="19">
        <f t="shared" si="8"/>
        <v>-112.13114754098478</v>
      </c>
      <c r="AF44" s="550">
        <f t="shared" si="9"/>
        <v>0.95327868852458963</v>
      </c>
      <c r="AG44" s="637"/>
    </row>
    <row r="45" spans="1:33">
      <c r="A45" s="652" t="s">
        <v>3008</v>
      </c>
      <c r="B45" s="42" t="s">
        <v>116</v>
      </c>
      <c r="C45" s="633" t="s">
        <v>149</v>
      </c>
      <c r="D45" s="633"/>
      <c r="E45" s="42">
        <v>24.25</v>
      </c>
      <c r="F45" s="560">
        <v>2701</v>
      </c>
      <c r="G45" s="547">
        <f t="shared" si="27"/>
        <v>65499.25</v>
      </c>
      <c r="H45" s="37" t="s">
        <v>91</v>
      </c>
      <c r="I45" s="558">
        <v>16</v>
      </c>
      <c r="J45" s="39">
        <v>2400</v>
      </c>
      <c r="K45" s="17">
        <f t="shared" si="1"/>
        <v>150</v>
      </c>
      <c r="L45" s="558">
        <v>16</v>
      </c>
      <c r="M45" s="18">
        <f t="shared" si="28"/>
        <v>2315.1428571428578</v>
      </c>
      <c r="N45" s="17">
        <f t="shared" si="3"/>
        <v>144.69642857142861</v>
      </c>
      <c r="O45" s="19">
        <f t="shared" si="4"/>
        <v>0</v>
      </c>
      <c r="P45" s="20">
        <f t="shared" si="5"/>
        <v>-5.303571428571388</v>
      </c>
      <c r="Q45" s="550">
        <f t="shared" si="6"/>
        <v>0.96464285714285747</v>
      </c>
      <c r="R45" s="637"/>
      <c r="S45" s="40">
        <v>0.46388888888888885</v>
      </c>
      <c r="T45" s="40">
        <v>0.51249999999999996</v>
      </c>
      <c r="U45" s="547">
        <f t="shared" si="30"/>
        <v>4.9999999999999822</v>
      </c>
      <c r="V45" s="559">
        <f t="shared" si="29"/>
        <v>69.999999999999986</v>
      </c>
      <c r="W45" s="23">
        <f>T45</f>
        <v>0.51249999999999996</v>
      </c>
      <c r="X45" s="23">
        <f>S46</f>
        <v>0.5527777777777777</v>
      </c>
      <c r="Y45" s="23"/>
      <c r="Z45" s="23"/>
      <c r="AA45" s="632"/>
      <c r="AB45" s="632"/>
      <c r="AC45" s="25"/>
      <c r="AD45" s="25"/>
      <c r="AE45" s="19">
        <f t="shared" si="8"/>
        <v>-84.857142857142208</v>
      </c>
      <c r="AF45" s="550">
        <f t="shared" si="9"/>
        <v>0.96464285714285747</v>
      </c>
      <c r="AG45" s="637"/>
    </row>
    <row r="46" spans="1:33">
      <c r="A46" s="652" t="s">
        <v>3008</v>
      </c>
      <c r="B46" s="42" t="s">
        <v>116</v>
      </c>
      <c r="C46" s="633" t="s">
        <v>119</v>
      </c>
      <c r="D46" s="633"/>
      <c r="E46" s="42">
        <v>26.18</v>
      </c>
      <c r="F46" s="560">
        <v>3967</v>
      </c>
      <c r="G46" s="547">
        <f t="shared" si="27"/>
        <v>103856.06</v>
      </c>
      <c r="H46" s="37" t="s">
        <v>91</v>
      </c>
      <c r="I46" s="558">
        <v>18</v>
      </c>
      <c r="J46" s="39">
        <v>2400</v>
      </c>
      <c r="K46" s="17">
        <f t="shared" si="1"/>
        <v>133.33333333333334</v>
      </c>
      <c r="L46" s="558">
        <v>18</v>
      </c>
      <c r="M46" s="18">
        <f t="shared" si="28"/>
        <v>2288.6538461538471</v>
      </c>
      <c r="N46" s="17">
        <f t="shared" si="3"/>
        <v>127.14743589743595</v>
      </c>
      <c r="O46" s="19">
        <f t="shared" si="4"/>
        <v>0</v>
      </c>
      <c r="P46" s="20">
        <f t="shared" si="5"/>
        <v>-6.1858974358973882</v>
      </c>
      <c r="Q46" s="550">
        <f t="shared" si="6"/>
        <v>0.95360576923076956</v>
      </c>
      <c r="R46" s="637"/>
      <c r="S46" s="40">
        <v>0.5527777777777777</v>
      </c>
      <c r="T46" s="40">
        <v>0.62499999999999989</v>
      </c>
      <c r="U46" s="547">
        <f t="shared" si="30"/>
        <v>57.999999999999957</v>
      </c>
      <c r="V46" s="559">
        <f t="shared" si="29"/>
        <v>103.99999999999994</v>
      </c>
      <c r="W46" s="23"/>
      <c r="X46" s="23"/>
      <c r="Y46" s="26"/>
      <c r="Z46" s="26"/>
      <c r="AA46" s="627"/>
      <c r="AB46" s="628"/>
      <c r="AC46" s="25"/>
      <c r="AD46" s="25"/>
      <c r="AE46" s="19">
        <f t="shared" si="8"/>
        <v>-111.3461538461529</v>
      </c>
      <c r="AF46" s="550">
        <f t="shared" si="9"/>
        <v>0.95360576923076967</v>
      </c>
      <c r="AG46" s="637"/>
    </row>
    <row r="47" spans="1:33">
      <c r="A47" s="652" t="s">
        <v>3008</v>
      </c>
      <c r="B47" s="42" t="s">
        <v>116</v>
      </c>
      <c r="C47" s="633" t="s">
        <v>124</v>
      </c>
      <c r="D47" s="633"/>
      <c r="E47" s="42">
        <v>24.43</v>
      </c>
      <c r="F47" s="560">
        <v>3527</v>
      </c>
      <c r="G47" s="547">
        <f t="shared" si="27"/>
        <v>86164.61</v>
      </c>
      <c r="H47" s="37" t="s">
        <v>91</v>
      </c>
      <c r="I47" s="558">
        <v>14</v>
      </c>
      <c r="J47" s="39">
        <v>2400</v>
      </c>
      <c r="K47" s="17">
        <f t="shared" si="1"/>
        <v>171.42857142857142</v>
      </c>
      <c r="L47" s="558">
        <v>14</v>
      </c>
      <c r="M47" s="18">
        <f t="shared" si="28"/>
        <v>2300.217391304348</v>
      </c>
      <c r="N47" s="17">
        <f t="shared" si="3"/>
        <v>164.30124223602485</v>
      </c>
      <c r="O47" s="19">
        <f t="shared" si="4"/>
        <v>0</v>
      </c>
      <c r="P47" s="20">
        <f t="shared" si="5"/>
        <v>-7.1273291925465685</v>
      </c>
      <c r="Q47" s="550">
        <f t="shared" si="6"/>
        <v>0.95842391304347829</v>
      </c>
      <c r="R47" s="637"/>
      <c r="S47" s="40">
        <v>0.63055555555555542</v>
      </c>
      <c r="T47" s="40">
        <v>0.69444444444444431</v>
      </c>
      <c r="U47" s="547">
        <f t="shared" si="30"/>
        <v>7.9999999999999716</v>
      </c>
      <c r="V47" s="559">
        <f t="shared" si="29"/>
        <v>92</v>
      </c>
      <c r="W47" s="23"/>
      <c r="X47" s="23"/>
      <c r="Y47" s="26"/>
      <c r="Z47" s="26"/>
      <c r="AA47" s="627"/>
      <c r="AB47" s="628"/>
      <c r="AC47" s="25"/>
      <c r="AD47" s="25"/>
      <c r="AE47" s="19">
        <f t="shared" si="8"/>
        <v>-99.782608695652016</v>
      </c>
      <c r="AF47" s="550">
        <f t="shared" si="9"/>
        <v>0.95842391304347829</v>
      </c>
      <c r="AG47" s="637"/>
    </row>
    <row r="48" spans="1:33">
      <c r="A48" s="652" t="s">
        <v>3008</v>
      </c>
      <c r="B48" s="44" t="s">
        <v>3009</v>
      </c>
      <c r="C48" s="638"/>
      <c r="D48" s="638"/>
      <c r="E48" s="551"/>
      <c r="F48" s="44"/>
      <c r="G48" s="17"/>
      <c r="H48" s="560"/>
      <c r="I48" s="29">
        <v>16.25</v>
      </c>
      <c r="J48" s="39">
        <v>2400</v>
      </c>
      <c r="K48" s="17">
        <f t="shared" si="1"/>
        <v>147.69230769230768</v>
      </c>
      <c r="L48" s="29">
        <v>16.25</v>
      </c>
      <c r="M48" s="18">
        <f>AVERAGE(M40:M47)</f>
        <v>2301.2825517280817</v>
      </c>
      <c r="N48" s="17">
        <f t="shared" si="3"/>
        <v>141.61738779865118</v>
      </c>
      <c r="O48" s="19">
        <f t="shared" si="4"/>
        <v>0</v>
      </c>
      <c r="P48" s="20">
        <f t="shared" si="5"/>
        <v>-6.0749198936564994</v>
      </c>
      <c r="Q48" s="550">
        <f t="shared" si="6"/>
        <v>0.95886772988670077</v>
      </c>
      <c r="R48" s="637"/>
      <c r="S48" s="40"/>
      <c r="T48" s="40"/>
      <c r="U48" s="17"/>
      <c r="V48" s="559"/>
      <c r="W48" s="17"/>
      <c r="X48" s="17"/>
      <c r="Y48" s="30">
        <f>SUM(Y40:Y47)</f>
        <v>0</v>
      </c>
      <c r="Z48" s="30">
        <f>SUM(Z40:Z47)</f>
        <v>0</v>
      </c>
      <c r="AA48" s="631"/>
      <c r="AB48" s="631"/>
      <c r="AC48" s="30">
        <v>8</v>
      </c>
      <c r="AD48" s="30">
        <f>SUM(AD40:AD47)</f>
        <v>0</v>
      </c>
      <c r="AE48" s="19">
        <f t="shared" si="8"/>
        <v>-98.717448271918329</v>
      </c>
      <c r="AF48" s="550">
        <f t="shared" si="9"/>
        <v>0.95886772988670066</v>
      </c>
      <c r="AG48" s="637"/>
    </row>
    <row r="49" spans="1:33" ht="15.75" customHeight="1">
      <c r="A49" s="648" t="s">
        <v>3010</v>
      </c>
      <c r="B49" s="42" t="s">
        <v>127</v>
      </c>
      <c r="C49" s="625" t="s">
        <v>128</v>
      </c>
      <c r="D49" s="626"/>
      <c r="E49" s="42">
        <v>21.13</v>
      </c>
      <c r="F49" s="560">
        <v>6070</v>
      </c>
      <c r="G49" s="547">
        <f t="shared" ref="G49:G51" si="31">E49*F49</f>
        <v>128259.09999999999</v>
      </c>
      <c r="H49" s="37" t="s">
        <v>91</v>
      </c>
      <c r="I49" s="558">
        <v>10</v>
      </c>
      <c r="J49" s="39">
        <v>3000</v>
      </c>
      <c r="K49" s="17">
        <f t="shared" si="1"/>
        <v>300</v>
      </c>
      <c r="L49" s="558">
        <v>10</v>
      </c>
      <c r="M49" s="18">
        <f t="shared" ref="M49:M51" si="32">F49/V49*60</f>
        <v>2867.7165354330714</v>
      </c>
      <c r="N49" s="18">
        <f t="shared" si="3"/>
        <v>286.77165354330714</v>
      </c>
      <c r="O49" s="19">
        <f t="shared" si="4"/>
        <v>0</v>
      </c>
      <c r="P49" s="20">
        <f t="shared" si="5"/>
        <v>-13.228346456692861</v>
      </c>
      <c r="Q49" s="550">
        <f t="shared" si="6"/>
        <v>0.95590551181102379</v>
      </c>
      <c r="R49" s="643">
        <f>Q52</f>
        <v>0.95645821753119931</v>
      </c>
      <c r="S49" s="40">
        <v>0.20833333333333334</v>
      </c>
      <c r="T49" s="40">
        <v>0.29652777777777778</v>
      </c>
      <c r="U49" s="28"/>
      <c r="V49" s="559">
        <f t="shared" ref="V49:V51" si="33">(T49-S49)*24*60</f>
        <v>126.99999999999997</v>
      </c>
      <c r="W49" s="23"/>
      <c r="X49" s="23"/>
      <c r="Y49" s="26"/>
      <c r="Z49" s="26"/>
      <c r="AA49" s="627"/>
      <c r="AB49" s="628"/>
      <c r="AC49" s="25">
        <v>3</v>
      </c>
      <c r="AD49" s="25"/>
      <c r="AE49" s="19">
        <f t="shared" si="8"/>
        <v>-132.28346456692861</v>
      </c>
      <c r="AF49" s="550">
        <f t="shared" si="9"/>
        <v>0.95590551181102379</v>
      </c>
      <c r="AG49" s="643">
        <f>AF52</f>
        <v>0.95645821753119931</v>
      </c>
    </row>
    <row r="50" spans="1:33" ht="15.75" customHeight="1">
      <c r="A50" s="649" t="s">
        <v>3010</v>
      </c>
      <c r="B50" s="42" t="s">
        <v>127</v>
      </c>
      <c r="C50" s="625" t="s">
        <v>129</v>
      </c>
      <c r="D50" s="626"/>
      <c r="E50" s="42">
        <v>27.17</v>
      </c>
      <c r="F50" s="560">
        <v>6381</v>
      </c>
      <c r="G50" s="547">
        <f t="shared" si="31"/>
        <v>173371.77000000002</v>
      </c>
      <c r="H50" s="37" t="s">
        <v>91</v>
      </c>
      <c r="I50" s="558">
        <v>10</v>
      </c>
      <c r="J50" s="39">
        <v>3000</v>
      </c>
      <c r="K50" s="17">
        <f t="shared" si="1"/>
        <v>300</v>
      </c>
      <c r="L50" s="558">
        <v>10</v>
      </c>
      <c r="M50" s="18">
        <f t="shared" si="32"/>
        <v>2857.1641791044776</v>
      </c>
      <c r="N50" s="18">
        <f t="shared" si="3"/>
        <v>285.71641791044777</v>
      </c>
      <c r="O50" s="19">
        <f t="shared" si="4"/>
        <v>0</v>
      </c>
      <c r="P50" s="20">
        <f t="shared" si="5"/>
        <v>-14.283582089552226</v>
      </c>
      <c r="Q50" s="550">
        <f t="shared" si="6"/>
        <v>0.95238805970149254</v>
      </c>
      <c r="R50" s="644"/>
      <c r="S50" s="40">
        <v>0.30069444444444443</v>
      </c>
      <c r="T50" s="40">
        <v>0.39374999999999999</v>
      </c>
      <c r="U50" s="547">
        <f t="shared" ref="U50:U51" si="34">(S50-T49)*24*60</f>
        <v>5.9999999999999787</v>
      </c>
      <c r="V50" s="559">
        <f t="shared" si="33"/>
        <v>134</v>
      </c>
      <c r="W50" s="23"/>
      <c r="X50" s="23"/>
      <c r="Y50" s="26"/>
      <c r="Z50" s="26"/>
      <c r="AA50" s="627"/>
      <c r="AB50" s="628"/>
      <c r="AC50" s="25"/>
      <c r="AD50" s="25"/>
      <c r="AE50" s="19">
        <f t="shared" si="8"/>
        <v>-142.83582089552237</v>
      </c>
      <c r="AF50" s="550">
        <f t="shared" si="9"/>
        <v>0.95238805970149254</v>
      </c>
      <c r="AG50" s="644"/>
    </row>
    <row r="51" spans="1:33" ht="15.75" customHeight="1">
      <c r="A51" s="649" t="s">
        <v>3010</v>
      </c>
      <c r="B51" s="42" t="s">
        <v>127</v>
      </c>
      <c r="C51" s="625" t="s">
        <v>144</v>
      </c>
      <c r="D51" s="626"/>
      <c r="E51" s="42">
        <v>35.869999999999997</v>
      </c>
      <c r="F51" s="560">
        <v>3556</v>
      </c>
      <c r="G51" s="547">
        <f t="shared" si="31"/>
        <v>127553.71999999999</v>
      </c>
      <c r="H51" s="37" t="s">
        <v>91</v>
      </c>
      <c r="I51" s="558">
        <v>10</v>
      </c>
      <c r="J51" s="39">
        <v>3000</v>
      </c>
      <c r="K51" s="17">
        <f t="shared" si="1"/>
        <v>300</v>
      </c>
      <c r="L51" s="558">
        <v>10</v>
      </c>
      <c r="M51" s="18">
        <f t="shared" si="32"/>
        <v>2883.2432432432443</v>
      </c>
      <c r="N51" s="18">
        <f t="shared" si="3"/>
        <v>288.32432432432444</v>
      </c>
      <c r="O51" s="19">
        <f t="shared" si="4"/>
        <v>0</v>
      </c>
      <c r="P51" s="20">
        <f t="shared" si="5"/>
        <v>-11.675675675675564</v>
      </c>
      <c r="Q51" s="550">
        <f t="shared" si="6"/>
        <v>0.96108108108108148</v>
      </c>
      <c r="R51" s="644"/>
      <c r="S51" s="40">
        <v>0.39791666666666664</v>
      </c>
      <c r="T51" s="40">
        <v>0.44930555555555551</v>
      </c>
      <c r="U51" s="547">
        <f t="shared" si="34"/>
        <v>5.9999999999999787</v>
      </c>
      <c r="V51" s="559">
        <f t="shared" si="33"/>
        <v>73.999999999999972</v>
      </c>
      <c r="W51" s="23"/>
      <c r="X51" s="23"/>
      <c r="Y51" s="26"/>
      <c r="Z51" s="26"/>
      <c r="AA51" s="627"/>
      <c r="AB51" s="628"/>
      <c r="AC51" s="25"/>
      <c r="AD51" s="25"/>
      <c r="AE51" s="19">
        <f t="shared" si="8"/>
        <v>-116.75675675675575</v>
      </c>
      <c r="AF51" s="550">
        <f t="shared" si="9"/>
        <v>0.96108108108108137</v>
      </c>
      <c r="AG51" s="644"/>
    </row>
    <row r="52" spans="1:33" ht="15.75" customHeight="1">
      <c r="A52" s="650" t="s">
        <v>3010</v>
      </c>
      <c r="B52" s="42" t="s">
        <v>3009</v>
      </c>
      <c r="C52" s="629"/>
      <c r="D52" s="630"/>
      <c r="E52" s="548"/>
      <c r="F52" s="560"/>
      <c r="G52" s="547"/>
      <c r="H52" s="560"/>
      <c r="I52" s="29">
        <v>10</v>
      </c>
      <c r="J52" s="39">
        <v>3000</v>
      </c>
      <c r="K52" s="17">
        <f t="shared" si="1"/>
        <v>300</v>
      </c>
      <c r="L52" s="29">
        <v>10</v>
      </c>
      <c r="M52" s="18">
        <f>AVERAGE(M49:M51)</f>
        <v>2869.3746525935981</v>
      </c>
      <c r="N52" s="17">
        <f t="shared" si="3"/>
        <v>286.93746525935978</v>
      </c>
      <c r="O52" s="19">
        <f t="shared" si="4"/>
        <v>0</v>
      </c>
      <c r="P52" s="20">
        <f t="shared" si="5"/>
        <v>-13.062534740640217</v>
      </c>
      <c r="Q52" s="550">
        <f t="shared" si="6"/>
        <v>0.95645821753119931</v>
      </c>
      <c r="R52" s="645"/>
      <c r="S52" s="40"/>
      <c r="T52" s="40"/>
      <c r="U52" s="547"/>
      <c r="V52" s="559"/>
      <c r="W52" s="23"/>
      <c r="X52" s="23"/>
      <c r="Y52" s="30">
        <f>SUM(Y49:Y51)</f>
        <v>0</v>
      </c>
      <c r="Z52" s="30">
        <f>SUM(Z49:Z51)</f>
        <v>0</v>
      </c>
      <c r="AA52" s="646"/>
      <c r="AB52" s="647"/>
      <c r="AC52" s="30">
        <v>3</v>
      </c>
      <c r="AD52" s="30">
        <f>SUM(AD49:AD51)</f>
        <v>0</v>
      </c>
      <c r="AE52" s="19">
        <f t="shared" si="8"/>
        <v>-130.62534740640194</v>
      </c>
      <c r="AF52" s="550">
        <f t="shared" si="9"/>
        <v>0.95645821753119931</v>
      </c>
      <c r="AG52" s="645"/>
    </row>
    <row r="53" spans="1:33" ht="15.75" customHeight="1">
      <c r="A53" s="641" t="s">
        <v>3011</v>
      </c>
      <c r="B53" s="42" t="s">
        <v>92</v>
      </c>
      <c r="C53" s="633" t="s">
        <v>135</v>
      </c>
      <c r="D53" s="633"/>
      <c r="E53" s="42">
        <v>51.44</v>
      </c>
      <c r="F53" s="48">
        <v>1781</v>
      </c>
      <c r="G53" s="547">
        <f t="shared" ref="G53:G61" si="35">E53*F53</f>
        <v>91614.64</v>
      </c>
      <c r="H53" s="37" t="s">
        <v>91</v>
      </c>
      <c r="I53" s="558">
        <v>25</v>
      </c>
      <c r="J53" s="39">
        <v>2000</v>
      </c>
      <c r="K53" s="17">
        <f t="shared" si="1"/>
        <v>80</v>
      </c>
      <c r="L53" s="558">
        <v>25</v>
      </c>
      <c r="M53" s="18">
        <f t="shared" ref="M53" si="36">F53/V53*60</f>
        <v>1908.2142857142856</v>
      </c>
      <c r="N53" s="18">
        <f t="shared" si="3"/>
        <v>76.328571428571422</v>
      </c>
      <c r="O53" s="19">
        <f t="shared" si="4"/>
        <v>0</v>
      </c>
      <c r="P53" s="20">
        <f t="shared" si="5"/>
        <v>-3.6714285714285779</v>
      </c>
      <c r="Q53" s="550">
        <f t="shared" si="6"/>
        <v>0.95410714285714282</v>
      </c>
      <c r="R53" s="637">
        <f>Q62</f>
        <v>0.96107848201139201</v>
      </c>
      <c r="S53" s="40">
        <v>0.20833333333333334</v>
      </c>
      <c r="T53" s="40">
        <v>0.24722222222222223</v>
      </c>
      <c r="U53" s="28"/>
      <c r="V53" s="559">
        <f t="shared" ref="V53:V61" si="37">(T53-S53)*24*60</f>
        <v>56</v>
      </c>
      <c r="W53" s="23"/>
      <c r="X53" s="23"/>
      <c r="Y53" s="28"/>
      <c r="Z53" s="28"/>
      <c r="AA53" s="632"/>
      <c r="AB53" s="632"/>
      <c r="AC53" s="25">
        <v>9</v>
      </c>
      <c r="AD53" s="25"/>
      <c r="AE53" s="19">
        <f t="shared" si="8"/>
        <v>-91.785714285714448</v>
      </c>
      <c r="AF53" s="550">
        <f t="shared" si="9"/>
        <v>0.95410714285714282</v>
      </c>
      <c r="AG53" s="637">
        <f>AF62</f>
        <v>0.9610784820113919</v>
      </c>
    </row>
    <row r="54" spans="1:33" ht="15.75" customHeight="1">
      <c r="A54" s="641" t="s">
        <v>3011</v>
      </c>
      <c r="B54" s="42" t="s">
        <v>92</v>
      </c>
      <c r="C54" s="633" t="s">
        <v>2408</v>
      </c>
      <c r="D54" s="633"/>
      <c r="E54" s="42">
        <v>56.43</v>
      </c>
      <c r="F54" s="48">
        <v>2225</v>
      </c>
      <c r="G54" s="547">
        <f t="shared" si="35"/>
        <v>125556.75</v>
      </c>
      <c r="H54" s="37" t="s">
        <v>91</v>
      </c>
      <c r="I54" s="558">
        <v>23</v>
      </c>
      <c r="J54" s="39">
        <v>2000</v>
      </c>
      <c r="K54" s="17">
        <f t="shared" si="1"/>
        <v>86.956521739130437</v>
      </c>
      <c r="L54" s="558">
        <v>23</v>
      </c>
      <c r="M54" s="18">
        <f>F54/V54*60</f>
        <v>1907.1428571428576</v>
      </c>
      <c r="N54" s="18">
        <f t="shared" si="3"/>
        <v>82.919254658385114</v>
      </c>
      <c r="O54" s="19">
        <f t="shared" si="4"/>
        <v>0</v>
      </c>
      <c r="P54" s="20">
        <f t="shared" si="5"/>
        <v>-4.0372670807453233</v>
      </c>
      <c r="Q54" s="550">
        <f t="shared" si="6"/>
        <v>0.95357142857142874</v>
      </c>
      <c r="R54" s="637"/>
      <c r="S54" s="40">
        <v>0.25069444444444444</v>
      </c>
      <c r="T54" s="40">
        <v>0.29930555555555555</v>
      </c>
      <c r="U54" s="547">
        <f t="shared" ref="U54:U61" si="38">IF(S54=TIME(17,0,0),"",(S54-T53)*24*60)</f>
        <v>4.9999999999999822</v>
      </c>
      <c r="V54" s="559">
        <f t="shared" si="37"/>
        <v>69.999999999999986</v>
      </c>
      <c r="W54" s="23"/>
      <c r="X54" s="23"/>
      <c r="Y54" s="23"/>
      <c r="Z54" s="23"/>
      <c r="AA54" s="632"/>
      <c r="AB54" s="632"/>
      <c r="AC54" s="25"/>
      <c r="AD54" s="25"/>
      <c r="AE54" s="19">
        <f t="shared" si="8"/>
        <v>-92.857142857142435</v>
      </c>
      <c r="AF54" s="550">
        <f t="shared" si="9"/>
        <v>0.95357142857142874</v>
      </c>
      <c r="AG54" s="637"/>
    </row>
    <row r="55" spans="1:33" ht="15.75" customHeight="1">
      <c r="A55" s="641" t="s">
        <v>3011</v>
      </c>
      <c r="B55" s="42" t="s">
        <v>92</v>
      </c>
      <c r="C55" s="625" t="s">
        <v>1852</v>
      </c>
      <c r="D55" s="626"/>
      <c r="E55" s="42">
        <v>56.43</v>
      </c>
      <c r="F55" s="48">
        <v>2246</v>
      </c>
      <c r="G55" s="547">
        <f t="shared" si="35"/>
        <v>126741.78</v>
      </c>
      <c r="H55" s="37" t="s">
        <v>91</v>
      </c>
      <c r="I55" s="558">
        <v>25</v>
      </c>
      <c r="J55" s="39">
        <v>2000</v>
      </c>
      <c r="K55" s="17">
        <f t="shared" si="1"/>
        <v>80</v>
      </c>
      <c r="L55" s="558">
        <v>25</v>
      </c>
      <c r="M55" s="18">
        <f t="shared" ref="M55:M61" si="39">F55/V55*60</f>
        <v>1925.1428571428573</v>
      </c>
      <c r="N55" s="18">
        <f t="shared" si="3"/>
        <v>77.005714285714291</v>
      </c>
      <c r="O55" s="19">
        <f t="shared" si="4"/>
        <v>0</v>
      </c>
      <c r="P55" s="20">
        <f t="shared" si="5"/>
        <v>-2.9942857142857093</v>
      </c>
      <c r="Q55" s="550">
        <f t="shared" si="6"/>
        <v>0.96257142857142863</v>
      </c>
      <c r="R55" s="637"/>
      <c r="S55" s="40">
        <v>0.3034722222222222</v>
      </c>
      <c r="T55" s="40">
        <v>0.3520833333333333</v>
      </c>
      <c r="U55" s="547">
        <f t="shared" si="38"/>
        <v>5.9999999999999787</v>
      </c>
      <c r="V55" s="559">
        <f t="shared" si="37"/>
        <v>69.999999999999986</v>
      </c>
      <c r="W55" s="23"/>
      <c r="X55" s="23"/>
      <c r="Y55" s="26"/>
      <c r="Z55" s="26"/>
      <c r="AA55" s="632"/>
      <c r="AB55" s="632"/>
      <c r="AC55" s="25"/>
      <c r="AD55" s="25"/>
      <c r="AE55" s="19">
        <f t="shared" si="8"/>
        <v>-74.857142857142662</v>
      </c>
      <c r="AF55" s="550">
        <f t="shared" si="9"/>
        <v>0.96257142857142863</v>
      </c>
      <c r="AG55" s="637"/>
    </row>
    <row r="56" spans="1:33" ht="15.75" customHeight="1">
      <c r="A56" s="641" t="s">
        <v>3011</v>
      </c>
      <c r="B56" s="42" t="s">
        <v>96</v>
      </c>
      <c r="C56" s="552" t="s">
        <v>136</v>
      </c>
      <c r="D56" s="553"/>
      <c r="E56" s="42">
        <v>46</v>
      </c>
      <c r="F56" s="48">
        <v>1510</v>
      </c>
      <c r="G56" s="547">
        <f t="shared" si="35"/>
        <v>69460</v>
      </c>
      <c r="H56" s="37" t="s">
        <v>91</v>
      </c>
      <c r="I56" s="558">
        <v>16</v>
      </c>
      <c r="J56" s="39">
        <v>2000</v>
      </c>
      <c r="K56" s="17">
        <f t="shared" si="1"/>
        <v>125</v>
      </c>
      <c r="L56" s="558">
        <v>16</v>
      </c>
      <c r="M56" s="18">
        <f t="shared" si="39"/>
        <v>1927.6595744680853</v>
      </c>
      <c r="N56" s="18">
        <f t="shared" si="3"/>
        <v>120.47872340425533</v>
      </c>
      <c r="O56" s="19">
        <f t="shared" si="4"/>
        <v>0</v>
      </c>
      <c r="P56" s="20">
        <f t="shared" si="5"/>
        <v>-4.5212765957446663</v>
      </c>
      <c r="Q56" s="550">
        <f t="shared" si="6"/>
        <v>0.96382978723404267</v>
      </c>
      <c r="R56" s="637"/>
      <c r="S56" s="40">
        <v>0.3569444444444444</v>
      </c>
      <c r="T56" s="40">
        <v>0.38958333333333328</v>
      </c>
      <c r="U56" s="547">
        <f t="shared" si="38"/>
        <v>6.9999999999999751</v>
      </c>
      <c r="V56" s="559">
        <f t="shared" si="37"/>
        <v>46.999999999999993</v>
      </c>
      <c r="W56" s="23"/>
      <c r="X56" s="23"/>
      <c r="Y56" s="26"/>
      <c r="Z56" s="26"/>
      <c r="AA56" s="632"/>
      <c r="AB56" s="632"/>
      <c r="AC56" s="25"/>
      <c r="AD56" s="25"/>
      <c r="AE56" s="19">
        <f t="shared" si="8"/>
        <v>-72.340425531914661</v>
      </c>
      <c r="AF56" s="550">
        <f t="shared" si="9"/>
        <v>0.96382978723404267</v>
      </c>
      <c r="AG56" s="637"/>
    </row>
    <row r="57" spans="1:33" ht="15.75" customHeight="1">
      <c r="A57" s="641" t="s">
        <v>3011</v>
      </c>
      <c r="B57" s="42" t="s">
        <v>96</v>
      </c>
      <c r="C57" s="552" t="s">
        <v>137</v>
      </c>
      <c r="D57" s="553"/>
      <c r="E57" s="42">
        <v>46</v>
      </c>
      <c r="F57" s="48">
        <v>1672</v>
      </c>
      <c r="G57" s="547">
        <f t="shared" si="35"/>
        <v>76912</v>
      </c>
      <c r="H57" s="37" t="s">
        <v>91</v>
      </c>
      <c r="I57" s="558">
        <v>17</v>
      </c>
      <c r="J57" s="39">
        <v>2000</v>
      </c>
      <c r="K57" s="17">
        <f t="shared" si="1"/>
        <v>117.64705882352941</v>
      </c>
      <c r="L57" s="558">
        <v>17</v>
      </c>
      <c r="M57" s="18">
        <f t="shared" si="39"/>
        <v>1929.2307692307704</v>
      </c>
      <c r="N57" s="18">
        <f t="shared" si="3"/>
        <v>113.48416289592767</v>
      </c>
      <c r="O57" s="19">
        <f t="shared" si="4"/>
        <v>0</v>
      </c>
      <c r="P57" s="20">
        <f t="shared" si="5"/>
        <v>-4.1628959276017383</v>
      </c>
      <c r="Q57" s="550">
        <f t="shared" si="6"/>
        <v>0.96461538461538521</v>
      </c>
      <c r="R57" s="637"/>
      <c r="S57" s="40">
        <v>0.39513888888888882</v>
      </c>
      <c r="T57" s="40">
        <v>0.43124999999999991</v>
      </c>
      <c r="U57" s="547">
        <f t="shared" si="38"/>
        <v>7.9999999999999716</v>
      </c>
      <c r="V57" s="559">
        <f t="shared" si="37"/>
        <v>51.999999999999972</v>
      </c>
      <c r="W57" s="23"/>
      <c r="X57" s="23"/>
      <c r="Y57" s="26"/>
      <c r="Z57" s="26"/>
      <c r="AA57" s="632"/>
      <c r="AB57" s="632"/>
      <c r="AC57" s="25"/>
      <c r="AD57" s="25"/>
      <c r="AE57" s="19">
        <f t="shared" si="8"/>
        <v>-70.76923076922958</v>
      </c>
      <c r="AF57" s="550">
        <f t="shared" si="9"/>
        <v>0.96461538461538521</v>
      </c>
      <c r="AG57" s="637"/>
    </row>
    <row r="58" spans="1:33" ht="15.75" customHeight="1">
      <c r="A58" s="641" t="s">
        <v>3011</v>
      </c>
      <c r="B58" s="42" t="s">
        <v>92</v>
      </c>
      <c r="C58" s="625" t="s">
        <v>138</v>
      </c>
      <c r="D58" s="626"/>
      <c r="E58" s="42">
        <v>55.56</v>
      </c>
      <c r="F58" s="48">
        <v>1000</v>
      </c>
      <c r="G58" s="547">
        <f t="shared" si="35"/>
        <v>55560</v>
      </c>
      <c r="H58" s="37">
        <v>2</v>
      </c>
      <c r="I58" s="558">
        <v>17</v>
      </c>
      <c r="J58" s="39">
        <v>2000</v>
      </c>
      <c r="K58" s="17">
        <f t="shared" si="1"/>
        <v>117.64705882352941</v>
      </c>
      <c r="L58" s="558">
        <v>17</v>
      </c>
      <c r="M58" s="18">
        <f t="shared" si="39"/>
        <v>1935.483870967739</v>
      </c>
      <c r="N58" s="18">
        <f t="shared" si="3"/>
        <v>113.85199240986699</v>
      </c>
      <c r="O58" s="19">
        <f t="shared" si="4"/>
        <v>0</v>
      </c>
      <c r="P58" s="20">
        <f t="shared" si="5"/>
        <v>-3.7950664136624113</v>
      </c>
      <c r="Q58" s="550">
        <f t="shared" si="6"/>
        <v>0.96774193548386955</v>
      </c>
      <c r="R58" s="637"/>
      <c r="S58" s="40">
        <v>0.70833333333333337</v>
      </c>
      <c r="T58" s="40">
        <v>0.72986111111111118</v>
      </c>
      <c r="U58" s="547" t="str">
        <f t="shared" si="38"/>
        <v/>
      </c>
      <c r="V58" s="559">
        <f t="shared" si="37"/>
        <v>31.00000000000005</v>
      </c>
      <c r="W58" s="23"/>
      <c r="X58" s="23"/>
      <c r="Y58" s="26"/>
      <c r="Z58" s="26"/>
      <c r="AA58" s="627"/>
      <c r="AB58" s="628"/>
      <c r="AC58" s="25"/>
      <c r="AD58" s="25"/>
      <c r="AE58" s="19">
        <f t="shared" si="8"/>
        <v>-64.516129032261006</v>
      </c>
      <c r="AF58" s="550">
        <f t="shared" si="9"/>
        <v>0.96774193548386944</v>
      </c>
      <c r="AG58" s="637"/>
    </row>
    <row r="59" spans="1:33" ht="15.75" customHeight="1">
      <c r="A59" s="641" t="s">
        <v>3011</v>
      </c>
      <c r="B59" s="42" t="s">
        <v>92</v>
      </c>
      <c r="C59" s="625" t="s">
        <v>420</v>
      </c>
      <c r="D59" s="626"/>
      <c r="E59" s="42">
        <v>58.17</v>
      </c>
      <c r="F59" s="48">
        <v>2482</v>
      </c>
      <c r="G59" s="547">
        <f t="shared" si="35"/>
        <v>144377.94</v>
      </c>
      <c r="H59" s="37" t="s">
        <v>91</v>
      </c>
      <c r="I59" s="558">
        <v>13</v>
      </c>
      <c r="J59" s="39">
        <v>2000</v>
      </c>
      <c r="K59" s="17">
        <f t="shared" si="1"/>
        <v>153.84615384615384</v>
      </c>
      <c r="L59" s="558">
        <v>13</v>
      </c>
      <c r="M59" s="18">
        <f t="shared" si="39"/>
        <v>1909.2307692307681</v>
      </c>
      <c r="N59" s="18">
        <f t="shared" si="3"/>
        <v>146.86390532544371</v>
      </c>
      <c r="O59" s="19">
        <f t="shared" si="4"/>
        <v>0</v>
      </c>
      <c r="P59" s="20">
        <f t="shared" si="5"/>
        <v>-6.9822485207101295</v>
      </c>
      <c r="Q59" s="550">
        <f t="shared" si="6"/>
        <v>0.9546153846153842</v>
      </c>
      <c r="R59" s="637"/>
      <c r="S59" s="40">
        <v>0.73333333333333339</v>
      </c>
      <c r="T59" s="40">
        <v>0.78750000000000009</v>
      </c>
      <c r="U59" s="547">
        <f t="shared" si="38"/>
        <v>4.9999999999999822</v>
      </c>
      <c r="V59" s="559">
        <f t="shared" si="37"/>
        <v>78.000000000000043</v>
      </c>
      <c r="W59" s="23"/>
      <c r="X59" s="23"/>
      <c r="Y59" s="26"/>
      <c r="Z59" s="26"/>
      <c r="AA59" s="627"/>
      <c r="AB59" s="628"/>
      <c r="AC59" s="25"/>
      <c r="AD59" s="25"/>
      <c r="AE59" s="19">
        <f t="shared" si="8"/>
        <v>-90.769230769231854</v>
      </c>
      <c r="AF59" s="550">
        <f t="shared" si="9"/>
        <v>0.95461538461538409</v>
      </c>
      <c r="AG59" s="637"/>
    </row>
    <row r="60" spans="1:33" ht="15.75" customHeight="1">
      <c r="A60" s="641" t="s">
        <v>3011</v>
      </c>
      <c r="B60" s="42" t="s">
        <v>92</v>
      </c>
      <c r="C60" s="625" t="s">
        <v>2999</v>
      </c>
      <c r="D60" s="626"/>
      <c r="E60" s="42">
        <v>54.09</v>
      </c>
      <c r="F60" s="48">
        <v>1600</v>
      </c>
      <c r="G60" s="547">
        <f t="shared" si="35"/>
        <v>86544</v>
      </c>
      <c r="H60" s="37">
        <v>2</v>
      </c>
      <c r="I60" s="558">
        <v>14</v>
      </c>
      <c r="J60" s="39">
        <v>2000</v>
      </c>
      <c r="K60" s="17">
        <f t="shared" si="1"/>
        <v>142.85714285714286</v>
      </c>
      <c r="L60" s="558">
        <v>14</v>
      </c>
      <c r="M60" s="18">
        <f t="shared" si="39"/>
        <v>1920.0000000000005</v>
      </c>
      <c r="N60" s="18">
        <f t="shared" si="3"/>
        <v>137.14285714285717</v>
      </c>
      <c r="O60" s="19">
        <f t="shared" si="4"/>
        <v>0</v>
      </c>
      <c r="P60" s="20">
        <f t="shared" si="5"/>
        <v>-5.714285714285694</v>
      </c>
      <c r="Q60" s="550">
        <f t="shared" si="6"/>
        <v>0.96000000000000019</v>
      </c>
      <c r="R60" s="637"/>
      <c r="S60" s="40">
        <v>0.79305555555555562</v>
      </c>
      <c r="T60" s="40">
        <v>0.82777777777777783</v>
      </c>
      <c r="U60" s="547">
        <f t="shared" si="38"/>
        <v>7.9999999999999716</v>
      </c>
      <c r="V60" s="559">
        <f t="shared" si="37"/>
        <v>49.999999999999986</v>
      </c>
      <c r="W60" s="23">
        <f>T60</f>
        <v>0.82777777777777783</v>
      </c>
      <c r="X60" s="23">
        <f>S61</f>
        <v>0.86875000000000002</v>
      </c>
      <c r="Y60" s="26"/>
      <c r="Z60" s="26"/>
      <c r="AA60" s="627"/>
      <c r="AB60" s="628"/>
      <c r="AC60" s="25"/>
      <c r="AD60" s="25"/>
      <c r="AE60" s="19">
        <f t="shared" si="8"/>
        <v>-79.999999999999545</v>
      </c>
      <c r="AF60" s="550">
        <f t="shared" si="9"/>
        <v>0.96000000000000019</v>
      </c>
      <c r="AG60" s="637"/>
    </row>
    <row r="61" spans="1:33">
      <c r="A61" s="641" t="s">
        <v>3011</v>
      </c>
      <c r="B61" s="42" t="s">
        <v>92</v>
      </c>
      <c r="C61" s="552" t="s">
        <v>138</v>
      </c>
      <c r="D61" s="553"/>
      <c r="E61" s="42">
        <v>55.56</v>
      </c>
      <c r="F61" s="48">
        <v>1679</v>
      </c>
      <c r="G61" s="547">
        <f t="shared" si="35"/>
        <v>93285.24</v>
      </c>
      <c r="H61" s="37" t="s">
        <v>91</v>
      </c>
      <c r="I61" s="558">
        <v>17</v>
      </c>
      <c r="J61" s="39">
        <v>2000</v>
      </c>
      <c r="K61" s="17">
        <f t="shared" si="1"/>
        <v>117.64705882352941</v>
      </c>
      <c r="L61" s="558">
        <v>17</v>
      </c>
      <c r="M61" s="18">
        <f t="shared" si="39"/>
        <v>1937.3076923076933</v>
      </c>
      <c r="N61" s="18">
        <f t="shared" si="3"/>
        <v>113.9592760180996</v>
      </c>
      <c r="O61" s="19">
        <f t="shared" si="4"/>
        <v>0</v>
      </c>
      <c r="P61" s="20">
        <f t="shared" si="5"/>
        <v>-3.687782805429805</v>
      </c>
      <c r="Q61" s="550">
        <f t="shared" si="6"/>
        <v>0.96865384615384664</v>
      </c>
      <c r="R61" s="637"/>
      <c r="S61" s="40">
        <v>0.86875000000000002</v>
      </c>
      <c r="T61" s="40">
        <v>0.90486111111111112</v>
      </c>
      <c r="U61" s="547">
        <f t="shared" si="38"/>
        <v>58.99999999999995</v>
      </c>
      <c r="V61" s="559">
        <f t="shared" si="37"/>
        <v>51.999999999999972</v>
      </c>
      <c r="W61" s="23"/>
      <c r="X61" s="23"/>
      <c r="Y61" s="26"/>
      <c r="Z61" s="26"/>
      <c r="AA61" s="554"/>
      <c r="AB61" s="555"/>
      <c r="AC61" s="25"/>
      <c r="AD61" s="25"/>
      <c r="AE61" s="19">
        <f t="shared" si="8"/>
        <v>-62.692307692306713</v>
      </c>
      <c r="AF61" s="550">
        <f t="shared" si="9"/>
        <v>0.96865384615384664</v>
      </c>
      <c r="AG61" s="637"/>
    </row>
    <row r="62" spans="1:33">
      <c r="A62" s="642" t="s">
        <v>3011</v>
      </c>
      <c r="B62" s="42" t="s">
        <v>3009</v>
      </c>
      <c r="C62" s="638"/>
      <c r="D62" s="638"/>
      <c r="E62" s="551"/>
      <c r="F62" s="44"/>
      <c r="G62" s="17"/>
      <c r="H62" s="560"/>
      <c r="I62" s="29">
        <v>18.555555555555557</v>
      </c>
      <c r="J62" s="39">
        <v>2000</v>
      </c>
      <c r="K62" s="17">
        <f t="shared" si="1"/>
        <v>107.78443113772454</v>
      </c>
      <c r="L62" s="29">
        <v>18.555555555555557</v>
      </c>
      <c r="M62" s="18">
        <f>AVERAGE(M53:M61)</f>
        <v>1922.1569640227838</v>
      </c>
      <c r="N62" s="17">
        <f t="shared" si="3"/>
        <v>103.58929746230571</v>
      </c>
      <c r="O62" s="19">
        <f t="shared" si="4"/>
        <v>0</v>
      </c>
      <c r="P62" s="20">
        <f t="shared" si="5"/>
        <v>-4.1951336754188304</v>
      </c>
      <c r="Q62" s="550">
        <f t="shared" si="6"/>
        <v>0.96107848201139201</v>
      </c>
      <c r="R62" s="637"/>
      <c r="S62" s="40"/>
      <c r="T62" s="40"/>
      <c r="U62" s="547"/>
      <c r="V62" s="559"/>
      <c r="W62" s="17"/>
      <c r="X62" s="17"/>
      <c r="Y62" s="30">
        <f>SUM(Y53:Y61)</f>
        <v>0</v>
      </c>
      <c r="Z62" s="30">
        <f>SUM(Z53:Z61)</f>
        <v>0</v>
      </c>
      <c r="AA62" s="631"/>
      <c r="AB62" s="631"/>
      <c r="AC62" s="30">
        <v>9</v>
      </c>
      <c r="AD62" s="30">
        <f>SUM(AD53:AD61)</f>
        <v>0</v>
      </c>
      <c r="AE62" s="19">
        <f>M62-J62</f>
        <v>-77.843035977216232</v>
      </c>
      <c r="AF62" s="550">
        <f t="shared" si="9"/>
        <v>0.9610784820113919</v>
      </c>
      <c r="AG62" s="637"/>
    </row>
    <row r="63" spans="1:33" ht="15.75" customHeight="1">
      <c r="A63" s="639" t="s">
        <v>3012</v>
      </c>
      <c r="B63" s="560" t="s">
        <v>127</v>
      </c>
      <c r="C63" s="633" t="s">
        <v>141</v>
      </c>
      <c r="D63" s="633"/>
      <c r="E63" s="42">
        <v>35.119999999999997</v>
      </c>
      <c r="F63" s="48">
        <v>6032</v>
      </c>
      <c r="G63" s="547">
        <f t="shared" ref="G63:G67" si="40">E63*F63</f>
        <v>211843.84</v>
      </c>
      <c r="H63" s="37" t="s">
        <v>91</v>
      </c>
      <c r="I63" s="558">
        <v>10</v>
      </c>
      <c r="J63" s="39">
        <v>3000</v>
      </c>
      <c r="K63" s="17">
        <f t="shared" si="1"/>
        <v>300</v>
      </c>
      <c r="L63" s="558">
        <v>10</v>
      </c>
      <c r="M63" s="18">
        <f t="shared" ref="M63:M67" si="41">F63/V63*60</f>
        <v>2872.3809523809527</v>
      </c>
      <c r="N63" s="17">
        <f t="shared" si="3"/>
        <v>287.2380952380953</v>
      </c>
      <c r="O63" s="19">
        <f t="shared" si="4"/>
        <v>0</v>
      </c>
      <c r="P63" s="20">
        <f t="shared" si="5"/>
        <v>-12.761904761904702</v>
      </c>
      <c r="Q63" s="550">
        <f t="shared" si="6"/>
        <v>0.95746031746031768</v>
      </c>
      <c r="R63" s="637">
        <f>Q68</f>
        <v>0.95643578832514986</v>
      </c>
      <c r="S63" s="40">
        <v>0.20833333333333334</v>
      </c>
      <c r="T63" s="40">
        <v>0.29583333333333334</v>
      </c>
      <c r="U63" s="547"/>
      <c r="V63" s="559">
        <f t="shared" ref="V63:V67" si="42">(T63-S63)*24*60</f>
        <v>125.99999999999997</v>
      </c>
      <c r="W63" s="23"/>
      <c r="X63" s="23"/>
      <c r="Y63" s="28"/>
      <c r="Z63" s="28"/>
      <c r="AA63" s="632"/>
      <c r="AB63" s="632"/>
      <c r="AC63" s="25">
        <v>5</v>
      </c>
      <c r="AD63" s="25"/>
      <c r="AE63" s="19">
        <f t="shared" ref="AE63:AE75" si="43">M63-J63</f>
        <v>-127.61904761904725</v>
      </c>
      <c r="AF63" s="550">
        <f t="shared" si="9"/>
        <v>0.95746031746031757</v>
      </c>
      <c r="AG63" s="637">
        <f>AF68</f>
        <v>0.95643578832514986</v>
      </c>
    </row>
    <row r="64" spans="1:33" ht="15.75" customHeight="1">
      <c r="A64" s="639" t="s">
        <v>3012</v>
      </c>
      <c r="B64" s="560" t="s">
        <v>127</v>
      </c>
      <c r="C64" s="633" t="s">
        <v>142</v>
      </c>
      <c r="D64" s="633"/>
      <c r="E64" s="42">
        <v>26.78</v>
      </c>
      <c r="F64" s="48">
        <v>2999</v>
      </c>
      <c r="G64" s="547">
        <f t="shared" si="40"/>
        <v>80313.22</v>
      </c>
      <c r="H64" s="37" t="s">
        <v>91</v>
      </c>
      <c r="I64" s="558">
        <v>10</v>
      </c>
      <c r="J64" s="39">
        <v>3000</v>
      </c>
      <c r="K64" s="17">
        <f t="shared" si="1"/>
        <v>300</v>
      </c>
      <c r="L64" s="558">
        <v>10</v>
      </c>
      <c r="M64" s="18">
        <f t="shared" si="41"/>
        <v>2856.1904761904757</v>
      </c>
      <c r="N64" s="17">
        <f t="shared" si="3"/>
        <v>285.61904761904759</v>
      </c>
      <c r="O64" s="19">
        <f t="shared" si="4"/>
        <v>0</v>
      </c>
      <c r="P64" s="20">
        <f t="shared" si="5"/>
        <v>-14.380952380952408</v>
      </c>
      <c r="Q64" s="550">
        <f t="shared" si="6"/>
        <v>0.95206349206349195</v>
      </c>
      <c r="R64" s="637"/>
      <c r="S64" s="40">
        <v>0.30138888888888887</v>
      </c>
      <c r="T64" s="40">
        <v>0.34513888888888888</v>
      </c>
      <c r="U64" s="547">
        <f t="shared" ref="U64:U67" si="44">(S64-T63)*24*60</f>
        <v>7.9999999999999716</v>
      </c>
      <c r="V64" s="559">
        <f t="shared" si="42"/>
        <v>63.000000000000014</v>
      </c>
      <c r="W64" s="547"/>
      <c r="X64" s="547"/>
      <c r="Y64" s="547"/>
      <c r="Z64" s="547"/>
      <c r="AA64" s="632"/>
      <c r="AB64" s="632"/>
      <c r="AC64" s="25"/>
      <c r="AD64" s="25"/>
      <c r="AE64" s="19">
        <f t="shared" si="43"/>
        <v>-143.80952380952431</v>
      </c>
      <c r="AF64" s="550">
        <f t="shared" si="9"/>
        <v>0.95206349206349195</v>
      </c>
      <c r="AG64" s="637"/>
    </row>
    <row r="65" spans="1:33" ht="15.75" customHeight="1">
      <c r="A65" s="639" t="s">
        <v>3012</v>
      </c>
      <c r="B65" s="560" t="s">
        <v>127</v>
      </c>
      <c r="C65" s="633" t="s">
        <v>143</v>
      </c>
      <c r="D65" s="633"/>
      <c r="E65" s="42">
        <v>36.14</v>
      </c>
      <c r="F65" s="48">
        <v>1242</v>
      </c>
      <c r="G65" s="547">
        <f t="shared" si="40"/>
        <v>44885.88</v>
      </c>
      <c r="H65" s="37" t="s">
        <v>91</v>
      </c>
      <c r="I65" s="558">
        <v>11</v>
      </c>
      <c r="J65" s="39">
        <v>3000</v>
      </c>
      <c r="K65" s="17">
        <f t="shared" si="1"/>
        <v>272.72727272727275</v>
      </c>
      <c r="L65" s="558">
        <v>11</v>
      </c>
      <c r="M65" s="18">
        <f t="shared" si="41"/>
        <v>2866.1538461538476</v>
      </c>
      <c r="N65" s="17">
        <f t="shared" si="3"/>
        <v>260.5594405594407</v>
      </c>
      <c r="O65" s="19">
        <f t="shared" si="4"/>
        <v>0</v>
      </c>
      <c r="P65" s="20">
        <f t="shared" si="5"/>
        <v>-12.167832167832046</v>
      </c>
      <c r="Q65" s="550">
        <f t="shared" si="6"/>
        <v>0.95538461538461583</v>
      </c>
      <c r="R65" s="637"/>
      <c r="S65" s="40">
        <v>0.34930555555555554</v>
      </c>
      <c r="T65" s="40">
        <v>0.36736111111111108</v>
      </c>
      <c r="U65" s="547">
        <f t="shared" si="44"/>
        <v>5.9999999999999787</v>
      </c>
      <c r="V65" s="559">
        <f t="shared" si="42"/>
        <v>25.999999999999986</v>
      </c>
      <c r="W65" s="547"/>
      <c r="X65" s="547"/>
      <c r="Y65" s="547"/>
      <c r="Z65" s="547"/>
      <c r="AA65" s="632"/>
      <c r="AB65" s="632"/>
      <c r="AC65" s="25"/>
      <c r="AD65" s="25"/>
      <c r="AE65" s="19">
        <f t="shared" si="43"/>
        <v>-133.84615384615245</v>
      </c>
      <c r="AF65" s="550">
        <f t="shared" si="9"/>
        <v>0.95538461538461583</v>
      </c>
      <c r="AG65" s="637"/>
    </row>
    <row r="66" spans="1:33" ht="15.75" customHeight="1">
      <c r="A66" s="639" t="s">
        <v>3013</v>
      </c>
      <c r="B66" s="560" t="s">
        <v>127</v>
      </c>
      <c r="C66" s="633" t="s">
        <v>130</v>
      </c>
      <c r="D66" s="633"/>
      <c r="E66" s="42">
        <v>35.869999999999997</v>
      </c>
      <c r="F66" s="48">
        <v>1689</v>
      </c>
      <c r="G66" s="547">
        <f t="shared" si="40"/>
        <v>60584.429999999993</v>
      </c>
      <c r="H66" s="37" t="s">
        <v>91</v>
      </c>
      <c r="I66" s="558">
        <v>9</v>
      </c>
      <c r="J66" s="39">
        <v>3000</v>
      </c>
      <c r="K66" s="17">
        <f t="shared" si="1"/>
        <v>333.33333333333331</v>
      </c>
      <c r="L66" s="558">
        <v>9</v>
      </c>
      <c r="M66" s="18">
        <f t="shared" si="41"/>
        <v>2895.4285714285688</v>
      </c>
      <c r="N66" s="17">
        <f t="shared" si="3"/>
        <v>321.71428571428544</v>
      </c>
      <c r="O66" s="19">
        <f t="shared" si="4"/>
        <v>0</v>
      </c>
      <c r="P66" s="20">
        <f t="shared" si="5"/>
        <v>-11.619047619047876</v>
      </c>
      <c r="Q66" s="550">
        <f t="shared" si="6"/>
        <v>0.96514285714285641</v>
      </c>
      <c r="R66" s="637"/>
      <c r="S66" s="40">
        <v>0.37291666666666662</v>
      </c>
      <c r="T66" s="40">
        <v>0.3972222222222222</v>
      </c>
      <c r="U66" s="547">
        <f t="shared" si="44"/>
        <v>7.9999999999999716</v>
      </c>
      <c r="V66" s="559">
        <f t="shared" si="42"/>
        <v>35.000000000000036</v>
      </c>
      <c r="W66" s="547"/>
      <c r="X66" s="547"/>
      <c r="Y66" s="547"/>
      <c r="Z66" s="547"/>
      <c r="AA66" s="632"/>
      <c r="AB66" s="632"/>
      <c r="AC66" s="25"/>
      <c r="AD66" s="25"/>
      <c r="AE66" s="19">
        <f t="shared" si="43"/>
        <v>-104.57142857143117</v>
      </c>
      <c r="AF66" s="550">
        <f t="shared" si="9"/>
        <v>0.9651428571428563</v>
      </c>
      <c r="AG66" s="637"/>
    </row>
    <row r="67" spans="1:33">
      <c r="A67" s="640" t="s">
        <v>3012</v>
      </c>
      <c r="B67" s="560" t="s">
        <v>127</v>
      </c>
      <c r="C67" s="633" t="s">
        <v>1857</v>
      </c>
      <c r="D67" s="633"/>
      <c r="E67" s="42">
        <v>33.770000000000003</v>
      </c>
      <c r="F67" s="48">
        <v>4475</v>
      </c>
      <c r="G67" s="547">
        <f t="shared" si="40"/>
        <v>151120.75</v>
      </c>
      <c r="H67" s="37" t="s">
        <v>91</v>
      </c>
      <c r="I67" s="558">
        <v>12</v>
      </c>
      <c r="J67" s="39">
        <v>3000</v>
      </c>
      <c r="K67" s="17">
        <f t="shared" si="1"/>
        <v>250</v>
      </c>
      <c r="L67" s="558">
        <v>12</v>
      </c>
      <c r="M67" s="18">
        <f t="shared" si="41"/>
        <v>2856.3829787234044</v>
      </c>
      <c r="N67" s="17">
        <f t="shared" si="3"/>
        <v>238.03191489361703</v>
      </c>
      <c r="O67" s="19">
        <f t="shared" si="4"/>
        <v>0</v>
      </c>
      <c r="P67" s="20">
        <f t="shared" si="5"/>
        <v>-11.968085106382972</v>
      </c>
      <c r="Q67" s="550">
        <f t="shared" si="6"/>
        <v>0.9521276595744681</v>
      </c>
      <c r="R67" s="637"/>
      <c r="S67" s="40">
        <v>0.40277777777777773</v>
      </c>
      <c r="T67" s="40">
        <v>0.4680555555555555</v>
      </c>
      <c r="U67" s="547">
        <f t="shared" si="44"/>
        <v>7.9999999999999716</v>
      </c>
      <c r="V67" s="559">
        <f t="shared" si="42"/>
        <v>93.999999999999986</v>
      </c>
      <c r="W67" s="23"/>
      <c r="X67" s="23"/>
      <c r="Y67" s="23"/>
      <c r="Z67" s="23"/>
      <c r="AA67" s="632"/>
      <c r="AB67" s="632"/>
      <c r="AC67" s="25"/>
      <c r="AD67" s="25"/>
      <c r="AE67" s="19">
        <f t="shared" si="43"/>
        <v>-143.61702127659555</v>
      </c>
      <c r="AF67" s="550">
        <f t="shared" si="9"/>
        <v>0.9521276595744681</v>
      </c>
      <c r="AG67" s="637"/>
    </row>
    <row r="68" spans="1:33">
      <c r="A68" s="640" t="s">
        <v>3012</v>
      </c>
      <c r="B68" s="42" t="s">
        <v>3009</v>
      </c>
      <c r="C68" s="638"/>
      <c r="D68" s="638"/>
      <c r="E68" s="551"/>
      <c r="F68" s="44"/>
      <c r="G68" s="17"/>
      <c r="H68" s="560"/>
      <c r="I68" s="29">
        <v>10.4</v>
      </c>
      <c r="J68" s="39">
        <v>3000</v>
      </c>
      <c r="K68" s="17">
        <f t="shared" si="1"/>
        <v>288.46153846153845</v>
      </c>
      <c r="L68" s="29">
        <v>10.4</v>
      </c>
      <c r="M68" s="18">
        <f>AVERAGE(M63:M67)</f>
        <v>2869.3073649754497</v>
      </c>
      <c r="N68" s="17">
        <f t="shared" si="3"/>
        <v>275.89493893994705</v>
      </c>
      <c r="O68" s="19">
        <f t="shared" si="4"/>
        <v>0</v>
      </c>
      <c r="P68" s="20">
        <f t="shared" si="5"/>
        <v>-12.566599521591399</v>
      </c>
      <c r="Q68" s="550">
        <f t="shared" si="6"/>
        <v>0.95643578832514986</v>
      </c>
      <c r="R68" s="637"/>
      <c r="S68" s="40"/>
      <c r="T68" s="40"/>
      <c r="U68" s="17"/>
      <c r="V68" s="559"/>
      <c r="W68" s="17"/>
      <c r="X68" s="17"/>
      <c r="Y68" s="30">
        <f>SUM(Y63:Y67)</f>
        <v>0</v>
      </c>
      <c r="Z68" s="30">
        <f>SUM(Z63:Z67)</f>
        <v>0</v>
      </c>
      <c r="AA68" s="631"/>
      <c r="AB68" s="631"/>
      <c r="AC68" s="30">
        <v>5</v>
      </c>
      <c r="AD68" s="30">
        <f>SUM(AD63:AD67)</f>
        <v>0</v>
      </c>
      <c r="AE68" s="19">
        <f t="shared" si="43"/>
        <v>-130.69263502455033</v>
      </c>
      <c r="AF68" s="550">
        <f t="shared" si="9"/>
        <v>0.95643578832514986</v>
      </c>
      <c r="AG68" s="637"/>
    </row>
    <row r="69" spans="1:33" ht="15.75" customHeight="1">
      <c r="A69" s="634" t="s">
        <v>3014</v>
      </c>
      <c r="B69" s="560" t="s">
        <v>116</v>
      </c>
      <c r="C69" s="633" t="s">
        <v>145</v>
      </c>
      <c r="D69" s="633"/>
      <c r="E69" s="42">
        <v>19.02</v>
      </c>
      <c r="F69" s="560">
        <v>5900</v>
      </c>
      <c r="G69" s="547">
        <f t="shared" ref="G69:G74" si="45">E69*F69</f>
        <v>112218</v>
      </c>
      <c r="H69" s="37">
        <v>2</v>
      </c>
      <c r="I69" s="558">
        <v>14</v>
      </c>
      <c r="J69" s="39">
        <v>2400</v>
      </c>
      <c r="K69" s="17">
        <f t="shared" ref="K69:K80" si="46">J69/I69</f>
        <v>171.42857142857142</v>
      </c>
      <c r="L69" s="558">
        <v>14</v>
      </c>
      <c r="M69" s="18">
        <f t="shared" ref="M69:M74" si="47">F69/V69*60</f>
        <v>2283.8709677419356</v>
      </c>
      <c r="N69" s="17">
        <f t="shared" ref="N69:N80" si="48">M69/L69</f>
        <v>163.13364055299539</v>
      </c>
      <c r="O69" s="19">
        <f t="shared" ref="O69:O80" si="49">L69-I69</f>
        <v>0</v>
      </c>
      <c r="P69" s="20">
        <f t="shared" ref="P69:P80" si="50">N69-K69</f>
        <v>-8.2949308755760285</v>
      </c>
      <c r="Q69" s="550">
        <f t="shared" ref="Q69:Q80" si="51">N69/K69</f>
        <v>0.95161290322580649</v>
      </c>
      <c r="R69" s="637">
        <f>Q75</f>
        <v>0.95750962276113494</v>
      </c>
      <c r="S69" s="40">
        <v>8.3333333333333329E-2</v>
      </c>
      <c r="T69" s="40">
        <v>0.19097222222222221</v>
      </c>
      <c r="U69" s="28"/>
      <c r="V69" s="559">
        <f t="shared" ref="V69:V74" si="52">(T69-S69)*24*60</f>
        <v>154.99999999999997</v>
      </c>
      <c r="W69" s="23">
        <f>T69</f>
        <v>0.19097222222222221</v>
      </c>
      <c r="X69" s="23">
        <f>S70</f>
        <v>0.21041666666666667</v>
      </c>
      <c r="Y69" s="23"/>
      <c r="Z69" s="23"/>
      <c r="AA69" s="632"/>
      <c r="AB69" s="632"/>
      <c r="AC69" s="25">
        <v>6</v>
      </c>
      <c r="AD69" s="25"/>
      <c r="AE69" s="19">
        <f t="shared" si="43"/>
        <v>-116.1290322580644</v>
      </c>
      <c r="AF69" s="550">
        <f t="shared" ref="AF69:AF80" si="53">M69/J69</f>
        <v>0.95161290322580649</v>
      </c>
      <c r="AG69" s="637">
        <f>AF75</f>
        <v>0.95750962276113494</v>
      </c>
    </row>
    <row r="70" spans="1:33" ht="15.75" customHeight="1">
      <c r="A70" s="635" t="s">
        <v>3014</v>
      </c>
      <c r="B70" s="560" t="s">
        <v>116</v>
      </c>
      <c r="C70" s="633" t="s">
        <v>146</v>
      </c>
      <c r="D70" s="633"/>
      <c r="E70" s="42">
        <v>20.36</v>
      </c>
      <c r="F70" s="560">
        <v>4387</v>
      </c>
      <c r="G70" s="547">
        <f t="shared" si="45"/>
        <v>89319.319999999992</v>
      </c>
      <c r="H70" s="37" t="s">
        <v>91</v>
      </c>
      <c r="I70" s="558">
        <v>17</v>
      </c>
      <c r="J70" s="39">
        <v>2400</v>
      </c>
      <c r="K70" s="17">
        <f t="shared" si="46"/>
        <v>141.1764705882353</v>
      </c>
      <c r="L70" s="558">
        <v>17</v>
      </c>
      <c r="M70" s="18">
        <f t="shared" si="47"/>
        <v>2288.869565217391</v>
      </c>
      <c r="N70" s="17">
        <f t="shared" si="48"/>
        <v>134.63938618925829</v>
      </c>
      <c r="O70" s="19">
        <f t="shared" si="49"/>
        <v>0</v>
      </c>
      <c r="P70" s="20">
        <f t="shared" si="50"/>
        <v>-6.5370843989770151</v>
      </c>
      <c r="Q70" s="550">
        <f t="shared" si="51"/>
        <v>0.95369565217391283</v>
      </c>
      <c r="R70" s="637"/>
      <c r="S70" s="40">
        <v>0.21041666666666667</v>
      </c>
      <c r="T70" s="40">
        <v>0.2902777777777778</v>
      </c>
      <c r="U70" s="547">
        <f t="shared" ref="U70:U74" si="54">(S70-T69)*24*60</f>
        <v>28.000000000000021</v>
      </c>
      <c r="V70" s="559">
        <f t="shared" si="52"/>
        <v>115.00000000000003</v>
      </c>
      <c r="W70" s="23"/>
      <c r="X70" s="23"/>
      <c r="Y70" s="23"/>
      <c r="Z70" s="23"/>
      <c r="AA70" s="632"/>
      <c r="AB70" s="632"/>
      <c r="AC70" s="25"/>
      <c r="AD70" s="25"/>
      <c r="AE70" s="19">
        <f t="shared" si="43"/>
        <v>-111.13043478260897</v>
      </c>
      <c r="AF70" s="550">
        <f t="shared" si="53"/>
        <v>0.95369565217391294</v>
      </c>
      <c r="AG70" s="637"/>
    </row>
    <row r="71" spans="1:33" ht="15.75" customHeight="1">
      <c r="A71" s="635" t="s">
        <v>3014</v>
      </c>
      <c r="B71" s="560" t="s">
        <v>116</v>
      </c>
      <c r="C71" s="633" t="s">
        <v>148</v>
      </c>
      <c r="D71" s="633"/>
      <c r="E71" s="42">
        <v>28.29</v>
      </c>
      <c r="F71" s="560">
        <v>3496</v>
      </c>
      <c r="G71" s="547">
        <f t="shared" si="45"/>
        <v>98901.84</v>
      </c>
      <c r="H71" s="37" t="s">
        <v>91</v>
      </c>
      <c r="I71" s="558">
        <v>19</v>
      </c>
      <c r="J71" s="39">
        <v>2400</v>
      </c>
      <c r="K71" s="17">
        <f t="shared" si="46"/>
        <v>126.31578947368421</v>
      </c>
      <c r="L71" s="558">
        <v>19</v>
      </c>
      <c r="M71" s="18">
        <f t="shared" si="47"/>
        <v>2305.0549450549452</v>
      </c>
      <c r="N71" s="17">
        <f t="shared" si="48"/>
        <v>121.31868131868133</v>
      </c>
      <c r="O71" s="19">
        <f t="shared" si="49"/>
        <v>0</v>
      </c>
      <c r="P71" s="20">
        <f t="shared" si="50"/>
        <v>-4.9971081550028771</v>
      </c>
      <c r="Q71" s="550">
        <f t="shared" si="51"/>
        <v>0.96043956043956058</v>
      </c>
      <c r="R71" s="637"/>
      <c r="S71" s="40">
        <v>0.29583333333333334</v>
      </c>
      <c r="T71" s="40">
        <v>0.35902777777777778</v>
      </c>
      <c r="U71" s="547">
        <f t="shared" si="54"/>
        <v>7.9999999999999716</v>
      </c>
      <c r="V71" s="559">
        <f t="shared" si="52"/>
        <v>91</v>
      </c>
      <c r="W71" s="23"/>
      <c r="X71" s="23"/>
      <c r="Y71" s="23"/>
      <c r="Z71" s="23"/>
      <c r="AA71" s="632"/>
      <c r="AB71" s="632"/>
      <c r="AC71" s="25"/>
      <c r="AD71" s="25"/>
      <c r="AE71" s="19">
        <f t="shared" si="43"/>
        <v>-94.945054945054835</v>
      </c>
      <c r="AF71" s="550">
        <f t="shared" si="53"/>
        <v>0.96043956043956047</v>
      </c>
      <c r="AG71" s="637"/>
    </row>
    <row r="72" spans="1:33" ht="15.75" customHeight="1">
      <c r="A72" s="635" t="s">
        <v>3014</v>
      </c>
      <c r="B72" s="560" t="s">
        <v>116</v>
      </c>
      <c r="C72" s="633" t="s">
        <v>1859</v>
      </c>
      <c r="D72" s="633"/>
      <c r="E72" s="42">
        <v>25.98</v>
      </c>
      <c r="F72" s="560">
        <v>5614</v>
      </c>
      <c r="G72" s="547">
        <f t="shared" si="45"/>
        <v>145851.72</v>
      </c>
      <c r="H72" s="37" t="s">
        <v>91</v>
      </c>
      <c r="I72" s="558">
        <v>19</v>
      </c>
      <c r="J72" s="39">
        <v>2400</v>
      </c>
      <c r="K72" s="17">
        <f t="shared" si="46"/>
        <v>126.31578947368421</v>
      </c>
      <c r="L72" s="558">
        <v>19</v>
      </c>
      <c r="M72" s="18">
        <f t="shared" si="47"/>
        <v>2291.4285714285711</v>
      </c>
      <c r="N72" s="17">
        <f t="shared" si="48"/>
        <v>120.60150375939848</v>
      </c>
      <c r="O72" s="19">
        <f t="shared" si="49"/>
        <v>0</v>
      </c>
      <c r="P72" s="20">
        <f t="shared" si="50"/>
        <v>-5.7142857142857224</v>
      </c>
      <c r="Q72" s="550">
        <f t="shared" si="51"/>
        <v>0.9547619047619047</v>
      </c>
      <c r="R72" s="637"/>
      <c r="S72" s="40">
        <v>0.36249999999999999</v>
      </c>
      <c r="T72" s="40">
        <v>0.46458333333333335</v>
      </c>
      <c r="U72" s="547">
        <f t="shared" si="54"/>
        <v>4.9999999999999822</v>
      </c>
      <c r="V72" s="559">
        <f t="shared" si="52"/>
        <v>147.00000000000003</v>
      </c>
      <c r="W72" s="23"/>
      <c r="X72" s="23"/>
      <c r="Y72" s="23"/>
      <c r="Z72" s="23"/>
      <c r="AA72" s="632"/>
      <c r="AB72" s="632"/>
      <c r="AC72" s="25"/>
      <c r="AD72" s="25"/>
      <c r="AE72" s="19">
        <f t="shared" si="43"/>
        <v>-108.5714285714289</v>
      </c>
      <c r="AF72" s="550">
        <f t="shared" si="53"/>
        <v>0.95476190476190459</v>
      </c>
      <c r="AG72" s="637"/>
    </row>
    <row r="73" spans="1:33" ht="15.75" customHeight="1">
      <c r="A73" s="635" t="s">
        <v>3014</v>
      </c>
      <c r="B73" s="560" t="s">
        <v>116</v>
      </c>
      <c r="C73" s="633" t="s">
        <v>120</v>
      </c>
      <c r="D73" s="633"/>
      <c r="E73" s="42">
        <v>25.99</v>
      </c>
      <c r="F73" s="560">
        <v>1280</v>
      </c>
      <c r="G73" s="547">
        <f t="shared" si="45"/>
        <v>33267.199999999997</v>
      </c>
      <c r="H73" s="37" t="s">
        <v>91</v>
      </c>
      <c r="I73" s="558">
        <v>18</v>
      </c>
      <c r="J73" s="39">
        <v>2400</v>
      </c>
      <c r="K73" s="17">
        <f t="shared" si="46"/>
        <v>133.33333333333334</v>
      </c>
      <c r="L73" s="558">
        <v>18</v>
      </c>
      <c r="M73" s="18">
        <f t="shared" si="47"/>
        <v>2327.2727272727243</v>
      </c>
      <c r="N73" s="17">
        <f t="shared" si="48"/>
        <v>129.29292929292913</v>
      </c>
      <c r="O73" s="19">
        <f t="shared" si="49"/>
        <v>0</v>
      </c>
      <c r="P73" s="20">
        <f t="shared" si="50"/>
        <v>-4.0404040404042121</v>
      </c>
      <c r="Q73" s="550">
        <f t="shared" si="51"/>
        <v>0.96969696969696839</v>
      </c>
      <c r="R73" s="637"/>
      <c r="S73" s="40">
        <v>0.46805555555555556</v>
      </c>
      <c r="T73" s="40">
        <v>0.49097222222222225</v>
      </c>
      <c r="U73" s="547">
        <f t="shared" si="54"/>
        <v>4.9999999999999822</v>
      </c>
      <c r="V73" s="559">
        <f t="shared" si="52"/>
        <v>33.000000000000043</v>
      </c>
      <c r="W73" s="23">
        <f>T73</f>
        <v>0.49097222222222225</v>
      </c>
      <c r="X73" s="23">
        <f>S74</f>
        <v>0.52916666666666667</v>
      </c>
      <c r="Y73" s="23"/>
      <c r="Z73" s="23"/>
      <c r="AA73" s="632"/>
      <c r="AB73" s="632"/>
      <c r="AC73" s="25"/>
      <c r="AD73" s="25"/>
      <c r="AE73" s="19">
        <f t="shared" si="43"/>
        <v>-72.727272727275704</v>
      </c>
      <c r="AF73" s="550">
        <f t="shared" si="53"/>
        <v>0.9696969696969685</v>
      </c>
      <c r="AG73" s="637"/>
    </row>
    <row r="74" spans="1:33" ht="15.75" customHeight="1">
      <c r="A74" s="635" t="s">
        <v>3014</v>
      </c>
      <c r="B74" s="560" t="s">
        <v>116</v>
      </c>
      <c r="C74" s="633" t="s">
        <v>145</v>
      </c>
      <c r="D74" s="633"/>
      <c r="E74" s="42">
        <v>19.02</v>
      </c>
      <c r="F74" s="560">
        <v>5118</v>
      </c>
      <c r="G74" s="547">
        <f t="shared" si="45"/>
        <v>97344.36</v>
      </c>
      <c r="H74" s="37" t="s">
        <v>91</v>
      </c>
      <c r="I74" s="558">
        <v>14</v>
      </c>
      <c r="J74" s="39">
        <v>2400</v>
      </c>
      <c r="K74" s="17">
        <f t="shared" si="46"/>
        <v>171.42857142857142</v>
      </c>
      <c r="L74" s="558">
        <v>14</v>
      </c>
      <c r="M74" s="18">
        <f t="shared" si="47"/>
        <v>2291.6417910447763</v>
      </c>
      <c r="N74" s="17">
        <f t="shared" si="48"/>
        <v>163.68869936034116</v>
      </c>
      <c r="O74" s="19">
        <f t="shared" si="49"/>
        <v>0</v>
      </c>
      <c r="P74" s="20">
        <f t="shared" si="50"/>
        <v>-7.7398720682302553</v>
      </c>
      <c r="Q74" s="550">
        <f t="shared" si="51"/>
        <v>0.95485074626865685</v>
      </c>
      <c r="R74" s="637"/>
      <c r="S74" s="40">
        <v>0.52916666666666667</v>
      </c>
      <c r="T74" s="40">
        <v>0.62222222222222223</v>
      </c>
      <c r="U74" s="547">
        <f t="shared" si="54"/>
        <v>54.999999999999964</v>
      </c>
      <c r="V74" s="559">
        <f t="shared" si="52"/>
        <v>134</v>
      </c>
      <c r="W74" s="23"/>
      <c r="X74" s="23"/>
      <c r="Y74" s="23"/>
      <c r="Z74" s="23"/>
      <c r="AA74" s="632"/>
      <c r="AB74" s="632"/>
      <c r="AC74" s="25"/>
      <c r="AD74" s="25"/>
      <c r="AE74" s="19">
        <f t="shared" si="43"/>
        <v>-108.35820895522374</v>
      </c>
      <c r="AF74" s="550">
        <f t="shared" si="53"/>
        <v>0.95485074626865674</v>
      </c>
      <c r="AG74" s="637"/>
    </row>
    <row r="75" spans="1:33" ht="16.5" customHeight="1">
      <c r="A75" s="636" t="s">
        <v>3014</v>
      </c>
      <c r="B75" s="42" t="s">
        <v>3009</v>
      </c>
      <c r="C75" s="629"/>
      <c r="D75" s="630"/>
      <c r="E75" s="551"/>
      <c r="F75" s="44"/>
      <c r="G75" s="17"/>
      <c r="H75" s="560"/>
      <c r="I75" s="29">
        <v>16.833333333333332</v>
      </c>
      <c r="J75" s="39">
        <v>2400</v>
      </c>
      <c r="K75" s="17">
        <f t="shared" si="46"/>
        <v>142.57425742574259</v>
      </c>
      <c r="L75" s="29">
        <v>16.833333333333332</v>
      </c>
      <c r="M75" s="18">
        <f>AVERAGE(M69:M74)</f>
        <v>2298.0230946267238</v>
      </c>
      <c r="N75" s="17">
        <f t="shared" si="48"/>
        <v>136.51622344317173</v>
      </c>
      <c r="O75" s="19">
        <f t="shared" si="49"/>
        <v>0</v>
      </c>
      <c r="P75" s="20">
        <f t="shared" si="50"/>
        <v>-6.058033982570862</v>
      </c>
      <c r="Q75" s="550">
        <f t="shared" si="51"/>
        <v>0.95750962276113494</v>
      </c>
      <c r="R75" s="637"/>
      <c r="S75" s="40"/>
      <c r="T75" s="40"/>
      <c r="U75" s="17"/>
      <c r="V75" s="559"/>
      <c r="W75" s="17"/>
      <c r="X75" s="17"/>
      <c r="Y75" s="30">
        <f>SUM(Y69:Y74)</f>
        <v>0</v>
      </c>
      <c r="Z75" s="30">
        <f>SUM(Z69:Z74)</f>
        <v>0</v>
      </c>
      <c r="AA75" s="631"/>
      <c r="AB75" s="631"/>
      <c r="AC75" s="30">
        <v>6</v>
      </c>
      <c r="AD75" s="30">
        <f>SUM(AD69:AD74)</f>
        <v>0</v>
      </c>
      <c r="AE75" s="19">
        <f t="shared" si="43"/>
        <v>-101.97690537327617</v>
      </c>
      <c r="AF75" s="550">
        <f t="shared" si="53"/>
        <v>0.95750962276113494</v>
      </c>
      <c r="AG75" s="637"/>
    </row>
    <row r="76" spans="1:33">
      <c r="D76" s="33"/>
      <c r="E76" s="33"/>
    </row>
  </sheetData>
  <mergeCells count="193">
    <mergeCell ref="AA72:AB72"/>
    <mergeCell ref="C73:D73"/>
    <mergeCell ref="AA73:AB73"/>
    <mergeCell ref="C74:D74"/>
    <mergeCell ref="AA74:AB74"/>
    <mergeCell ref="C75:D75"/>
    <mergeCell ref="AA75:AB75"/>
    <mergeCell ref="A69:A75"/>
    <mergeCell ref="C69:D69"/>
    <mergeCell ref="R69:R75"/>
    <mergeCell ref="AA69:AB69"/>
    <mergeCell ref="AG69:AG75"/>
    <mergeCell ref="C70:D70"/>
    <mergeCell ref="AA70:AB70"/>
    <mergeCell ref="C71:D71"/>
    <mergeCell ref="AA71:AB71"/>
    <mergeCell ref="C72:D72"/>
    <mergeCell ref="AG63:AG68"/>
    <mergeCell ref="C64:D64"/>
    <mergeCell ref="AA64:AB64"/>
    <mergeCell ref="C65:D65"/>
    <mergeCell ref="AA65:AB65"/>
    <mergeCell ref="C66:D66"/>
    <mergeCell ref="AA66:AB66"/>
    <mergeCell ref="C67:D67"/>
    <mergeCell ref="AA67:AB67"/>
    <mergeCell ref="C68:D68"/>
    <mergeCell ref="C62:D62"/>
    <mergeCell ref="AA62:AB62"/>
    <mergeCell ref="A63:A68"/>
    <mergeCell ref="C63:D63"/>
    <mergeCell ref="R63:R68"/>
    <mergeCell ref="AA63:AB63"/>
    <mergeCell ref="AA68:AB68"/>
    <mergeCell ref="AA57:AB57"/>
    <mergeCell ref="C58:D58"/>
    <mergeCell ref="AA58:AB58"/>
    <mergeCell ref="C59:D59"/>
    <mergeCell ref="AA59:AB59"/>
    <mergeCell ref="C60:D60"/>
    <mergeCell ref="AA60:AB60"/>
    <mergeCell ref="A53:A62"/>
    <mergeCell ref="C53:D53"/>
    <mergeCell ref="R53:R62"/>
    <mergeCell ref="AA53:AB53"/>
    <mergeCell ref="AG53:AG62"/>
    <mergeCell ref="C54:D54"/>
    <mergeCell ref="AA54:AB54"/>
    <mergeCell ref="C55:D55"/>
    <mergeCell ref="AA55:AB55"/>
    <mergeCell ref="AA56:AB56"/>
    <mergeCell ref="AG49:AG52"/>
    <mergeCell ref="C50:D50"/>
    <mergeCell ref="AA50:AB50"/>
    <mergeCell ref="C51:D51"/>
    <mergeCell ref="AA51:AB51"/>
    <mergeCell ref="C52:D52"/>
    <mergeCell ref="AA52:AB52"/>
    <mergeCell ref="C47:D47"/>
    <mergeCell ref="AA47:AB47"/>
    <mergeCell ref="C48:D48"/>
    <mergeCell ref="AA48:AB48"/>
    <mergeCell ref="A49:A52"/>
    <mergeCell ref="C49:D49"/>
    <mergeCell ref="R49:R52"/>
    <mergeCell ref="AA49:AB49"/>
    <mergeCell ref="AA43:AB43"/>
    <mergeCell ref="C44:D44"/>
    <mergeCell ref="AA44:AB44"/>
    <mergeCell ref="C45:D45"/>
    <mergeCell ref="AA45:AB45"/>
    <mergeCell ref="C46:D46"/>
    <mergeCell ref="AA46:AB46"/>
    <mergeCell ref="A40:A48"/>
    <mergeCell ref="C40:D40"/>
    <mergeCell ref="R40:R48"/>
    <mergeCell ref="AA40:AB40"/>
    <mergeCell ref="AG40:AG48"/>
    <mergeCell ref="C41:D41"/>
    <mergeCell ref="AA41:AB41"/>
    <mergeCell ref="C42:D42"/>
    <mergeCell ref="AA42:AB42"/>
    <mergeCell ref="C43:D43"/>
    <mergeCell ref="AG33:AG39"/>
    <mergeCell ref="C34:D34"/>
    <mergeCell ref="AA34:AB34"/>
    <mergeCell ref="C35:D35"/>
    <mergeCell ref="AA35:AB35"/>
    <mergeCell ref="C36:D36"/>
    <mergeCell ref="AA36:AB36"/>
    <mergeCell ref="C37:D37"/>
    <mergeCell ref="AA37:AB37"/>
    <mergeCell ref="C38:D38"/>
    <mergeCell ref="C32:D32"/>
    <mergeCell ref="AA32:AB32"/>
    <mergeCell ref="A33:A39"/>
    <mergeCell ref="C33:D33"/>
    <mergeCell ref="R33:R39"/>
    <mergeCell ref="AA33:AB33"/>
    <mergeCell ref="AA38:AB38"/>
    <mergeCell ref="C39:D39"/>
    <mergeCell ref="AA39:AB39"/>
    <mergeCell ref="AA27:AB27"/>
    <mergeCell ref="C28:D28"/>
    <mergeCell ref="AA28:AB28"/>
    <mergeCell ref="C29:D29"/>
    <mergeCell ref="AA29:AB29"/>
    <mergeCell ref="C30:D30"/>
    <mergeCell ref="AA30:AB30"/>
    <mergeCell ref="A24:A32"/>
    <mergeCell ref="C24:D24"/>
    <mergeCell ref="R24:R32"/>
    <mergeCell ref="AA24:AB24"/>
    <mergeCell ref="AG24:AG32"/>
    <mergeCell ref="C25:D25"/>
    <mergeCell ref="AA25:AB25"/>
    <mergeCell ref="C26:D26"/>
    <mergeCell ref="AA26:AB26"/>
    <mergeCell ref="C27:D27"/>
    <mergeCell ref="AG15:AG23"/>
    <mergeCell ref="C16:D16"/>
    <mergeCell ref="AA16:AB16"/>
    <mergeCell ref="C17:D17"/>
    <mergeCell ref="AA17:AB17"/>
    <mergeCell ref="C18:D18"/>
    <mergeCell ref="AA18:AB18"/>
    <mergeCell ref="C19:D19"/>
    <mergeCell ref="AA19:AB19"/>
    <mergeCell ref="C23:D23"/>
    <mergeCell ref="AA13:AB13"/>
    <mergeCell ref="C14:D14"/>
    <mergeCell ref="AA14:AB14"/>
    <mergeCell ref="A15:A23"/>
    <mergeCell ref="C15:D15"/>
    <mergeCell ref="R15:R23"/>
    <mergeCell ref="AA15:AB15"/>
    <mergeCell ref="AA23:AB23"/>
    <mergeCell ref="A10:A14"/>
    <mergeCell ref="C10:D10"/>
    <mergeCell ref="R10:R14"/>
    <mergeCell ref="AA10:AB10"/>
    <mergeCell ref="AG10:AG14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S1:X2"/>
    <mergeCell ref="AA1:AB2"/>
    <mergeCell ref="AE1:AG2"/>
  </mergeCells>
  <phoneticPr fontId="3" type="noConversion"/>
  <conditionalFormatting sqref="O62:O63 O66:O75 O5:O10 O14:O16 O23:O58">
    <cfRule type="cellIs" dxfId="71" priority="64" operator="greaterThan">
      <formula>0</formula>
    </cfRule>
  </conditionalFormatting>
  <conditionalFormatting sqref="P5:P8 P66:P67 AE66:AE67 P69:P74 P33:P38 P63 P10 P14:P16 P24:P31 P53:P58 P40:P51 AE5:AE63 AE69:AE75">
    <cfRule type="cellIs" dxfId="70" priority="68" operator="lessThan">
      <formula>0</formula>
    </cfRule>
  </conditionalFormatting>
  <conditionalFormatting sqref="AF66:AF67 Q62:Q63 Q66:Q75 Q5:Q10 Q14:Q16 Q23:Q58 AF5:AF63 AF69:AF75">
    <cfRule type="cellIs" dxfId="69" priority="65" operator="greaterThan">
      <formula>1</formula>
    </cfRule>
    <cfRule type="cellIs" dxfId="68" priority="66" operator="lessThan">
      <formula>0.8</formula>
    </cfRule>
  </conditionalFormatting>
  <conditionalFormatting sqref="AG15:AG16 R15:R16 AG66 R23:R29 AG23:AG29 AG62:AG63 R62:R63 R66:R75 AG5:AG10 R5:R10 AG32:AG58 R32:R58">
    <cfRule type="cellIs" dxfId="67" priority="70" operator="lessThan">
      <formula>0.8</formula>
    </cfRule>
  </conditionalFormatting>
  <conditionalFormatting sqref="AG49">
    <cfRule type="cellIs" dxfId="66" priority="72" operator="lessThan">
      <formula>0.8</formula>
    </cfRule>
  </conditionalFormatting>
  <conditionalFormatting sqref="AG24:AG29">
    <cfRule type="cellIs" dxfId="65" priority="69" operator="lessThan">
      <formula>0.8</formula>
    </cfRule>
  </conditionalFormatting>
  <conditionalFormatting sqref="AG33">
    <cfRule type="cellIs" dxfId="64" priority="71" operator="lessThan">
      <formula>0.8</formula>
    </cfRule>
  </conditionalFormatting>
  <conditionalFormatting sqref="AG40:AG47">
    <cfRule type="cellIs" dxfId="63" priority="67" operator="lessThan">
      <formula>0.8</formula>
    </cfRule>
  </conditionalFormatting>
  <conditionalFormatting sqref="AE68">
    <cfRule type="cellIs" dxfId="62" priority="63" operator="lessThan">
      <formula>0</formula>
    </cfRule>
  </conditionalFormatting>
  <conditionalFormatting sqref="AF68">
    <cfRule type="cellIs" dxfId="61" priority="61" operator="greaterThan">
      <formula>1</formula>
    </cfRule>
    <cfRule type="cellIs" dxfId="60" priority="62" operator="lessThan">
      <formula>0.8</formula>
    </cfRule>
  </conditionalFormatting>
  <conditionalFormatting sqref="O17:O18">
    <cfRule type="cellIs" dxfId="59" priority="56" operator="greaterThan">
      <formula>0</formula>
    </cfRule>
  </conditionalFormatting>
  <conditionalFormatting sqref="P17:P18">
    <cfRule type="cellIs" dxfId="58" priority="59" operator="lessThan">
      <formula>0</formula>
    </cfRule>
  </conditionalFormatting>
  <conditionalFormatting sqref="Q17:Q18">
    <cfRule type="cellIs" dxfId="57" priority="57" operator="greaterThan">
      <formula>1</formula>
    </cfRule>
    <cfRule type="cellIs" dxfId="56" priority="58" operator="lessThan">
      <formula>0.8</formula>
    </cfRule>
  </conditionalFormatting>
  <conditionalFormatting sqref="R17:R18 AG17:AG18">
    <cfRule type="cellIs" dxfId="55" priority="60" operator="lessThan">
      <formula>0.8</formula>
    </cfRule>
  </conditionalFormatting>
  <conditionalFormatting sqref="O11:O13">
    <cfRule type="cellIs" dxfId="54" priority="52" operator="greaterThan">
      <formula>0</formula>
    </cfRule>
  </conditionalFormatting>
  <conditionalFormatting sqref="P11:P13">
    <cfRule type="cellIs" dxfId="53" priority="55" operator="lessThan">
      <formula>0</formula>
    </cfRule>
  </conditionalFormatting>
  <conditionalFormatting sqref="Q11:Q13">
    <cfRule type="cellIs" dxfId="52" priority="53" operator="greaterThan">
      <formula>1</formula>
    </cfRule>
    <cfRule type="cellIs" dxfId="51" priority="54" operator="lessThan">
      <formula>0.8</formula>
    </cfRule>
  </conditionalFormatting>
  <conditionalFormatting sqref="O59">
    <cfRule type="cellIs" dxfId="50" priority="47" operator="greaterThan">
      <formula>0</formula>
    </cfRule>
  </conditionalFormatting>
  <conditionalFormatting sqref="P59">
    <cfRule type="cellIs" dxfId="49" priority="50" operator="lessThan">
      <formula>0</formula>
    </cfRule>
  </conditionalFormatting>
  <conditionalFormatting sqref="Q59">
    <cfRule type="cellIs" dxfId="48" priority="48" operator="greaterThan">
      <formula>1</formula>
    </cfRule>
    <cfRule type="cellIs" dxfId="47" priority="49" operator="lessThan">
      <formula>0.8</formula>
    </cfRule>
  </conditionalFormatting>
  <conditionalFormatting sqref="R59 AG59">
    <cfRule type="cellIs" dxfId="46" priority="51" operator="lessThan">
      <formula>0.8</formula>
    </cfRule>
  </conditionalFormatting>
  <conditionalFormatting sqref="AG31 R31">
    <cfRule type="cellIs" dxfId="45" priority="46" operator="lessThan">
      <formula>0.8</formula>
    </cfRule>
  </conditionalFormatting>
  <conditionalFormatting sqref="O65">
    <cfRule type="cellIs" dxfId="44" priority="41" operator="greaterThan">
      <formula>0</formula>
    </cfRule>
  </conditionalFormatting>
  <conditionalFormatting sqref="P65 AE65">
    <cfRule type="cellIs" dxfId="43" priority="44" operator="lessThan">
      <formula>0</formula>
    </cfRule>
  </conditionalFormatting>
  <conditionalFormatting sqref="Q65 AF65">
    <cfRule type="cellIs" dxfId="42" priority="42" operator="greaterThan">
      <formula>1</formula>
    </cfRule>
    <cfRule type="cellIs" dxfId="41" priority="43" operator="lessThan">
      <formula>0.8</formula>
    </cfRule>
  </conditionalFormatting>
  <conditionalFormatting sqref="R65 AG65">
    <cfRule type="cellIs" dxfId="40" priority="45" operator="lessThan">
      <formula>0.8</formula>
    </cfRule>
  </conditionalFormatting>
  <conditionalFormatting sqref="O19:O20">
    <cfRule type="cellIs" dxfId="39" priority="36" operator="greaterThan">
      <formula>0</formula>
    </cfRule>
  </conditionalFormatting>
  <conditionalFormatting sqref="P19:P20">
    <cfRule type="cellIs" dxfId="38" priority="39" operator="lessThan">
      <formula>0</formula>
    </cfRule>
  </conditionalFormatting>
  <conditionalFormatting sqref="Q19:Q20">
    <cfRule type="cellIs" dxfId="37" priority="37" operator="greaterThan">
      <formula>1</formula>
    </cfRule>
    <cfRule type="cellIs" dxfId="36" priority="38" operator="lessThan">
      <formula>0.8</formula>
    </cfRule>
  </conditionalFormatting>
  <conditionalFormatting sqref="R19:R20 AG19:AG20">
    <cfRule type="cellIs" dxfId="35" priority="40" operator="lessThan">
      <formula>0.8</formula>
    </cfRule>
  </conditionalFormatting>
  <conditionalFormatting sqref="O60">
    <cfRule type="cellIs" dxfId="34" priority="31" operator="greaterThan">
      <formula>0</formula>
    </cfRule>
  </conditionalFormatting>
  <conditionalFormatting sqref="P60">
    <cfRule type="cellIs" dxfId="33" priority="34" operator="lessThan">
      <formula>0</formula>
    </cfRule>
  </conditionalFormatting>
  <conditionalFormatting sqref="Q60">
    <cfRule type="cellIs" dxfId="32" priority="32" operator="greaterThan">
      <formula>1</formula>
    </cfRule>
    <cfRule type="cellIs" dxfId="31" priority="33" operator="lessThan">
      <formula>0.8</formula>
    </cfRule>
  </conditionalFormatting>
  <conditionalFormatting sqref="AG60 R60">
    <cfRule type="cellIs" dxfId="30" priority="35" operator="lessThan">
      <formula>0.8</formula>
    </cfRule>
  </conditionalFormatting>
  <conditionalFormatting sqref="R30 AG30">
    <cfRule type="cellIs" dxfId="29" priority="30" operator="lessThan">
      <formula>0.8</formula>
    </cfRule>
  </conditionalFormatting>
  <conditionalFormatting sqref="AG30">
    <cfRule type="cellIs" dxfId="28" priority="29" operator="lessThan">
      <formula>0.8</formula>
    </cfRule>
  </conditionalFormatting>
  <conditionalFormatting sqref="O64">
    <cfRule type="cellIs" dxfId="27" priority="24" operator="greaterThan">
      <formula>0</formula>
    </cfRule>
  </conditionalFormatting>
  <conditionalFormatting sqref="P64 AE64">
    <cfRule type="cellIs" dxfId="26" priority="27" operator="lessThan">
      <formula>0</formula>
    </cfRule>
  </conditionalFormatting>
  <conditionalFormatting sqref="Q64 AF64">
    <cfRule type="cellIs" dxfId="25" priority="25" operator="greaterThan">
      <formula>1</formula>
    </cfRule>
    <cfRule type="cellIs" dxfId="24" priority="26" operator="lessThan">
      <formula>0.8</formula>
    </cfRule>
  </conditionalFormatting>
  <conditionalFormatting sqref="R64 AG64">
    <cfRule type="cellIs" dxfId="23" priority="28" operator="lessThan">
      <formula>0.8</formula>
    </cfRule>
  </conditionalFormatting>
  <conditionalFormatting sqref="O21">
    <cfRule type="cellIs" dxfId="22" priority="19" operator="greaterThan">
      <formula>0</formula>
    </cfRule>
  </conditionalFormatting>
  <conditionalFormatting sqref="P21">
    <cfRule type="cellIs" dxfId="21" priority="22" operator="lessThan">
      <formula>0</formula>
    </cfRule>
  </conditionalFormatting>
  <conditionalFormatting sqref="Q21">
    <cfRule type="cellIs" dxfId="20" priority="20" operator="greaterThan">
      <formula>1</formula>
    </cfRule>
    <cfRule type="cellIs" dxfId="19" priority="21" operator="lessThan">
      <formula>0.8</formula>
    </cfRule>
  </conditionalFormatting>
  <conditionalFormatting sqref="AG21 R21">
    <cfRule type="cellIs" dxfId="18" priority="23" operator="lessThan">
      <formula>0.8</formula>
    </cfRule>
  </conditionalFormatting>
  <conditionalFormatting sqref="O22">
    <cfRule type="cellIs" dxfId="17" priority="14" operator="greaterThan">
      <formula>0</formula>
    </cfRule>
  </conditionalFormatting>
  <conditionalFormatting sqref="P22">
    <cfRule type="cellIs" dxfId="16" priority="17" operator="lessThan">
      <formula>0</formula>
    </cfRule>
  </conditionalFormatting>
  <conditionalFormatting sqref="Q22">
    <cfRule type="cellIs" dxfId="15" priority="15" operator="greaterThan">
      <formula>1</formula>
    </cfRule>
    <cfRule type="cellIs" dxfId="14" priority="16" operator="lessThan">
      <formula>0.8</formula>
    </cfRule>
  </conditionalFormatting>
  <conditionalFormatting sqref="AG22 R22">
    <cfRule type="cellIs" dxfId="13" priority="18" operator="lessThan">
      <formula>0.8</formula>
    </cfRule>
  </conditionalFormatting>
  <conditionalFormatting sqref="P9">
    <cfRule type="cellIs" dxfId="12" priority="13" operator="lessThan">
      <formula>0</formula>
    </cfRule>
  </conditionalFormatting>
  <conditionalFormatting sqref="P23">
    <cfRule type="cellIs" dxfId="11" priority="12" operator="lessThan">
      <formula>0</formula>
    </cfRule>
  </conditionalFormatting>
  <conditionalFormatting sqref="P32">
    <cfRule type="cellIs" dxfId="10" priority="11" operator="lessThan">
      <formula>0</formula>
    </cfRule>
  </conditionalFormatting>
  <conditionalFormatting sqref="P39">
    <cfRule type="cellIs" dxfId="9" priority="10" operator="lessThan">
      <formula>0</formula>
    </cfRule>
  </conditionalFormatting>
  <conditionalFormatting sqref="P52">
    <cfRule type="cellIs" dxfId="8" priority="9" operator="lessThan">
      <formula>0</formula>
    </cfRule>
  </conditionalFormatting>
  <conditionalFormatting sqref="P62">
    <cfRule type="cellIs" dxfId="7" priority="8" operator="lessThan">
      <formula>0</formula>
    </cfRule>
  </conditionalFormatting>
  <conditionalFormatting sqref="P68">
    <cfRule type="cellIs" dxfId="6" priority="7" operator="lessThan">
      <formula>0</formula>
    </cfRule>
  </conditionalFormatting>
  <conditionalFormatting sqref="P75">
    <cfRule type="cellIs" dxfId="5" priority="6" operator="lessThan">
      <formula>0</formula>
    </cfRule>
  </conditionalFormatting>
  <conditionalFormatting sqref="O61">
    <cfRule type="cellIs" dxfId="4" priority="1" operator="greaterThan">
      <formula>0</formula>
    </cfRule>
  </conditionalFormatting>
  <conditionalFormatting sqref="P61">
    <cfRule type="cellIs" dxfId="3" priority="4" operator="lessThan">
      <formula>0</formula>
    </cfRule>
  </conditionalFormatting>
  <conditionalFormatting sqref="Q61">
    <cfRule type="cellIs" dxfId="2" priority="2" operator="greaterThan">
      <formula>1</formula>
    </cfRule>
    <cfRule type="cellIs" dxfId="1" priority="3" operator="lessThan">
      <formula>0.8</formula>
    </cfRule>
  </conditionalFormatting>
  <conditionalFormatting sqref="AG61 R61">
    <cfRule type="cellIs" dxfId="0" priority="5" operator="lessThan">
      <formula>0.8</formula>
    </cfRule>
  </conditionalFormatting>
  <dataValidations count="1">
    <dataValidation type="list" allowBlank="1" showInputMessage="1" showErrorMessage="1" sqref="AB9 AA5:AB8 AB67 AA9:AA67 AB11:AB63 AA68:AB75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S10" sqref="S10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612" t="s">
        <v>215</v>
      </c>
      <c r="C1" s="612"/>
      <c r="D1" s="612"/>
      <c r="E1" s="612"/>
      <c r="F1" s="612"/>
      <c r="G1" s="612"/>
      <c r="H1" s="612"/>
      <c r="I1" s="612"/>
      <c r="J1" s="612"/>
      <c r="K1" s="51"/>
      <c r="L1" s="51"/>
      <c r="M1" s="51"/>
      <c r="N1" s="51"/>
      <c r="O1" s="51"/>
      <c r="P1" s="51"/>
    </row>
    <row r="2" spans="2:17" ht="27.75" customHeight="1">
      <c r="B2" s="613"/>
      <c r="C2" s="613"/>
      <c r="D2" s="613"/>
      <c r="E2" s="613"/>
      <c r="F2" s="613"/>
      <c r="G2" s="613"/>
      <c r="H2" s="613"/>
      <c r="I2" s="613"/>
      <c r="J2" s="613"/>
      <c r="K2" s="53"/>
      <c r="L2" s="53"/>
      <c r="M2" s="53"/>
      <c r="N2" s="51"/>
      <c r="O2" s="51"/>
      <c r="P2" s="51"/>
    </row>
    <row r="3" spans="2:17" ht="46.5" customHeight="1">
      <c r="B3" s="54" t="s">
        <v>2800</v>
      </c>
      <c r="C3" s="614" t="str">
        <f>TEXT('0830 4度C'!A2,"yyyy.mm.ddaaaa")</f>
        <v>2026.08.30星期日</v>
      </c>
      <c r="D3" s="615"/>
      <c r="E3" s="54" t="s">
        <v>2801</v>
      </c>
      <c r="F3" s="616">
        <f>'0830 4度C'!D1</f>
        <v>194783</v>
      </c>
      <c r="G3" s="617"/>
      <c r="H3" s="54" t="s">
        <v>2802</v>
      </c>
      <c r="I3" s="618">
        <f>'0830 4度C'!F1</f>
        <v>6882608.2899999991</v>
      </c>
      <c r="J3" s="619"/>
      <c r="K3" s="55"/>
      <c r="L3" s="56"/>
      <c r="M3" s="57"/>
      <c r="N3" s="57"/>
    </row>
    <row r="4" spans="2:17" ht="28.5" customHeight="1">
      <c r="B4" s="620" t="s">
        <v>2803</v>
      </c>
      <c r="C4" s="606" t="s">
        <v>2804</v>
      </c>
      <c r="D4" s="607"/>
      <c r="E4" s="623" t="s">
        <v>2805</v>
      </c>
      <c r="F4" s="624"/>
      <c r="G4" s="623" t="s">
        <v>2806</v>
      </c>
      <c r="H4" s="624"/>
      <c r="I4" s="623" t="s">
        <v>1769</v>
      </c>
      <c r="J4" s="624"/>
      <c r="K4" s="604" t="s">
        <v>2807</v>
      </c>
      <c r="L4" s="605"/>
      <c r="M4" s="605" t="s">
        <v>2808</v>
      </c>
      <c r="N4" s="605"/>
    </row>
    <row r="5" spans="2:17" ht="28.5" customHeight="1">
      <c r="B5" s="621"/>
      <c r="C5" s="606" t="s">
        <v>2809</v>
      </c>
      <c r="D5" s="607"/>
      <c r="E5" s="606" t="s">
        <v>2810</v>
      </c>
      <c r="F5" s="607"/>
      <c r="G5" s="608" t="s">
        <v>2811</v>
      </c>
      <c r="H5" s="609"/>
      <c r="I5" s="610" t="s">
        <v>2812</v>
      </c>
      <c r="J5" s="611"/>
      <c r="K5" s="58" t="s">
        <v>2813</v>
      </c>
      <c r="L5" s="59" t="s">
        <v>231</v>
      </c>
      <c r="M5" s="58" t="s">
        <v>2813</v>
      </c>
      <c r="N5" s="59" t="s">
        <v>2814</v>
      </c>
    </row>
    <row r="6" spans="2:17" ht="28.5" customHeight="1">
      <c r="B6" s="621"/>
      <c r="C6" s="606" t="s">
        <v>169</v>
      </c>
      <c r="D6" s="607"/>
      <c r="E6" s="598">
        <f>AVERAGE(D13:M13)</f>
        <v>154.72243330224813</v>
      </c>
      <c r="F6" s="599">
        <f>AVERAGE(D31:O31,D13:J13)</f>
        <v>162.18489315223047</v>
      </c>
      <c r="G6" s="600">
        <f>AVERAGE(D13:J13)</f>
        <v>162.18489315223047</v>
      </c>
      <c r="H6" s="601"/>
      <c r="I6" s="600">
        <f>AVERAGE(K13:M13)</f>
        <v>137.31002698562261</v>
      </c>
      <c r="J6" s="601"/>
      <c r="K6" s="602">
        <f>'0830 4度C'!Y2</f>
        <v>0</v>
      </c>
      <c r="L6" s="587">
        <f>'0830 4度C'!Z2</f>
        <v>0</v>
      </c>
      <c r="M6" s="603">
        <f>'0830 4度C'!AC2</f>
        <v>61</v>
      </c>
      <c r="N6" s="587">
        <f>'0830 4度C'!AD2</f>
        <v>0</v>
      </c>
    </row>
    <row r="7" spans="2:17" ht="28.5" customHeight="1">
      <c r="B7" s="621"/>
      <c r="C7" s="588" t="s">
        <v>170</v>
      </c>
      <c r="D7" s="589"/>
      <c r="E7" s="590">
        <f>AVERAGE(D14:M14)</f>
        <v>148.14678566959827</v>
      </c>
      <c r="F7" s="591">
        <f>AVERAGE(D32:O32,D14:J14)</f>
        <v>155.36060469289433</v>
      </c>
      <c r="G7" s="592">
        <f>AVERAGE(D14:J14)</f>
        <v>155.36060469289433</v>
      </c>
      <c r="H7" s="593"/>
      <c r="I7" s="592">
        <f>AVERAGE(K14:M14)</f>
        <v>131.31454128190759</v>
      </c>
      <c r="J7" s="593"/>
      <c r="K7" s="602"/>
      <c r="L7" s="587"/>
      <c r="M7" s="603"/>
      <c r="N7" s="587"/>
    </row>
    <row r="8" spans="2:17" ht="28.5" customHeight="1">
      <c r="B8" s="622"/>
      <c r="C8" s="588" t="s">
        <v>171</v>
      </c>
      <c r="D8" s="589"/>
      <c r="E8" s="594">
        <f>AVERAGE(D15:M15)</f>
        <v>0.95759610801936002</v>
      </c>
      <c r="F8" s="595">
        <f>AVERAGE(D15:J15,D33:O33)</f>
        <v>0.95814174163135468</v>
      </c>
      <c r="G8" s="596">
        <f>AVERAGE(D15:J15)</f>
        <v>0.95814174163135468</v>
      </c>
      <c r="H8" s="597"/>
      <c r="I8" s="596">
        <f>AVERAGE(K15:M15)</f>
        <v>0.9563229629247062</v>
      </c>
      <c r="J8" s="597"/>
      <c r="K8" s="602"/>
      <c r="L8" s="587"/>
      <c r="M8" s="603"/>
      <c r="N8" s="587"/>
    </row>
    <row r="9" spans="2:17" ht="28.5" customHeight="1" thickBot="1">
      <c r="H9" s="61"/>
      <c r="K9" s="62" t="s">
        <v>2815</v>
      </c>
      <c r="N9" s="57"/>
      <c r="O9" s="57"/>
      <c r="P9" s="57"/>
      <c r="Q9" s="57"/>
    </row>
    <row r="10" spans="2:17" ht="30" customHeight="1">
      <c r="B10" s="570" t="s">
        <v>2816</v>
      </c>
      <c r="C10" s="571"/>
      <c r="D10" s="572" t="s">
        <v>2817</v>
      </c>
      <c r="E10" s="573"/>
      <c r="F10" s="573"/>
      <c r="G10" s="573"/>
      <c r="H10" s="573"/>
      <c r="I10" s="573"/>
      <c r="J10" s="574"/>
      <c r="K10" s="575" t="s">
        <v>2818</v>
      </c>
      <c r="L10" s="576"/>
      <c r="M10" s="577"/>
      <c r="P10" s="63"/>
      <c r="Q10" s="63"/>
    </row>
    <row r="11" spans="2:17" ht="17.25" customHeight="1">
      <c r="B11" s="578" t="s">
        <v>2819</v>
      </c>
      <c r="C11" s="579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80"/>
      <c r="C12" s="581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582" t="s">
        <v>2820</v>
      </c>
      <c r="C13" s="70" t="s">
        <v>2821</v>
      </c>
      <c r="D13" s="71">
        <f>SUMIFS('0830 4度C'!$K:$K,'0830 4度C'!$A:$A,"新豐6線",'0830 4度C'!$B:$B,"平均")</f>
        <v>131.14754098360655</v>
      </c>
      <c r="E13" s="72">
        <f>SUMIFS('0830 4度C'!$K:$K,'0830 4度C'!$A:$A,"新豐2線",'0830 4度C'!$B:$B,"平均")</f>
        <v>81.081081081081081</v>
      </c>
      <c r="F13" s="73">
        <f>SUMIFS('0830 4度C'!$K:$K,'0830 4度C'!$A:$A,"新豐5線",'0830 4度C'!$B:$B,"平均")</f>
        <v>102.45901639344264</v>
      </c>
      <c r="G13" s="73">
        <f>SUMIFS('0830 4度C'!$K:$K,'0830 4度C'!$A:$A,"新豐7線",'0830 4度C'!$B:$B,"平均")</f>
        <v>123.71134020618555</v>
      </c>
      <c r="H13" s="73">
        <f>SUMIFS('0830 4度C'!$K:$K,'0830 4度C'!$A:$A,"新豐3線",'0830 4度C'!$B:$B,"平均")</f>
        <v>300</v>
      </c>
      <c r="I13" s="73">
        <f>SUMIFS('0830 4度C'!$K:$K,'0830 4度C'!$A:$A,"新豐1線",'0830 4度C'!$B:$B,"平均")</f>
        <v>108.43373493975905</v>
      </c>
      <c r="J13" s="74">
        <f>SUMIFS('0830 4度C'!$K:$K,'0830 4度C'!$A:$A,"新豐10線",'0830 4度C'!$B:$B,"平均")</f>
        <v>288.46153846153845</v>
      </c>
      <c r="K13" s="75">
        <f>SUMIFS('0830 4度C'!$K:$K,'0830 4度C'!$A:$A,"新豐8線",'0830 4度C'!$B:$B,"平均")</f>
        <v>134.45378151260505</v>
      </c>
      <c r="L13" s="76">
        <f>SUMIFS('0830 4度C'!$K:$K,'0830 4度C'!$A:$A,"新豐9線",'0830 4度C'!$B:$B,"平均")</f>
        <v>138.34586466165413</v>
      </c>
      <c r="M13" s="74">
        <f>SUMIFS('0830 4度C'!$K:$K,'0830 4度C'!$A:$A,"新豐4線",'0830 4度C'!$B:$B,"平均")</f>
        <v>139.13043478260869</v>
      </c>
    </row>
    <row r="14" spans="2:17" ht="39.6" customHeight="1">
      <c r="B14" s="583"/>
      <c r="C14" s="77" t="s">
        <v>2822</v>
      </c>
      <c r="D14" s="78">
        <f>SUMIFS('0830 4度C'!$N:$N,'0830 4度C'!$A:$A,"新豐6線",'0830 4度C'!$B:$B,"平均")</f>
        <v>125.85224105998944</v>
      </c>
      <c r="E14" s="79">
        <f>SUMIFS('0830 4度C'!$N:$N,'0830 4度C'!$A:$A,"新豐2線",'0830 4度C'!$B:$B,"平均")</f>
        <v>77.644629820286028</v>
      </c>
      <c r="F14" s="79">
        <f>SUMIFS('0830 4度C'!$N:$N,'0830 4度C'!$A:$A,"新豐5線",'0830 4度C'!$B:$B,"平均")</f>
        <v>98.230454422963021</v>
      </c>
      <c r="G14" s="79">
        <f>SUMIFS('0830 4度C'!$N:$N,'0830 4度C'!$A:$A,"新豐7線",'0830 4度C'!$B:$B,"平均")</f>
        <v>118.53031249314161</v>
      </c>
      <c r="H14" s="79">
        <f>SUMIFS('0830 4度C'!$N:$N,'0830 4度C'!$A:$A,"新豐3線",'0830 4度C'!$B:$B,"平均")</f>
        <v>286.34924586053035</v>
      </c>
      <c r="I14" s="79">
        <f>SUMIFS('0830 4度C'!$N:$N,'0830 4度C'!$A:$A,"新豐1線",'0830 4度C'!$B:$B,"平均")</f>
        <v>103.88076735413644</v>
      </c>
      <c r="J14" s="80">
        <f>SUMIFS('0830 4度C'!$N:$N,'0830 4度C'!$A:$A,"新豐10線",'0830 4度C'!$B:$B,"平均")</f>
        <v>277.0365818392134</v>
      </c>
      <c r="K14" s="81">
        <f>SUMIFS('0830 4度C'!$N:$N,'0830 4度C'!$A:$A,"新豐8線",'0830 4度C'!$B:$B,"平均")</f>
        <v>128.42209981468227</v>
      </c>
      <c r="L14" s="82">
        <f>SUMIFS('0830 4度C'!$N:$N,'0830 4度C'!$A:$A,"新豐9線",'0830 4度C'!$B:$B,"平均")</f>
        <v>132.32218759921182</v>
      </c>
      <c r="M14" s="80">
        <f>SUMIFS('0830 4度C'!$N:$N,'0830 4度C'!$A:$A,"新豐4線",'0830 4度C'!$B:$B,"平均")</f>
        <v>133.19933643182867</v>
      </c>
    </row>
    <row r="15" spans="2:17" ht="40.15" customHeight="1">
      <c r="B15" s="584"/>
      <c r="C15" s="83" t="s">
        <v>2823</v>
      </c>
      <c r="D15" s="84">
        <f t="shared" ref="D15:M15" si="0">D14/D13</f>
        <v>0.95962333808241951</v>
      </c>
      <c r="E15" s="85">
        <f t="shared" si="0"/>
        <v>0.95761710111686105</v>
      </c>
      <c r="F15" s="85">
        <f t="shared" si="0"/>
        <v>0.95872923516811892</v>
      </c>
      <c r="G15" s="85">
        <f t="shared" si="0"/>
        <v>0.95812002598622814</v>
      </c>
      <c r="H15" s="85">
        <f t="shared" si="0"/>
        <v>0.95449748620176778</v>
      </c>
      <c r="I15" s="85">
        <f t="shared" si="0"/>
        <v>0.95801152115481369</v>
      </c>
      <c r="J15" s="86">
        <f t="shared" si="0"/>
        <v>0.96039348370927313</v>
      </c>
      <c r="K15" s="84">
        <f t="shared" si="0"/>
        <v>0.95513936737169935</v>
      </c>
      <c r="L15" s="85">
        <f t="shared" si="0"/>
        <v>0.95645929079865066</v>
      </c>
      <c r="M15" s="86">
        <f t="shared" si="0"/>
        <v>0.95737023060376858</v>
      </c>
    </row>
    <row r="16" spans="2:17" ht="17.25" customHeight="1">
      <c r="B16" s="585" t="s">
        <v>2824</v>
      </c>
      <c r="C16" s="87" t="s">
        <v>2825</v>
      </c>
      <c r="D16" s="88">
        <f>VLOOKUP("新豐6線",'0830 4度C'!$A:$T,19,0)</f>
        <v>0.70833333333333337</v>
      </c>
      <c r="E16" s="89">
        <f>VLOOKUP("新豐2線",'0830 4度C'!$A:$T,19,0)</f>
        <v>8.3333333333333329E-2</v>
      </c>
      <c r="F16" s="89">
        <f>VLOOKUP("新豐5線",'0830 4度C'!$A:$T,19,0)</f>
        <v>0.20833333333333334</v>
      </c>
      <c r="G16" s="89">
        <f>VLOOKUP("新豐7線",'0830 4度C'!$A:$T,19,0)</f>
        <v>0.20833333333333334</v>
      </c>
      <c r="H16" s="89">
        <f>VLOOKUP("新豐3線",'0830 4度C'!$A:$T,19,0)</f>
        <v>0.20833333333333334</v>
      </c>
      <c r="I16" s="89">
        <f>VLOOKUP("新豐1線",'0830 4度C'!$A:$T,19,0)</f>
        <v>0.20833333333333334</v>
      </c>
      <c r="J16" s="90">
        <f>VLOOKUP("新豐10線",'0830 4度C'!$A:$T,19,0)</f>
        <v>0.20833333333333334</v>
      </c>
      <c r="K16" s="91">
        <f>VLOOKUP("新豐8線",'0830 4度C'!$A:$T,19,0)</f>
        <v>8.3333333333333329E-2</v>
      </c>
      <c r="L16" s="92">
        <f>VLOOKUP("新豐9線",'0830 4度C'!$A:$T,19,0)</f>
        <v>8.3333333333333329E-2</v>
      </c>
      <c r="M16" s="93">
        <f>VLOOKUP("新豐4線",'0830 4度C'!$A:$T,19,0)</f>
        <v>8.3333333333333329E-2</v>
      </c>
    </row>
    <row r="17" spans="2:13" ht="17.25" customHeight="1">
      <c r="B17" s="586"/>
      <c r="C17" s="87" t="s">
        <v>2826</v>
      </c>
      <c r="D17" s="91">
        <f>LOOKUP(2,1/(('0830 4度C'!$A:$A="新豐6線")*('0830 4度C'!$T:$T&lt;&gt;"")),'0830 4度C'!$T:$T)</f>
        <v>0.90833333333333333</v>
      </c>
      <c r="E17" s="89">
        <f>LOOKUP(2,1/(('0830 4度C'!$A:$A="新豐2線")*('0830 4度C'!$T:$T&lt;&gt;"")),'0830 4度C'!$T:$T)</f>
        <v>0.58680555555555547</v>
      </c>
      <c r="F17" s="89">
        <f>LOOKUP(2,1/(('0830 4度C'!$A:$A="新豐5線")*('0830 4度C'!$T:$T&lt;&gt;"")),'0830 4度C'!$T:$T)</f>
        <v>0.84583333333333333</v>
      </c>
      <c r="G17" s="89">
        <f>LOOKUP(2,1/(('0830 4度C'!$A:$A="新豐7線")*('0830 4度C'!$T:$T&lt;&gt;"")),'0830 4度C'!$T:$T)</f>
        <v>0.83680555555555558</v>
      </c>
      <c r="H17" s="89">
        <f>LOOKUP(2,1/(('0830 4度C'!$A:$A="新豐3線")*('0830 4度C'!$T:$T&lt;&gt;"")),'0830 4度C'!$T:$T)</f>
        <v>0.45486111111111105</v>
      </c>
      <c r="I17" s="89">
        <f>LOOKUP(2,1/(('0830 4度C'!$A:$A="新豐1線")*('0830 4度C'!$T:$T&lt;&gt;"")),'0830 4度C'!$T:$T)</f>
        <v>0.90625</v>
      </c>
      <c r="J17" s="90">
        <f>LOOKUP(2,1/(('0830 4度C'!$A:$A="新豐10線")*('0830 4度C'!$T:$T&lt;&gt;"")),'0830 4度C'!$T:$T)</f>
        <v>0.46736111111111106</v>
      </c>
      <c r="K17" s="88">
        <f>LOOKUP(2,1/(('0830 4度C'!$A:$A="新豐8線")*('0830 4度C'!$T:$T&lt;&gt;"")),'0830 4度C'!$T:$T)</f>
        <v>0.74236111111111103</v>
      </c>
      <c r="L17" s="89">
        <f>LOOKUP(2,1/(('0830 4度C'!$A:$A="新豐9線")*('0830 4度C'!$T:$T&lt;&gt;"")),'0830 4度C'!$T:$T)</f>
        <v>0.71180555555555547</v>
      </c>
      <c r="M17" s="90">
        <f>LOOKUP(2,1/(('0830 4度C'!$A:$A="新豐4線")*('0830 4度C'!$T:$T&lt;&gt;"")),'0830 4度C'!$T:$T)</f>
        <v>0.73541666666666661</v>
      </c>
    </row>
    <row r="18" spans="2:13" ht="17.25" customHeight="1">
      <c r="B18" s="564" t="s">
        <v>2827</v>
      </c>
      <c r="C18" s="94" t="s">
        <v>2828</v>
      </c>
      <c r="D18" s="95">
        <f>SUMIFS('0830 4度C'!$Y:$Y,'0830 4度C'!$A:$A,"新豐6線",'0830 4度C'!$B:$B,"平均")</f>
        <v>0</v>
      </c>
      <c r="E18" s="96">
        <f>SUMIFS('0830 4度C'!$Y:$Y,'0830 4度C'!$A:$A,"新豐2線",'0830 4度C'!$B:$B,"平均")</f>
        <v>0</v>
      </c>
      <c r="F18" s="96">
        <f>SUMIFS('0830 4度C'!$Y:$Y,'0830 4度C'!$A:$A,"新豐5線",'0830 4度C'!$B:$B,"平均")</f>
        <v>0</v>
      </c>
      <c r="G18" s="96">
        <f>SUMIFS('0830 4度C'!$Y:$Y,'0830 4度C'!$A:$A,"新豐7線",'0830 4度C'!$B:$B,"平均")</f>
        <v>0</v>
      </c>
      <c r="H18" s="96">
        <f>SUMIFS('0830 4度C'!$Y:$Y,'0830 4度C'!$A:$A,"新豐3線",'0830 4度C'!$B:$B,"平均")</f>
        <v>0</v>
      </c>
      <c r="I18" s="96">
        <f>SUMIFS('0830 4度C'!$Y:$Y,'0830 4度C'!$A:$A,"新豐1線",'0830 4度C'!$B:$B,"平均")</f>
        <v>0</v>
      </c>
      <c r="J18" s="97">
        <f>SUMIFS('0830 4度C'!$Y:$Y,'0830 4度C'!$A:$A,"新豐10線",'0830 4度C'!$B:$B,"平均")</f>
        <v>0</v>
      </c>
      <c r="K18" s="98">
        <f>SUMIFS('0830 4度C'!$Y:$Y,'0830 4度C'!$A:$A,"新豐8線",'0830 4度C'!$B:$B,"平均")</f>
        <v>0</v>
      </c>
      <c r="L18" s="96">
        <f>SUMIFS('0830 4度C'!$Y:$Y,'0830 4度C'!$A:$A,"新豐9線",'0830 4度C'!$B:$B,"平均")</f>
        <v>0</v>
      </c>
      <c r="M18" s="97">
        <f>SUMIFS('0830 4度C'!$Y:$Y,'0830 4度C'!$A:$A,"新豐4線",'0830 4度C'!$B:$B,"平均")</f>
        <v>0</v>
      </c>
    </row>
    <row r="19" spans="2:13" ht="17.25" customHeight="1">
      <c r="B19" s="565"/>
      <c r="C19" s="94" t="s">
        <v>2829</v>
      </c>
      <c r="D19" s="95">
        <f>SUMIFS('0830 4度C'!$Z:$Z,'0830 4度C'!$A:$A,"新豐6線",'0830 4度C'!$B:$B,"平均")</f>
        <v>0</v>
      </c>
      <c r="E19" s="96">
        <f>SUMIFS('0830 4度C'!$Z:$Z,'0830 4度C'!$A:$A,"新豐2線",'0830 4度C'!$B:$B,"平均")</f>
        <v>0</v>
      </c>
      <c r="F19" s="96">
        <f>SUMIFS('0830 4度C'!$Z:$Z,'0830 4度C'!$A:$A,"新豐5線",'0830 4度C'!$B:$B,"平均")</f>
        <v>0</v>
      </c>
      <c r="G19" s="96">
        <f>SUMIFS('0830 4度C'!$Z:$Z,'0830 4度C'!$A:$A,"新豐7線",'0830 4度C'!$B:$B,"平均")</f>
        <v>0</v>
      </c>
      <c r="H19" s="96">
        <f>SUMIFS('0830 4度C'!$Z:$Z,'0830 4度C'!$A:$A,"新豐3線",'0830 4度C'!$B:$B,"平均")</f>
        <v>0</v>
      </c>
      <c r="I19" s="96">
        <f>SUMIFS('0830 4度C'!$Z:$Z,'0830 4度C'!$A:$A,"新豐1線",'0830 4度C'!$B:$B,"平均")</f>
        <v>0</v>
      </c>
      <c r="J19" s="97">
        <f>SUMIFS('0830 4度C'!$Z:$Z,'0830 4度C'!$A:$A,"新豐10線",'0830 4度C'!$B:$B,"平均")</f>
        <v>0</v>
      </c>
      <c r="K19" s="98">
        <f>SUMIFS('0830 4度C'!$Z:$Z,'0830 4度C'!$A:$A,"新豐8線",'0830 4度C'!$B:$B,"平均")</f>
        <v>0</v>
      </c>
      <c r="L19" s="96">
        <f>SUMIFS('0830 4度C'!$Z:$Z,'0830 4度C'!$A:$A,"新豐9線",'0830 4度C'!$B:$B,"平均")</f>
        <v>0</v>
      </c>
      <c r="M19" s="97">
        <f>SUMIFS('0830 4度C'!$Z:$Z,'0830 4度C'!$A:$A,"新豐4線",'0830 4度C'!$B:$B,"平均")</f>
        <v>0</v>
      </c>
    </row>
    <row r="20" spans="2:13" ht="17.25" customHeight="1">
      <c r="B20" s="564" t="s">
        <v>2830</v>
      </c>
      <c r="C20" s="94" t="s">
        <v>2828</v>
      </c>
      <c r="D20" s="95">
        <f>SUMIFS('0830 4度C'!$AC:$AC,'0830 4度C'!$A:$A,"新豐6線",'0830 4度C'!$B:$B,"平均")</f>
        <v>4</v>
      </c>
      <c r="E20" s="96">
        <f>SUMIFS('0830 4度C'!$AC:$AC,'0830 4度C'!$A:$A,"新豐2線",'0830 4度C'!$B:$B,"平均")</f>
        <v>4</v>
      </c>
      <c r="F20" s="96">
        <f>SUMIFS('0830 4度C'!$AC:$AC,'0830 4度C'!$A:$A,"新豐5線",'0830 4度C'!$B:$B,"平均")</f>
        <v>7</v>
      </c>
      <c r="G20" s="96">
        <f>SUMIFS('0830 4度C'!$AC:$AC,'0830 4度C'!$A:$A,"新豐7線",'0830 4度C'!$B:$B,"平均")</f>
        <v>6</v>
      </c>
      <c r="H20" s="96">
        <f>SUMIFS('0830 4度C'!$AC:$AC,'0830 4度C'!$A:$A,"新豐3線",'0830 4度C'!$B:$B,"平均")</f>
        <v>3</v>
      </c>
      <c r="I20" s="96">
        <f>SUMIFS('0830 4度C'!$AC:$AC,'0830 4度C'!$A:$A,"新豐1線",'0830 4度C'!$B:$B,"平均")</f>
        <v>9</v>
      </c>
      <c r="J20" s="97">
        <f>SUMIFS('0830 4度C'!$AC:$AC,'0830 4度C'!$A:$A,"新豐10線",'0830 4度C'!$B:$B,"平均")</f>
        <v>5</v>
      </c>
      <c r="K20" s="98">
        <f>SUMIFS('0830 4度C'!$AC:$AC,'0830 4度C'!$A:$A,"新豐8線",'0830 4度C'!$B:$B,"平均")</f>
        <v>7</v>
      </c>
      <c r="L20" s="96">
        <f>SUMIFS('0830 4度C'!$AC:$AC,'0830 4度C'!$A:$A,"新豐9線",'0830 4度C'!$B:$B,"平均")</f>
        <v>8</v>
      </c>
      <c r="M20" s="97">
        <f>SUMIFS('0830 4度C'!$AC:$AC,'0830 4度C'!$A:$A,"新豐4線",'0830 4度C'!$B:$B,"平均")</f>
        <v>8</v>
      </c>
    </row>
    <row r="21" spans="2:13" ht="17.25" customHeight="1">
      <c r="B21" s="565"/>
      <c r="C21" s="94" t="s">
        <v>2831</v>
      </c>
      <c r="D21" s="95">
        <f>SUMIFS('0830 4度C'!$AD:$AD,'0830 4度C'!$A:$A,"新豐6線",'0830 4度C'!$B:$B,"平均")</f>
        <v>0</v>
      </c>
      <c r="E21" s="96">
        <f>SUMIFS('0830 4度C'!$AD:$AD,'0830 4度C'!$A:$A,"新豐2線",'0830 4度C'!$B:$B,"平均")</f>
        <v>0</v>
      </c>
      <c r="F21" s="96">
        <f>SUMIFS('0830 4度C'!$AD:$AD,'0830 4度C'!$A:$A,"新豐5線",'0830 4度C'!$B:$B,"平均")</f>
        <v>0</v>
      </c>
      <c r="G21" s="96">
        <f>SUMIFS('0830 4度C'!$AD:$AD,'0830 4度C'!$A:$A,"新豐7線",'0830 4度C'!$B:$B,"平均")</f>
        <v>0</v>
      </c>
      <c r="H21" s="96">
        <f>SUMIFS('0830 4度C'!$AD:$AD,'0830 4度C'!$A:$A,"新豐3線",'0830 4度C'!$B:$B,"平均")</f>
        <v>0</v>
      </c>
      <c r="I21" s="96">
        <f>SUMIFS('0830 4度C'!$AD:$AD,'0830 4度C'!$A:$A,"新豐1線",'0830 4度C'!$B:$B,"平均")</f>
        <v>0</v>
      </c>
      <c r="J21" s="97">
        <f>SUMIFS('0830 4度C'!$AD:$AD,'0830 4度C'!$A:$A,"新豐10線",'0830 4度C'!$B:$B,"平均")</f>
        <v>0</v>
      </c>
      <c r="K21" s="98">
        <f>SUMIFS('0830 4度C'!$AD:$AD,'0830 4度C'!$A:$A,"新豐8線",'0830 4度C'!$B:$B,"平均")</f>
        <v>0</v>
      </c>
      <c r="L21" s="96">
        <f>SUMIFS('0830 4度C'!$AD:$AD,'0830 4度C'!$A:$A,"新豐9線",'0830 4度C'!$B:$B,"平均")</f>
        <v>0</v>
      </c>
      <c r="M21" s="97">
        <f>SUMIFS('0830 4度C'!$AD:$AD,'0830 4度C'!$A:$A,"新豐4線",'0830 4度C'!$B:$B,"平均")</f>
        <v>0</v>
      </c>
    </row>
    <row r="22" spans="2:13" ht="17.25" customHeight="1">
      <c r="B22" s="566" t="s">
        <v>1794</v>
      </c>
      <c r="C22" s="567"/>
      <c r="D22" s="99">
        <f>SUMIFS('0830 4度C'!$I:$I,'0830 4度C'!$A:$A,"新豐6線",'0830 4度C'!$B:$B,"平均")</f>
        <v>15.25</v>
      </c>
      <c r="E22" s="100">
        <f>SUMIFS('0830 4度C'!$I:$I,'0830 4度C'!$A:$A,"新豐2線",'0830 4度C'!$B:$B,"平均")</f>
        <v>18.5</v>
      </c>
      <c r="F22" s="100">
        <f>SUMIFS('0830 4度C'!$I:$I,'0830 4度C'!$A:$A,"新豐5線",'0830 4度C'!$B:$B,"平均")</f>
        <v>17.428571428571427</v>
      </c>
      <c r="G22" s="100">
        <f>SUMIFS('0830 4度C'!$I:$I,'0830 4度C'!$A:$A,"新豐7線",'0830 4度C'!$B:$B,"平均")</f>
        <v>16.166666666666668</v>
      </c>
      <c r="H22" s="100">
        <f>SUMIFS('0830 4度C'!$I:$I,'0830 4度C'!$A:$A,"新豐3線",'0830 4度C'!$B:$B,"平均")</f>
        <v>10</v>
      </c>
      <c r="I22" s="100">
        <f>SUMIFS('0830 4度C'!$I:$I,'0830 4度C'!$A:$A,"新豐1線",'0830 4度C'!$B:$B,"平均")</f>
        <v>18.444444444444443</v>
      </c>
      <c r="J22" s="101">
        <f>SUMIFS('0830 4度C'!$I:$I,'0830 4度C'!$A:$A,"新豐10線",'0830 4度C'!$B:$B,"平均")</f>
        <v>10.4</v>
      </c>
      <c r="K22" s="99">
        <f>SUMIFS('0830 4度C'!$I:$I,'0830 4度C'!$A:$A,"新豐8線",'0830 4度C'!$B:$B,"平均")</f>
        <v>17</v>
      </c>
      <c r="L22" s="100">
        <f>SUMIFS('0830 4度C'!$I:$I,'0830 4度C'!$A:$A,"新豐9線",'0830 4度C'!$B:$B,"平均")</f>
        <v>16.625</v>
      </c>
      <c r="M22" s="101">
        <f>SUMIFS('0830 4度C'!$I:$I,'0830 4度C'!$A:$A,"新豐4線",'0830 4度C'!$B:$B,"平均")</f>
        <v>17.25</v>
      </c>
    </row>
    <row r="23" spans="2:13" ht="17.25" customHeight="1">
      <c r="B23" s="566" t="s">
        <v>2832</v>
      </c>
      <c r="C23" s="567"/>
      <c r="D23" s="102" t="s">
        <v>202</v>
      </c>
      <c r="E23" s="103" t="s">
        <v>203</v>
      </c>
      <c r="F23" s="103" t="s">
        <v>2833</v>
      </c>
      <c r="G23" s="103" t="s">
        <v>2833</v>
      </c>
      <c r="H23" s="103" t="s">
        <v>205</v>
      </c>
      <c r="I23" s="103" t="s">
        <v>202</v>
      </c>
      <c r="J23" s="104" t="s">
        <v>205</v>
      </c>
      <c r="K23" s="102" t="s">
        <v>2834</v>
      </c>
      <c r="L23" s="103" t="s">
        <v>2834</v>
      </c>
      <c r="M23" s="104" t="s">
        <v>2834</v>
      </c>
    </row>
    <row r="24" spans="2:13" ht="17.25" customHeight="1">
      <c r="B24" s="566" t="s">
        <v>2835</v>
      </c>
      <c r="C24" s="567"/>
      <c r="D24" s="102"/>
      <c r="E24" s="103"/>
      <c r="F24" s="103" t="s">
        <v>2836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68" t="s">
        <v>2837</v>
      </c>
      <c r="C25" s="569"/>
      <c r="D25" s="105"/>
      <c r="E25" s="106" t="s">
        <v>2838</v>
      </c>
      <c r="F25" s="562" t="s">
        <v>2839</v>
      </c>
      <c r="G25" s="563"/>
      <c r="H25" s="106" t="s">
        <v>2744</v>
      </c>
      <c r="I25" s="106" t="s">
        <v>2840</v>
      </c>
      <c r="J25" s="107" t="s">
        <v>2744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2095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6"/>
  <sheetViews>
    <sheetView zoomScale="80" zoomScaleNormal="80" workbookViewId="0">
      <pane ySplit="4" topLeftCell="A44" activePane="bottomLeft" state="frozen"/>
      <selection activeCell="A9" sqref="A9"/>
      <selection pane="bottomLeft" activeCell="U72" sqref="U72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41" customWidth="1"/>
    <col min="20" max="20" width="7.625" style="41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2841</v>
      </c>
      <c r="B1" s="1"/>
      <c r="C1" s="2" t="s">
        <v>2842</v>
      </c>
      <c r="D1" s="3">
        <f>SUM(F5:F75)</f>
        <v>194783</v>
      </c>
      <c r="E1" s="533" t="s">
        <v>2843</v>
      </c>
      <c r="F1" s="1">
        <f>SUM(G5:G75)</f>
        <v>6882608.2899999991</v>
      </c>
      <c r="G1" s="1" t="s">
        <v>2844</v>
      </c>
      <c r="H1" s="5">
        <f>L9+L14+L50+L60+L22+L66+L37+L46+L29+L75</f>
        <v>157.06468253968254</v>
      </c>
      <c r="I1" s="676" t="s">
        <v>2845</v>
      </c>
      <c r="J1" s="676"/>
      <c r="K1" s="676"/>
      <c r="L1" s="676" t="s">
        <v>2846</v>
      </c>
      <c r="M1" s="676"/>
      <c r="N1" s="676"/>
      <c r="O1" s="676" t="s">
        <v>2847</v>
      </c>
      <c r="P1" s="676"/>
      <c r="Q1" s="676"/>
      <c r="R1" s="676"/>
      <c r="S1" s="676" t="s">
        <v>2848</v>
      </c>
      <c r="T1" s="676"/>
      <c r="U1" s="676"/>
      <c r="V1" s="676"/>
      <c r="W1" s="676"/>
      <c r="X1" s="676"/>
      <c r="Y1" s="6" t="s">
        <v>2849</v>
      </c>
      <c r="Z1" s="7" t="s">
        <v>2850</v>
      </c>
      <c r="AA1" s="677" t="s">
        <v>2851</v>
      </c>
      <c r="AB1" s="677"/>
      <c r="AC1" s="8" t="s">
        <v>2849</v>
      </c>
      <c r="AD1" s="7" t="s">
        <v>2852</v>
      </c>
      <c r="AE1" s="676" t="s">
        <v>2853</v>
      </c>
      <c r="AF1" s="678"/>
      <c r="AG1" s="678"/>
    </row>
    <row r="2" spans="1:33" ht="26.25" customHeight="1">
      <c r="A2" s="35">
        <v>46264</v>
      </c>
      <c r="B2" s="36" t="s">
        <v>278</v>
      </c>
      <c r="C2" s="2" t="s">
        <v>2854</v>
      </c>
      <c r="D2" s="10">
        <f>AVERAGE(N9,N14,N50,N60,N22,N66,N29,N37,N46,N75)</f>
        <v>148.14678566959827</v>
      </c>
      <c r="E2" s="11" t="s">
        <v>14</v>
      </c>
      <c r="F2" s="12">
        <f>F1/D1</f>
        <v>35.334748360996592</v>
      </c>
      <c r="G2" s="1" t="s">
        <v>2855</v>
      </c>
      <c r="H2" s="546">
        <f>COUNT(H5:H75)</f>
        <v>11</v>
      </c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14">
        <f>SUM(Y9+Y14+Y22+Y29+Y37+Y46+Y50+Y60+Y66+Y75)</f>
        <v>0</v>
      </c>
      <c r="Z2" s="14">
        <f>SUM(Z9+Z14+Z22+Z29+Z37+Z46+Z50+Z60+Z66+Z75)</f>
        <v>0</v>
      </c>
      <c r="AA2" s="677"/>
      <c r="AB2" s="677"/>
      <c r="AC2" s="14">
        <v>61</v>
      </c>
      <c r="AD2" s="14">
        <f>SUM(AD9+AD14+AD22+AD29+AD37+AD46+AD50+AD60+AD66+AD75)</f>
        <v>0</v>
      </c>
      <c r="AE2" s="678"/>
      <c r="AF2" s="678"/>
      <c r="AG2" s="678"/>
    </row>
    <row r="3" spans="1:33" ht="40.5" customHeight="1">
      <c r="A3" s="632" t="s">
        <v>2856</v>
      </c>
      <c r="B3" s="632" t="s">
        <v>2857</v>
      </c>
      <c r="C3" s="632" t="s">
        <v>2858</v>
      </c>
      <c r="D3" s="632"/>
      <c r="E3" s="674" t="s">
        <v>2859</v>
      </c>
      <c r="F3" s="632" t="s">
        <v>2860</v>
      </c>
      <c r="G3" s="674" t="s">
        <v>2861</v>
      </c>
      <c r="H3" s="667" t="s">
        <v>2862</v>
      </c>
      <c r="I3" s="665" t="s">
        <v>2863</v>
      </c>
      <c r="J3" s="662" t="s">
        <v>2864</v>
      </c>
      <c r="K3" s="672" t="s">
        <v>2854</v>
      </c>
      <c r="L3" s="665" t="s">
        <v>2863</v>
      </c>
      <c r="M3" s="662" t="s">
        <v>2864</v>
      </c>
      <c r="N3" s="672" t="s">
        <v>2854</v>
      </c>
      <c r="O3" s="665" t="s">
        <v>2863</v>
      </c>
      <c r="P3" s="672" t="s">
        <v>2854</v>
      </c>
      <c r="Q3" s="663" t="s">
        <v>2865</v>
      </c>
      <c r="R3" s="641" t="s">
        <v>2866</v>
      </c>
      <c r="S3" s="673" t="s">
        <v>29</v>
      </c>
      <c r="T3" s="673"/>
      <c r="U3" s="667" t="s">
        <v>30</v>
      </c>
      <c r="V3" s="667" t="s">
        <v>2867</v>
      </c>
      <c r="W3" s="632" t="s">
        <v>2868</v>
      </c>
      <c r="X3" s="632"/>
      <c r="Y3" s="668" t="s">
        <v>2869</v>
      </c>
      <c r="Z3" s="631"/>
      <c r="AA3" s="669" t="s">
        <v>2870</v>
      </c>
      <c r="AB3" s="670"/>
      <c r="AC3" s="668" t="s">
        <v>2871</v>
      </c>
      <c r="AD3" s="631"/>
      <c r="AE3" s="662" t="s">
        <v>2872</v>
      </c>
      <c r="AF3" s="663" t="s">
        <v>2873</v>
      </c>
      <c r="AG3" s="641" t="s">
        <v>2874</v>
      </c>
    </row>
    <row r="4" spans="1:33" ht="15.75" customHeight="1">
      <c r="A4" s="632"/>
      <c r="B4" s="632"/>
      <c r="C4" s="632"/>
      <c r="D4" s="632"/>
      <c r="E4" s="675"/>
      <c r="F4" s="632"/>
      <c r="G4" s="675"/>
      <c r="H4" s="667"/>
      <c r="I4" s="665"/>
      <c r="J4" s="662"/>
      <c r="K4" s="672"/>
      <c r="L4" s="665"/>
      <c r="M4" s="662"/>
      <c r="N4" s="672"/>
      <c r="O4" s="665"/>
      <c r="P4" s="672"/>
      <c r="Q4" s="663"/>
      <c r="R4" s="641"/>
      <c r="S4" s="545" t="s">
        <v>39</v>
      </c>
      <c r="T4" s="545" t="s">
        <v>40</v>
      </c>
      <c r="U4" s="667"/>
      <c r="V4" s="667"/>
      <c r="W4" s="533" t="s">
        <v>2875</v>
      </c>
      <c r="X4" s="533" t="s">
        <v>2876</v>
      </c>
      <c r="Y4" s="536" t="s">
        <v>2877</v>
      </c>
      <c r="Z4" s="536" t="s">
        <v>2878</v>
      </c>
      <c r="AA4" s="671"/>
      <c r="AB4" s="670"/>
      <c r="AC4" s="536" t="s">
        <v>2879</v>
      </c>
      <c r="AD4" s="536" t="s">
        <v>2880</v>
      </c>
      <c r="AE4" s="662"/>
      <c r="AF4" s="663"/>
      <c r="AG4" s="641"/>
    </row>
    <row r="5" spans="1:33">
      <c r="A5" s="664" t="s">
        <v>2881</v>
      </c>
      <c r="B5" s="42" t="s">
        <v>92</v>
      </c>
      <c r="C5" s="666" t="s">
        <v>93</v>
      </c>
      <c r="D5" s="666"/>
      <c r="E5" s="42">
        <v>50.92</v>
      </c>
      <c r="F5" s="545">
        <v>1000</v>
      </c>
      <c r="G5" s="533">
        <f t="shared" ref="G5:G8" si="0">E5*F5</f>
        <v>50920</v>
      </c>
      <c r="H5" s="37">
        <v>2</v>
      </c>
      <c r="I5" s="543">
        <v>15</v>
      </c>
      <c r="J5" s="39">
        <v>2000</v>
      </c>
      <c r="K5" s="17">
        <f t="shared" ref="K5:K68" si="1">J5/I5</f>
        <v>133.33333333333334</v>
      </c>
      <c r="L5" s="543">
        <v>15</v>
      </c>
      <c r="M5" s="18">
        <f t="shared" ref="M5:M8" si="2">F5/V5*60</f>
        <v>1935.483870967739</v>
      </c>
      <c r="N5" s="17">
        <f t="shared" ref="N5:N68" si="3">M5/L5</f>
        <v>129.03225806451593</v>
      </c>
      <c r="O5" s="19">
        <f t="shared" ref="O5:O68" si="4">L5-I5</f>
        <v>0</v>
      </c>
      <c r="P5" s="20">
        <f t="shared" ref="P5:P68" si="5">N5-K5</f>
        <v>-4.3010752688174136</v>
      </c>
      <c r="Q5" s="532">
        <f t="shared" ref="Q5:Q68" si="6">N5/K5</f>
        <v>0.96774193548386944</v>
      </c>
      <c r="R5" s="637">
        <f>Q9</f>
        <v>0.95962333808241951</v>
      </c>
      <c r="S5" s="40">
        <v>0.70833333333333337</v>
      </c>
      <c r="T5" s="40">
        <v>0.72986111111111118</v>
      </c>
      <c r="U5" s="533"/>
      <c r="V5" s="544">
        <f t="shared" ref="V5:V8" si="7">(T5-S5)*24*60</f>
        <v>31.00000000000005</v>
      </c>
      <c r="W5" s="23"/>
      <c r="X5" s="23"/>
      <c r="Y5" s="24"/>
      <c r="Z5" s="24"/>
      <c r="AA5" s="632"/>
      <c r="AB5" s="632"/>
      <c r="AC5" s="25">
        <v>4</v>
      </c>
      <c r="AD5" s="25"/>
      <c r="AE5" s="19">
        <f t="shared" ref="AE5:AE59" si="8">M5-J5</f>
        <v>-64.516129032261006</v>
      </c>
      <c r="AF5" s="532">
        <f t="shared" ref="AF5:AF68" si="9">M5/J5</f>
        <v>0.96774193548386944</v>
      </c>
      <c r="AG5" s="637">
        <f>AF9</f>
        <v>0.9596233380824194</v>
      </c>
    </row>
    <row r="6" spans="1:33">
      <c r="A6" s="665" t="s">
        <v>2882</v>
      </c>
      <c r="B6" s="42" t="s">
        <v>92</v>
      </c>
      <c r="C6" s="666" t="s">
        <v>94</v>
      </c>
      <c r="D6" s="666"/>
      <c r="E6" s="42">
        <v>50.98</v>
      </c>
      <c r="F6" s="545">
        <v>2745</v>
      </c>
      <c r="G6" s="533">
        <f t="shared" si="0"/>
        <v>139940.1</v>
      </c>
      <c r="H6" s="37" t="s">
        <v>91</v>
      </c>
      <c r="I6" s="543">
        <v>16</v>
      </c>
      <c r="J6" s="39">
        <v>2000</v>
      </c>
      <c r="K6" s="17">
        <f t="shared" si="1"/>
        <v>125</v>
      </c>
      <c r="L6" s="543">
        <v>16</v>
      </c>
      <c r="M6" s="18">
        <f t="shared" si="2"/>
        <v>1915.116279069767</v>
      </c>
      <c r="N6" s="17">
        <f t="shared" si="3"/>
        <v>119.69476744186044</v>
      </c>
      <c r="O6" s="19">
        <f t="shared" si="4"/>
        <v>0</v>
      </c>
      <c r="P6" s="20">
        <f t="shared" si="5"/>
        <v>-5.305232558139565</v>
      </c>
      <c r="Q6" s="532">
        <f t="shared" si="6"/>
        <v>0.95755813953488345</v>
      </c>
      <c r="R6" s="637"/>
      <c r="S6" s="40">
        <v>0.73402777777777783</v>
      </c>
      <c r="T6" s="40">
        <v>0.79375000000000007</v>
      </c>
      <c r="U6" s="533">
        <f t="shared" ref="U6:U8" si="10">IF(S6=TIME(17,0,0),"",(S6-T5)*24*60)</f>
        <v>5.9999999999999787</v>
      </c>
      <c r="V6" s="544">
        <f t="shared" si="7"/>
        <v>86.000000000000014</v>
      </c>
      <c r="W6" s="23"/>
      <c r="X6" s="23"/>
      <c r="Y6" s="23"/>
      <c r="Z6" s="23"/>
      <c r="AA6" s="632"/>
      <c r="AB6" s="632"/>
      <c r="AC6" s="25"/>
      <c r="AD6" s="25"/>
      <c r="AE6" s="19">
        <f t="shared" si="8"/>
        <v>-84.883720930233039</v>
      </c>
      <c r="AF6" s="532">
        <f t="shared" si="9"/>
        <v>0.95755813953488345</v>
      </c>
      <c r="AG6" s="637"/>
    </row>
    <row r="7" spans="1:33">
      <c r="A7" s="665" t="s">
        <v>2882</v>
      </c>
      <c r="B7" s="42" t="s">
        <v>92</v>
      </c>
      <c r="C7" s="660" t="s">
        <v>95</v>
      </c>
      <c r="D7" s="661"/>
      <c r="E7" s="42">
        <v>50.67</v>
      </c>
      <c r="F7" s="545">
        <v>1635</v>
      </c>
      <c r="G7" s="533">
        <f t="shared" si="0"/>
        <v>82845.45</v>
      </c>
      <c r="H7" s="37" t="s">
        <v>91</v>
      </c>
      <c r="I7" s="543">
        <v>15</v>
      </c>
      <c r="J7" s="39">
        <v>2000</v>
      </c>
      <c r="K7" s="17">
        <f t="shared" si="1"/>
        <v>133.33333333333334</v>
      </c>
      <c r="L7" s="543">
        <v>15</v>
      </c>
      <c r="M7" s="18">
        <f t="shared" si="2"/>
        <v>1923.5294117647065</v>
      </c>
      <c r="N7" s="17">
        <f t="shared" si="3"/>
        <v>128.2352941176471</v>
      </c>
      <c r="O7" s="19">
        <f t="shared" si="4"/>
        <v>0</v>
      </c>
      <c r="P7" s="20">
        <f t="shared" si="5"/>
        <v>-5.0980392156862422</v>
      </c>
      <c r="Q7" s="532">
        <f t="shared" si="6"/>
        <v>0.96176470588235319</v>
      </c>
      <c r="R7" s="637"/>
      <c r="S7" s="40">
        <v>0.79722222222222228</v>
      </c>
      <c r="T7" s="40">
        <v>0.83263888888888893</v>
      </c>
      <c r="U7" s="533">
        <f t="shared" si="10"/>
        <v>4.9999999999999822</v>
      </c>
      <c r="V7" s="544">
        <f t="shared" si="7"/>
        <v>50.999999999999979</v>
      </c>
      <c r="W7" s="23">
        <f>T7</f>
        <v>0.83263888888888893</v>
      </c>
      <c r="X7" s="23">
        <f>S8</f>
        <v>0.87430555555555556</v>
      </c>
      <c r="Y7" s="26"/>
      <c r="Z7" s="26"/>
      <c r="AA7" s="627"/>
      <c r="AB7" s="628"/>
      <c r="AC7" s="27"/>
      <c r="AD7" s="27"/>
      <c r="AE7" s="19">
        <f t="shared" si="8"/>
        <v>-76.470588235293462</v>
      </c>
      <c r="AF7" s="532">
        <f t="shared" si="9"/>
        <v>0.9617647058823533</v>
      </c>
      <c r="AG7" s="637"/>
    </row>
    <row r="8" spans="1:33">
      <c r="A8" s="665" t="s">
        <v>2882</v>
      </c>
      <c r="B8" s="42" t="s">
        <v>92</v>
      </c>
      <c r="C8" s="660" t="s">
        <v>93</v>
      </c>
      <c r="D8" s="661"/>
      <c r="E8" s="42">
        <v>50.92</v>
      </c>
      <c r="F8" s="545">
        <v>1554</v>
      </c>
      <c r="G8" s="533">
        <f t="shared" si="0"/>
        <v>79129.680000000008</v>
      </c>
      <c r="H8" s="37" t="s">
        <v>91</v>
      </c>
      <c r="I8" s="543">
        <v>15</v>
      </c>
      <c r="J8" s="39">
        <v>2000</v>
      </c>
      <c r="K8" s="17">
        <f t="shared" si="1"/>
        <v>133.33333333333334</v>
      </c>
      <c r="L8" s="543">
        <v>15</v>
      </c>
      <c r="M8" s="18">
        <f t="shared" si="2"/>
        <v>1902.8571428571433</v>
      </c>
      <c r="N8" s="17">
        <f t="shared" si="3"/>
        <v>126.85714285714289</v>
      </c>
      <c r="O8" s="19">
        <f t="shared" si="4"/>
        <v>0</v>
      </c>
      <c r="P8" s="20">
        <f t="shared" si="5"/>
        <v>-6.4761904761904532</v>
      </c>
      <c r="Q8" s="532">
        <f t="shared" si="6"/>
        <v>0.95142857142857162</v>
      </c>
      <c r="R8" s="637"/>
      <c r="S8" s="40">
        <v>0.87430555555555556</v>
      </c>
      <c r="T8" s="40">
        <v>0.90833333333333333</v>
      </c>
      <c r="U8" s="533">
        <f t="shared" si="10"/>
        <v>59.999999999999943</v>
      </c>
      <c r="V8" s="544">
        <f t="shared" si="7"/>
        <v>48.999999999999986</v>
      </c>
      <c r="W8" s="28"/>
      <c r="X8" s="28"/>
      <c r="Y8" s="136"/>
      <c r="Z8" s="136"/>
      <c r="AA8" s="627"/>
      <c r="AB8" s="628"/>
      <c r="AC8" s="27"/>
      <c r="AD8" s="27"/>
      <c r="AE8" s="19">
        <f t="shared" si="8"/>
        <v>-97.142857142856656</v>
      </c>
      <c r="AF8" s="532">
        <f t="shared" si="9"/>
        <v>0.95142857142857162</v>
      </c>
      <c r="AG8" s="637"/>
    </row>
    <row r="9" spans="1:33">
      <c r="A9" s="665" t="s">
        <v>2882</v>
      </c>
      <c r="B9" s="42" t="s">
        <v>2883</v>
      </c>
      <c r="C9" s="638"/>
      <c r="D9" s="638"/>
      <c r="E9" s="535"/>
      <c r="F9" s="44"/>
      <c r="G9" s="17"/>
      <c r="H9" s="545"/>
      <c r="I9" s="29">
        <v>15.25</v>
      </c>
      <c r="J9" s="39">
        <v>2000</v>
      </c>
      <c r="K9" s="17">
        <f t="shared" si="1"/>
        <v>131.14754098360655</v>
      </c>
      <c r="L9" s="29">
        <v>15.25</v>
      </c>
      <c r="M9" s="18">
        <f>AVERAGE(M5:M8)</f>
        <v>1919.2466761648388</v>
      </c>
      <c r="N9" s="17">
        <f t="shared" si="3"/>
        <v>125.85224105998944</v>
      </c>
      <c r="O9" s="19">
        <f t="shared" si="4"/>
        <v>0</v>
      </c>
      <c r="P9" s="20">
        <f t="shared" si="5"/>
        <v>-5.2952999236171081</v>
      </c>
      <c r="Q9" s="532">
        <f t="shared" si="6"/>
        <v>0.95962333808241951</v>
      </c>
      <c r="R9" s="637"/>
      <c r="S9" s="40"/>
      <c r="T9" s="40"/>
      <c r="U9" s="533"/>
      <c r="V9" s="544"/>
      <c r="W9" s="17"/>
      <c r="X9" s="17"/>
      <c r="Y9" s="30">
        <f>SUM(Y5:Y8)</f>
        <v>0</v>
      </c>
      <c r="Z9" s="30">
        <f>SUM(Z5:Z8)</f>
        <v>0</v>
      </c>
      <c r="AA9" s="631"/>
      <c r="AB9" s="631"/>
      <c r="AC9" s="30">
        <v>4</v>
      </c>
      <c r="AD9" s="30">
        <f>SUM(AD5:AD8)</f>
        <v>0</v>
      </c>
      <c r="AE9" s="19">
        <f t="shared" si="8"/>
        <v>-80.753323835161154</v>
      </c>
      <c r="AF9" s="532">
        <f t="shared" si="9"/>
        <v>0.9596233380824194</v>
      </c>
      <c r="AG9" s="637"/>
    </row>
    <row r="10" spans="1:33" ht="15.75" customHeight="1">
      <c r="A10" s="659" t="s">
        <v>2884</v>
      </c>
      <c r="B10" s="42" t="s">
        <v>96</v>
      </c>
      <c r="C10" s="660" t="s">
        <v>100</v>
      </c>
      <c r="D10" s="661"/>
      <c r="E10" s="42">
        <v>39.619999999999997</v>
      </c>
      <c r="F10" s="545">
        <v>2800</v>
      </c>
      <c r="G10" s="533">
        <f t="shared" ref="G10:G13" si="11">E10*F10</f>
        <v>110936</v>
      </c>
      <c r="H10" s="37">
        <v>2</v>
      </c>
      <c r="I10" s="543">
        <v>19</v>
      </c>
      <c r="J10" s="39">
        <v>1500</v>
      </c>
      <c r="K10" s="17">
        <f t="shared" si="1"/>
        <v>78.94736842105263</v>
      </c>
      <c r="L10" s="543">
        <v>19</v>
      </c>
      <c r="M10" s="18">
        <f t="shared" ref="M10:M13" si="12">F10/V10*60</f>
        <v>1435.8974358974358</v>
      </c>
      <c r="N10" s="17">
        <f t="shared" si="3"/>
        <v>75.57354925775978</v>
      </c>
      <c r="O10" s="19">
        <f t="shared" si="4"/>
        <v>0</v>
      </c>
      <c r="P10" s="20">
        <f t="shared" si="5"/>
        <v>-3.3738191632928505</v>
      </c>
      <c r="Q10" s="532">
        <f t="shared" si="6"/>
        <v>0.95726495726495719</v>
      </c>
      <c r="R10" s="637">
        <f>Q14</f>
        <v>0.95761710111686105</v>
      </c>
      <c r="S10" s="40">
        <v>8.3333333333333329E-2</v>
      </c>
      <c r="T10" s="40">
        <v>0.16458333333333333</v>
      </c>
      <c r="U10" s="533"/>
      <c r="V10" s="544">
        <f t="shared" ref="V10:V13" si="13">(T10-S10)*24*60</f>
        <v>117.00000000000001</v>
      </c>
      <c r="W10" s="23">
        <f>T10</f>
        <v>0.16458333333333333</v>
      </c>
      <c r="X10" s="23">
        <f>S11</f>
        <v>0.18472222222222223</v>
      </c>
      <c r="Y10" s="23"/>
      <c r="Z10" s="23"/>
      <c r="AA10" s="632"/>
      <c r="AB10" s="632"/>
      <c r="AC10" s="25">
        <v>4</v>
      </c>
      <c r="AD10" s="25"/>
      <c r="AE10" s="19">
        <f t="shared" si="8"/>
        <v>-64.102564102564202</v>
      </c>
      <c r="AF10" s="532">
        <f t="shared" si="9"/>
        <v>0.95726495726495719</v>
      </c>
      <c r="AG10" s="637">
        <f>AF14</f>
        <v>0.95761710111686094</v>
      </c>
    </row>
    <row r="11" spans="1:33" ht="15.75" customHeight="1">
      <c r="A11" s="659" t="s">
        <v>2885</v>
      </c>
      <c r="B11" s="42" t="s">
        <v>96</v>
      </c>
      <c r="C11" s="660" t="s">
        <v>97</v>
      </c>
      <c r="D11" s="661"/>
      <c r="E11" s="42">
        <v>39.799999999999997</v>
      </c>
      <c r="F11" s="545">
        <v>7721</v>
      </c>
      <c r="G11" s="533">
        <f t="shared" si="11"/>
        <v>307295.8</v>
      </c>
      <c r="H11" s="37" t="s">
        <v>91</v>
      </c>
      <c r="I11" s="543">
        <v>17</v>
      </c>
      <c r="J11" s="39">
        <v>1500</v>
      </c>
      <c r="K11" s="17">
        <f t="shared" si="1"/>
        <v>88.235294117647058</v>
      </c>
      <c r="L11" s="543">
        <v>17</v>
      </c>
      <c r="M11" s="18">
        <f t="shared" si="12"/>
        <v>1434.2414860681115</v>
      </c>
      <c r="N11" s="17">
        <f t="shared" si="3"/>
        <v>84.367146239300681</v>
      </c>
      <c r="O11" s="19">
        <f t="shared" si="4"/>
        <v>0</v>
      </c>
      <c r="P11" s="20">
        <f t="shared" si="5"/>
        <v>-3.8681478783463774</v>
      </c>
      <c r="Q11" s="532">
        <f t="shared" si="6"/>
        <v>0.95616099071207439</v>
      </c>
      <c r="R11" s="637"/>
      <c r="S11" s="40">
        <v>0.18472222222222223</v>
      </c>
      <c r="T11" s="40">
        <v>0.40902777777777777</v>
      </c>
      <c r="U11" s="533">
        <f t="shared" ref="U11:U13" si="14">IF(S11=TIME(17,0,0),"",(S11-T10)*24*60)</f>
        <v>29.000000000000018</v>
      </c>
      <c r="V11" s="544">
        <f t="shared" si="13"/>
        <v>323</v>
      </c>
      <c r="W11" s="23"/>
      <c r="X11" s="23"/>
      <c r="Y11" s="23"/>
      <c r="Z11" s="23"/>
      <c r="AA11" s="632"/>
      <c r="AB11" s="632"/>
      <c r="AC11" s="25"/>
      <c r="AD11" s="25"/>
      <c r="AE11" s="19">
        <f t="shared" si="8"/>
        <v>-65.758513931888501</v>
      </c>
      <c r="AF11" s="532">
        <f t="shared" si="9"/>
        <v>0.95616099071207439</v>
      </c>
      <c r="AG11" s="637"/>
    </row>
    <row r="12" spans="1:33" ht="15.75" customHeight="1">
      <c r="A12" s="659" t="s">
        <v>2885</v>
      </c>
      <c r="B12" s="42" t="s">
        <v>96</v>
      </c>
      <c r="C12" s="660" t="s">
        <v>99</v>
      </c>
      <c r="D12" s="661"/>
      <c r="E12" s="42">
        <v>39.520000000000003</v>
      </c>
      <c r="F12" s="545">
        <v>2325</v>
      </c>
      <c r="G12" s="533">
        <f t="shared" si="11"/>
        <v>91884</v>
      </c>
      <c r="H12" s="37" t="s">
        <v>91</v>
      </c>
      <c r="I12" s="543">
        <v>19</v>
      </c>
      <c r="J12" s="39">
        <v>1500</v>
      </c>
      <c r="K12" s="17">
        <f t="shared" si="1"/>
        <v>78.94736842105263</v>
      </c>
      <c r="L12" s="543">
        <v>19</v>
      </c>
      <c r="M12" s="18">
        <f t="shared" si="12"/>
        <v>1438.1443298969077</v>
      </c>
      <c r="N12" s="17">
        <f t="shared" si="3"/>
        <v>75.691806836679348</v>
      </c>
      <c r="O12" s="19">
        <f t="shared" si="4"/>
        <v>0</v>
      </c>
      <c r="P12" s="20">
        <f t="shared" si="5"/>
        <v>-3.2555615843732824</v>
      </c>
      <c r="Q12" s="532">
        <f t="shared" si="6"/>
        <v>0.9587628865979384</v>
      </c>
      <c r="R12" s="637"/>
      <c r="S12" s="40">
        <v>0.41388888888888886</v>
      </c>
      <c r="T12" s="40">
        <v>0.48124999999999996</v>
      </c>
      <c r="U12" s="533">
        <f t="shared" si="14"/>
        <v>6.9999999999999751</v>
      </c>
      <c r="V12" s="544">
        <f t="shared" si="13"/>
        <v>96.999999999999972</v>
      </c>
      <c r="W12" s="23">
        <f>T12</f>
        <v>0.48124999999999996</v>
      </c>
      <c r="X12" s="23">
        <f>S13</f>
        <v>0.52222222222222214</v>
      </c>
      <c r="Y12" s="23"/>
      <c r="Z12" s="23"/>
      <c r="AA12" s="632"/>
      <c r="AB12" s="632"/>
      <c r="AC12" s="25"/>
      <c r="AD12" s="25"/>
      <c r="AE12" s="19">
        <f t="shared" si="8"/>
        <v>-61.85567010309228</v>
      </c>
      <c r="AF12" s="532">
        <f t="shared" si="9"/>
        <v>0.95876288659793851</v>
      </c>
      <c r="AG12" s="637"/>
    </row>
    <row r="13" spans="1:33" ht="15.75" customHeight="1">
      <c r="A13" s="659" t="s">
        <v>2884</v>
      </c>
      <c r="B13" s="42" t="s">
        <v>96</v>
      </c>
      <c r="C13" s="660" t="s">
        <v>100</v>
      </c>
      <c r="D13" s="661"/>
      <c r="E13" s="42">
        <v>39.619999999999997</v>
      </c>
      <c r="F13" s="545">
        <v>2228</v>
      </c>
      <c r="G13" s="533">
        <f t="shared" si="11"/>
        <v>88273.36</v>
      </c>
      <c r="H13" s="37" t="s">
        <v>91</v>
      </c>
      <c r="I13" s="543">
        <v>19</v>
      </c>
      <c r="J13" s="39">
        <v>1500</v>
      </c>
      <c r="K13" s="17">
        <f t="shared" si="1"/>
        <v>78.94736842105263</v>
      </c>
      <c r="L13" s="543">
        <v>19</v>
      </c>
      <c r="M13" s="18">
        <f t="shared" si="12"/>
        <v>1437.41935483871</v>
      </c>
      <c r="N13" s="17">
        <f t="shared" si="3"/>
        <v>75.653650254668946</v>
      </c>
      <c r="O13" s="19">
        <f t="shared" si="4"/>
        <v>0</v>
      </c>
      <c r="P13" s="20">
        <f t="shared" si="5"/>
        <v>-3.2937181663836839</v>
      </c>
      <c r="Q13" s="532">
        <f t="shared" si="6"/>
        <v>0.95827956989247332</v>
      </c>
      <c r="R13" s="637"/>
      <c r="S13" s="40">
        <v>0.52222222222222214</v>
      </c>
      <c r="T13" s="40">
        <v>0.58680555555555547</v>
      </c>
      <c r="U13" s="533">
        <f t="shared" si="14"/>
        <v>58.99999999999995</v>
      </c>
      <c r="V13" s="544">
        <f t="shared" si="13"/>
        <v>92.999999999999986</v>
      </c>
      <c r="W13" s="23"/>
      <c r="X13" s="23"/>
      <c r="Y13" s="23"/>
      <c r="Z13" s="23"/>
      <c r="AA13" s="627"/>
      <c r="AB13" s="628"/>
      <c r="AC13" s="25"/>
      <c r="AD13" s="25"/>
      <c r="AE13" s="19">
        <f t="shared" si="8"/>
        <v>-62.580645161290022</v>
      </c>
      <c r="AF13" s="532">
        <f t="shared" si="9"/>
        <v>0.95827956989247332</v>
      </c>
      <c r="AG13" s="637"/>
    </row>
    <row r="14" spans="1:33" ht="16.5" customHeight="1">
      <c r="A14" s="659" t="s">
        <v>2885</v>
      </c>
      <c r="B14" s="42" t="s">
        <v>2883</v>
      </c>
      <c r="C14" s="638"/>
      <c r="D14" s="638"/>
      <c r="E14" s="535"/>
      <c r="F14" s="39"/>
      <c r="G14" s="18"/>
      <c r="H14" s="545"/>
      <c r="I14" s="29">
        <v>18.5</v>
      </c>
      <c r="J14" s="39">
        <v>1500</v>
      </c>
      <c r="K14" s="17">
        <f t="shared" si="1"/>
        <v>81.081081081081081</v>
      </c>
      <c r="L14" s="29">
        <v>18.5</v>
      </c>
      <c r="M14" s="18">
        <f>AVERAGE(M10:M13)</f>
        <v>1436.4256516752914</v>
      </c>
      <c r="N14" s="17">
        <f t="shared" si="3"/>
        <v>77.644629820286028</v>
      </c>
      <c r="O14" s="19">
        <f t="shared" si="4"/>
        <v>0</v>
      </c>
      <c r="P14" s="20">
        <f t="shared" si="5"/>
        <v>-3.436451260795053</v>
      </c>
      <c r="Q14" s="532">
        <f t="shared" si="6"/>
        <v>0.95761710111686105</v>
      </c>
      <c r="R14" s="637"/>
      <c r="S14" s="40"/>
      <c r="T14" s="40"/>
      <c r="U14" s="17"/>
      <c r="V14" s="544"/>
      <c r="W14" s="17"/>
      <c r="X14" s="17"/>
      <c r="Y14" s="30">
        <f>SUM(Y10:Y13)</f>
        <v>0</v>
      </c>
      <c r="Z14" s="30">
        <f>SUM(Z10:Z13)</f>
        <v>0</v>
      </c>
      <c r="AA14" s="631"/>
      <c r="AB14" s="631"/>
      <c r="AC14" s="30">
        <v>4</v>
      </c>
      <c r="AD14" s="30">
        <f>SUM(AD10:AD13)</f>
        <v>0</v>
      </c>
      <c r="AE14" s="19">
        <f t="shared" si="8"/>
        <v>-63.574348324708581</v>
      </c>
      <c r="AF14" s="532">
        <f t="shared" si="9"/>
        <v>0.95761710111686094</v>
      </c>
      <c r="AG14" s="637"/>
    </row>
    <row r="15" spans="1:33" ht="16.5" customHeight="1">
      <c r="A15" s="657" t="s">
        <v>2886</v>
      </c>
      <c r="B15" s="545" t="s">
        <v>101</v>
      </c>
      <c r="C15" s="653" t="s">
        <v>102</v>
      </c>
      <c r="D15" s="653"/>
      <c r="E15" s="42">
        <v>31.11</v>
      </c>
      <c r="F15" s="545">
        <v>3524</v>
      </c>
      <c r="G15" s="533">
        <f t="shared" ref="G15:G21" si="15">E15*F15</f>
        <v>109631.64</v>
      </c>
      <c r="H15" s="37" t="s">
        <v>91</v>
      </c>
      <c r="I15" s="543">
        <v>14</v>
      </c>
      <c r="J15" s="39">
        <v>2000</v>
      </c>
      <c r="K15" s="17">
        <f t="shared" si="1"/>
        <v>142.85714285714286</v>
      </c>
      <c r="L15" s="543">
        <v>14</v>
      </c>
      <c r="M15" s="18">
        <f t="shared" ref="M15:M21" si="16">F15/V15*60</f>
        <v>1904.8648648648652</v>
      </c>
      <c r="N15" s="17">
        <f t="shared" si="3"/>
        <v>136.0617760617761</v>
      </c>
      <c r="O15" s="19">
        <f t="shared" si="4"/>
        <v>0</v>
      </c>
      <c r="P15" s="20">
        <f t="shared" si="5"/>
        <v>-6.7953667953667605</v>
      </c>
      <c r="Q15" s="532">
        <f t="shared" si="6"/>
        <v>0.9524324324324327</v>
      </c>
      <c r="R15" s="637">
        <f>Q22</f>
        <v>0.95872923516811892</v>
      </c>
      <c r="S15" s="40">
        <v>0.20833333333333334</v>
      </c>
      <c r="T15" s="40">
        <v>0.28541666666666665</v>
      </c>
      <c r="U15" s="533"/>
      <c r="V15" s="544">
        <f t="shared" ref="V15:V21" si="17">(T15-S15)*24*60</f>
        <v>110.99999999999997</v>
      </c>
      <c r="W15" s="23"/>
      <c r="X15" s="23"/>
      <c r="Y15" s="28"/>
      <c r="Z15" s="28"/>
      <c r="AA15" s="632"/>
      <c r="AB15" s="632"/>
      <c r="AC15" s="25">
        <v>7</v>
      </c>
      <c r="AD15" s="25"/>
      <c r="AE15" s="19">
        <f t="shared" si="8"/>
        <v>-95.13513513513476</v>
      </c>
      <c r="AF15" s="532">
        <f t="shared" si="9"/>
        <v>0.95243243243243259</v>
      </c>
      <c r="AG15" s="637">
        <f>AF22</f>
        <v>0.95872923516811892</v>
      </c>
    </row>
    <row r="16" spans="1:33" ht="16.5" customHeight="1">
      <c r="A16" s="658" t="s">
        <v>2886</v>
      </c>
      <c r="B16" s="545" t="s">
        <v>103</v>
      </c>
      <c r="C16" s="653" t="s">
        <v>105</v>
      </c>
      <c r="D16" s="653"/>
      <c r="E16" s="42">
        <v>41</v>
      </c>
      <c r="F16" s="545">
        <v>1720</v>
      </c>
      <c r="G16" s="533">
        <f t="shared" si="15"/>
        <v>70520</v>
      </c>
      <c r="H16" s="37" t="s">
        <v>91</v>
      </c>
      <c r="I16" s="543">
        <v>26</v>
      </c>
      <c r="J16" s="39">
        <v>1500</v>
      </c>
      <c r="K16" s="17">
        <f t="shared" si="1"/>
        <v>57.692307692307693</v>
      </c>
      <c r="L16" s="543">
        <v>26</v>
      </c>
      <c r="M16" s="18">
        <f t="shared" si="16"/>
        <v>1433.3333333333335</v>
      </c>
      <c r="N16" s="17">
        <f t="shared" si="3"/>
        <v>55.128205128205131</v>
      </c>
      <c r="O16" s="19">
        <f t="shared" si="4"/>
        <v>0</v>
      </c>
      <c r="P16" s="20">
        <f t="shared" si="5"/>
        <v>-2.5641025641025621</v>
      </c>
      <c r="Q16" s="532">
        <f t="shared" si="6"/>
        <v>0.9555555555555556</v>
      </c>
      <c r="R16" s="637"/>
      <c r="S16" s="40">
        <v>0.29097222222222219</v>
      </c>
      <c r="T16" s="40">
        <v>0.34097222222222218</v>
      </c>
      <c r="U16" s="533">
        <f t="shared" ref="U16:U21" si="18">IF(S16=TIME(17,0,0),"",(S16-T15)*24*60)</f>
        <v>7.9999999999999716</v>
      </c>
      <c r="V16" s="544">
        <f t="shared" si="17"/>
        <v>71.999999999999986</v>
      </c>
      <c r="W16" s="23"/>
      <c r="X16" s="23"/>
      <c r="Y16" s="23"/>
      <c r="Z16" s="23"/>
      <c r="AA16" s="632"/>
      <c r="AB16" s="632"/>
      <c r="AC16" s="25"/>
      <c r="AD16" s="25"/>
      <c r="AE16" s="19">
        <f t="shared" si="8"/>
        <v>-66.666666666666515</v>
      </c>
      <c r="AF16" s="532">
        <f t="shared" si="9"/>
        <v>0.9555555555555556</v>
      </c>
      <c r="AG16" s="637"/>
    </row>
    <row r="17" spans="1:33" ht="16.5" customHeight="1">
      <c r="A17" s="658" t="s">
        <v>2887</v>
      </c>
      <c r="B17" s="545" t="s">
        <v>101</v>
      </c>
      <c r="C17" s="653" t="s">
        <v>2402</v>
      </c>
      <c r="D17" s="653"/>
      <c r="E17" s="42">
        <v>68.88</v>
      </c>
      <c r="F17" s="545">
        <v>3315</v>
      </c>
      <c r="G17" s="533">
        <f t="shared" si="15"/>
        <v>228337.19999999998</v>
      </c>
      <c r="H17" s="37" t="s">
        <v>91</v>
      </c>
      <c r="I17" s="543">
        <v>16</v>
      </c>
      <c r="J17" s="39">
        <v>2000</v>
      </c>
      <c r="K17" s="17">
        <f t="shared" si="1"/>
        <v>125</v>
      </c>
      <c r="L17" s="543">
        <v>16</v>
      </c>
      <c r="M17" s="18">
        <f t="shared" si="16"/>
        <v>1912.4999999999995</v>
      </c>
      <c r="N17" s="17">
        <f t="shared" si="3"/>
        <v>119.53124999999997</v>
      </c>
      <c r="O17" s="19">
        <f t="shared" si="4"/>
        <v>0</v>
      </c>
      <c r="P17" s="20">
        <f t="shared" si="5"/>
        <v>-5.4687500000000284</v>
      </c>
      <c r="Q17" s="532">
        <f t="shared" si="6"/>
        <v>0.95624999999999982</v>
      </c>
      <c r="R17" s="637"/>
      <c r="S17" s="40">
        <v>0.34583333333333327</v>
      </c>
      <c r="T17" s="40">
        <v>0.41805555555555551</v>
      </c>
      <c r="U17" s="533">
        <f t="shared" si="18"/>
        <v>6.9999999999999751</v>
      </c>
      <c r="V17" s="544">
        <f t="shared" si="17"/>
        <v>104.00000000000003</v>
      </c>
      <c r="W17" s="23"/>
      <c r="X17" s="23"/>
      <c r="Y17" s="23"/>
      <c r="Z17" s="23"/>
      <c r="AA17" s="632"/>
      <c r="AB17" s="632"/>
      <c r="AC17" s="25"/>
      <c r="AD17" s="25"/>
      <c r="AE17" s="19">
        <f t="shared" si="8"/>
        <v>-87.500000000000455</v>
      </c>
      <c r="AF17" s="532">
        <f t="shared" si="9"/>
        <v>0.95624999999999982</v>
      </c>
      <c r="AG17" s="637"/>
    </row>
    <row r="18" spans="1:33" ht="16.5" customHeight="1">
      <c r="A18" s="658" t="s">
        <v>2887</v>
      </c>
      <c r="B18" s="545" t="s">
        <v>96</v>
      </c>
      <c r="C18" s="653" t="s">
        <v>98</v>
      </c>
      <c r="D18" s="653"/>
      <c r="E18" s="42">
        <v>39.46</v>
      </c>
      <c r="F18" s="545">
        <v>2456</v>
      </c>
      <c r="G18" s="533">
        <f t="shared" si="15"/>
        <v>96913.760000000009</v>
      </c>
      <c r="H18" s="37" t="s">
        <v>91</v>
      </c>
      <c r="I18" s="543">
        <v>15</v>
      </c>
      <c r="J18" s="39">
        <v>1500</v>
      </c>
      <c r="K18" s="17">
        <f t="shared" si="1"/>
        <v>100</v>
      </c>
      <c r="L18" s="543">
        <v>15</v>
      </c>
      <c r="M18" s="18">
        <f t="shared" si="16"/>
        <v>1430.6796116504861</v>
      </c>
      <c r="N18" s="17">
        <f t="shared" si="3"/>
        <v>95.378640776699072</v>
      </c>
      <c r="O18" s="19">
        <f t="shared" si="4"/>
        <v>0</v>
      </c>
      <c r="P18" s="20">
        <f t="shared" si="5"/>
        <v>-4.621359223300928</v>
      </c>
      <c r="Q18" s="532">
        <f t="shared" si="6"/>
        <v>0.95378640776699075</v>
      </c>
      <c r="R18" s="637"/>
      <c r="S18" s="40">
        <v>0.42222222222222217</v>
      </c>
      <c r="T18" s="40">
        <v>0.49374999999999991</v>
      </c>
      <c r="U18" s="533">
        <f t="shared" si="18"/>
        <v>5.9999999999999787</v>
      </c>
      <c r="V18" s="544">
        <f t="shared" si="17"/>
        <v>102.99999999999996</v>
      </c>
      <c r="W18" s="23"/>
      <c r="X18" s="23"/>
      <c r="Y18" s="23"/>
      <c r="Z18" s="23"/>
      <c r="AA18" s="632"/>
      <c r="AB18" s="632"/>
      <c r="AC18" s="25"/>
      <c r="AD18" s="25"/>
      <c r="AE18" s="19">
        <f t="shared" si="8"/>
        <v>-69.320388349513905</v>
      </c>
      <c r="AF18" s="532">
        <f t="shared" si="9"/>
        <v>0.95378640776699075</v>
      </c>
      <c r="AG18" s="637"/>
    </row>
    <row r="19" spans="1:33" ht="16.5" customHeight="1">
      <c r="A19" s="658" t="s">
        <v>2887</v>
      </c>
      <c r="B19" s="545" t="s">
        <v>92</v>
      </c>
      <c r="C19" s="653" t="s">
        <v>108</v>
      </c>
      <c r="D19" s="653"/>
      <c r="E19" s="42">
        <v>54.5</v>
      </c>
      <c r="F19" s="545">
        <v>1403</v>
      </c>
      <c r="G19" s="533">
        <f t="shared" si="15"/>
        <v>76463.5</v>
      </c>
      <c r="H19" s="37" t="s">
        <v>91</v>
      </c>
      <c r="I19" s="543">
        <v>19</v>
      </c>
      <c r="J19" s="39">
        <v>1500</v>
      </c>
      <c r="K19" s="17">
        <f t="shared" si="1"/>
        <v>78.94736842105263</v>
      </c>
      <c r="L19" s="543">
        <v>19</v>
      </c>
      <c r="M19" s="18">
        <f t="shared" si="16"/>
        <v>1451.3793103448286</v>
      </c>
      <c r="N19" s="17">
        <f t="shared" si="3"/>
        <v>76.38838475499098</v>
      </c>
      <c r="O19" s="19">
        <f t="shared" si="4"/>
        <v>0</v>
      </c>
      <c r="P19" s="20">
        <f t="shared" si="5"/>
        <v>-2.5589836660616498</v>
      </c>
      <c r="Q19" s="532">
        <f t="shared" si="6"/>
        <v>0.96758620689655239</v>
      </c>
      <c r="R19" s="637"/>
      <c r="S19" s="40">
        <v>0.70833333333333337</v>
      </c>
      <c r="T19" s="40">
        <v>0.74861111111111112</v>
      </c>
      <c r="U19" s="533" t="str">
        <f t="shared" si="18"/>
        <v/>
      </c>
      <c r="V19" s="544">
        <f t="shared" si="17"/>
        <v>57.999999999999957</v>
      </c>
      <c r="W19" s="23"/>
      <c r="X19" s="23"/>
      <c r="Y19" s="23"/>
      <c r="Z19" s="23"/>
      <c r="AA19" s="632"/>
      <c r="AB19" s="632"/>
      <c r="AC19" s="25"/>
      <c r="AD19" s="25"/>
      <c r="AE19" s="19">
        <f t="shared" si="8"/>
        <v>-48.620689655171418</v>
      </c>
      <c r="AF19" s="532">
        <f t="shared" si="9"/>
        <v>0.96758620689655239</v>
      </c>
      <c r="AG19" s="637"/>
    </row>
    <row r="20" spans="1:33" ht="16.5" customHeight="1">
      <c r="A20" s="658" t="s">
        <v>2886</v>
      </c>
      <c r="B20" s="545" t="s">
        <v>92</v>
      </c>
      <c r="C20" s="541" t="s">
        <v>107</v>
      </c>
      <c r="D20" s="542"/>
      <c r="E20" s="42">
        <v>50.67</v>
      </c>
      <c r="F20" s="545">
        <v>1900</v>
      </c>
      <c r="G20" s="533">
        <f t="shared" si="15"/>
        <v>96273</v>
      </c>
      <c r="H20" s="37" t="s">
        <v>91</v>
      </c>
      <c r="I20" s="543">
        <v>17</v>
      </c>
      <c r="J20" s="39">
        <v>2000</v>
      </c>
      <c r="K20" s="17">
        <f t="shared" si="1"/>
        <v>117.64705882352941</v>
      </c>
      <c r="L20" s="543">
        <v>17</v>
      </c>
      <c r="M20" s="18">
        <f t="shared" si="16"/>
        <v>1932.2033898305099</v>
      </c>
      <c r="N20" s="17">
        <f t="shared" si="3"/>
        <v>113.65902293120647</v>
      </c>
      <c r="O20" s="19">
        <f t="shared" si="4"/>
        <v>0</v>
      </c>
      <c r="P20" s="20">
        <f t="shared" si="5"/>
        <v>-3.9880358923229409</v>
      </c>
      <c r="Q20" s="532">
        <f t="shared" si="6"/>
        <v>0.96610169491525499</v>
      </c>
      <c r="R20" s="637"/>
      <c r="S20" s="40">
        <v>0.75208333333333333</v>
      </c>
      <c r="T20" s="40">
        <v>0.79305555555555551</v>
      </c>
      <c r="U20" s="533">
        <f t="shared" si="18"/>
        <v>4.9999999999999822</v>
      </c>
      <c r="V20" s="544">
        <f t="shared" si="17"/>
        <v>58.99999999999995</v>
      </c>
      <c r="W20" s="23"/>
      <c r="X20" s="23"/>
      <c r="Y20" s="26"/>
      <c r="Z20" s="26"/>
      <c r="AA20" s="539"/>
      <c r="AB20" s="540"/>
      <c r="AC20" s="25"/>
      <c r="AD20" s="25"/>
      <c r="AE20" s="19">
        <f t="shared" si="8"/>
        <v>-67.796610169490123</v>
      </c>
      <c r="AF20" s="532">
        <f t="shared" si="9"/>
        <v>0.96610169491525499</v>
      </c>
      <c r="AG20" s="637"/>
    </row>
    <row r="21" spans="1:33" ht="16.5" customHeight="1">
      <c r="A21" s="658" t="s">
        <v>2886</v>
      </c>
      <c r="B21" s="545" t="s">
        <v>92</v>
      </c>
      <c r="C21" s="541" t="s">
        <v>109</v>
      </c>
      <c r="D21" s="542"/>
      <c r="E21" s="42">
        <v>50.49</v>
      </c>
      <c r="F21" s="545">
        <v>2271</v>
      </c>
      <c r="G21" s="533">
        <f t="shared" si="15"/>
        <v>114662.79000000001</v>
      </c>
      <c r="H21" s="37" t="s">
        <v>91</v>
      </c>
      <c r="I21" s="543">
        <v>15</v>
      </c>
      <c r="J21" s="39">
        <v>2000</v>
      </c>
      <c r="K21" s="17">
        <f t="shared" si="1"/>
        <v>133.33333333333334</v>
      </c>
      <c r="L21" s="543">
        <v>15</v>
      </c>
      <c r="M21" s="18">
        <f t="shared" si="16"/>
        <v>1919.154929577463</v>
      </c>
      <c r="N21" s="17">
        <f t="shared" si="3"/>
        <v>127.94366197183086</v>
      </c>
      <c r="O21" s="19">
        <f t="shared" si="4"/>
        <v>0</v>
      </c>
      <c r="P21" s="20">
        <f t="shared" si="5"/>
        <v>-5.3896713615024794</v>
      </c>
      <c r="Q21" s="532">
        <f t="shared" si="6"/>
        <v>0.9595774647887314</v>
      </c>
      <c r="R21" s="637"/>
      <c r="S21" s="40">
        <v>0.79652777777777772</v>
      </c>
      <c r="T21" s="40">
        <v>0.84583333333333333</v>
      </c>
      <c r="U21" s="533">
        <f t="shared" si="18"/>
        <v>4.9999999999999822</v>
      </c>
      <c r="V21" s="544">
        <f t="shared" si="17"/>
        <v>71.000000000000071</v>
      </c>
      <c r="W21" s="23"/>
      <c r="X21" s="23"/>
      <c r="Y21" s="26"/>
      <c r="Z21" s="26"/>
      <c r="AA21" s="539"/>
      <c r="AB21" s="540"/>
      <c r="AC21" s="25"/>
      <c r="AD21" s="25"/>
      <c r="AE21" s="19">
        <f t="shared" si="8"/>
        <v>-80.845070422536992</v>
      </c>
      <c r="AF21" s="532">
        <f t="shared" si="9"/>
        <v>0.95957746478873152</v>
      </c>
      <c r="AG21" s="637"/>
    </row>
    <row r="22" spans="1:33" ht="16.5" customHeight="1">
      <c r="A22" s="658" t="s">
        <v>2887</v>
      </c>
      <c r="B22" s="42" t="s">
        <v>2888</v>
      </c>
      <c r="C22" s="638"/>
      <c r="D22" s="638"/>
      <c r="E22" s="535"/>
      <c r="F22" s="44"/>
      <c r="G22" s="17"/>
      <c r="H22" s="545"/>
      <c r="I22" s="29">
        <v>17.428571428571427</v>
      </c>
      <c r="J22" s="39">
        <v>1785.7142857142858</v>
      </c>
      <c r="K22" s="17">
        <f t="shared" si="1"/>
        <v>102.45901639344264</v>
      </c>
      <c r="L22" s="29">
        <v>17.428571428571427</v>
      </c>
      <c r="M22" s="18">
        <f>AVERAGE(M15:M21)</f>
        <v>1712.016491371641</v>
      </c>
      <c r="N22" s="17">
        <f t="shared" si="3"/>
        <v>98.230454422963021</v>
      </c>
      <c r="O22" s="19">
        <f t="shared" si="4"/>
        <v>0</v>
      </c>
      <c r="P22" s="20">
        <f t="shared" si="5"/>
        <v>-4.2285619704796176</v>
      </c>
      <c r="Q22" s="532">
        <f t="shared" si="6"/>
        <v>0.95872923516811892</v>
      </c>
      <c r="R22" s="637"/>
      <c r="S22" s="40"/>
      <c r="T22" s="40"/>
      <c r="U22" s="533"/>
      <c r="V22" s="544"/>
      <c r="W22" s="17"/>
      <c r="X22" s="17"/>
      <c r="Y22" s="30">
        <f>SUM(Y15:Y21)</f>
        <v>0</v>
      </c>
      <c r="Z22" s="30">
        <f>SUM(Z15:Z21)</f>
        <v>0</v>
      </c>
      <c r="AA22" s="631"/>
      <c r="AB22" s="631"/>
      <c r="AC22" s="30">
        <v>7</v>
      </c>
      <c r="AD22" s="30">
        <f>SUM(AD15:AD21)</f>
        <v>0</v>
      </c>
      <c r="AE22" s="19">
        <f t="shared" si="8"/>
        <v>-73.697794342644784</v>
      </c>
      <c r="AF22" s="532">
        <f t="shared" si="9"/>
        <v>0.95872923516811892</v>
      </c>
      <c r="AG22" s="637"/>
    </row>
    <row r="23" spans="1:33" ht="15.75" customHeight="1">
      <c r="A23" s="655" t="s">
        <v>2889</v>
      </c>
      <c r="B23" s="42" t="s">
        <v>92</v>
      </c>
      <c r="C23" s="653" t="s">
        <v>110</v>
      </c>
      <c r="D23" s="653"/>
      <c r="E23" s="42">
        <v>50.67</v>
      </c>
      <c r="F23" s="545">
        <v>1846</v>
      </c>
      <c r="G23" s="533">
        <f t="shared" ref="G23:G28" si="19">E23*F23</f>
        <v>93536.82</v>
      </c>
      <c r="H23" s="37" t="s">
        <v>91</v>
      </c>
      <c r="I23" s="543">
        <v>17</v>
      </c>
      <c r="J23" s="39">
        <v>2000</v>
      </c>
      <c r="K23" s="17">
        <f t="shared" si="1"/>
        <v>117.64705882352941</v>
      </c>
      <c r="L23" s="543">
        <v>17</v>
      </c>
      <c r="M23" s="18">
        <f t="shared" ref="M23:M28" si="20">F23/V23*60</f>
        <v>1909.6551724137933</v>
      </c>
      <c r="N23" s="17">
        <f t="shared" si="3"/>
        <v>112.33265720081137</v>
      </c>
      <c r="O23" s="19">
        <f t="shared" si="4"/>
        <v>0</v>
      </c>
      <c r="P23" s="20">
        <f t="shared" si="5"/>
        <v>-5.3144016227180373</v>
      </c>
      <c r="Q23" s="532">
        <f t="shared" si="6"/>
        <v>0.95482758620689667</v>
      </c>
      <c r="R23" s="637">
        <f>Q29</f>
        <v>0.95812002598622814</v>
      </c>
      <c r="S23" s="40">
        <v>0.20833333333333334</v>
      </c>
      <c r="T23" s="40">
        <v>0.24861111111111112</v>
      </c>
      <c r="U23" s="533"/>
      <c r="V23" s="544">
        <f t="shared" ref="V23:V28" si="21">(T23-S23)*24*60</f>
        <v>57.999999999999993</v>
      </c>
      <c r="W23" s="23"/>
      <c r="X23" s="23"/>
      <c r="Y23" s="28"/>
      <c r="Z23" s="28"/>
      <c r="AA23" s="632"/>
      <c r="AB23" s="632"/>
      <c r="AC23" s="25">
        <v>6</v>
      </c>
      <c r="AD23" s="25"/>
      <c r="AE23" s="19">
        <f t="shared" si="8"/>
        <v>-90.344827586206748</v>
      </c>
      <c r="AF23" s="532">
        <f t="shared" si="9"/>
        <v>0.95482758620689667</v>
      </c>
      <c r="AG23" s="637">
        <f>AF29</f>
        <v>0.95812002598622803</v>
      </c>
    </row>
    <row r="24" spans="1:33" ht="15.75" customHeight="1">
      <c r="A24" s="656" t="s">
        <v>2889</v>
      </c>
      <c r="B24" s="42" t="s">
        <v>92</v>
      </c>
      <c r="C24" s="653" t="s">
        <v>111</v>
      </c>
      <c r="D24" s="653"/>
      <c r="E24" s="42">
        <v>57.73</v>
      </c>
      <c r="F24" s="545">
        <v>3303</v>
      </c>
      <c r="G24" s="533">
        <f t="shared" si="19"/>
        <v>190682.19</v>
      </c>
      <c r="H24" s="37" t="s">
        <v>91</v>
      </c>
      <c r="I24" s="543">
        <v>14</v>
      </c>
      <c r="J24" s="39">
        <v>2000</v>
      </c>
      <c r="K24" s="17">
        <f t="shared" si="1"/>
        <v>142.85714285714286</v>
      </c>
      <c r="L24" s="543">
        <v>14</v>
      </c>
      <c r="M24" s="18">
        <f t="shared" si="20"/>
        <v>1905.5769230769226</v>
      </c>
      <c r="N24" s="17">
        <f t="shared" si="3"/>
        <v>136.11263736263734</v>
      </c>
      <c r="O24" s="19">
        <f t="shared" si="4"/>
        <v>0</v>
      </c>
      <c r="P24" s="20">
        <f t="shared" si="5"/>
        <v>-6.7445054945055176</v>
      </c>
      <c r="Q24" s="532">
        <f t="shared" si="6"/>
        <v>0.95278846153846142</v>
      </c>
      <c r="R24" s="637"/>
      <c r="S24" s="40">
        <v>0.25277777777777777</v>
      </c>
      <c r="T24" s="40">
        <v>0.32500000000000001</v>
      </c>
      <c r="U24" s="533">
        <f t="shared" ref="U24:U28" si="22">IF(S24=TIME(17,0,0),"",(S24-T23)*24*60)</f>
        <v>5.9999999999999787</v>
      </c>
      <c r="V24" s="544">
        <f t="shared" si="21"/>
        <v>104.00000000000003</v>
      </c>
      <c r="W24" s="23"/>
      <c r="X24" s="533"/>
      <c r="Y24" s="533"/>
      <c r="Z24" s="533"/>
      <c r="AA24" s="632"/>
      <c r="AB24" s="632"/>
      <c r="AC24" s="25"/>
      <c r="AD24" s="25"/>
      <c r="AE24" s="19">
        <f t="shared" si="8"/>
        <v>-94.42307692307736</v>
      </c>
      <c r="AF24" s="532">
        <f t="shared" si="9"/>
        <v>0.95278846153846131</v>
      </c>
      <c r="AG24" s="637"/>
    </row>
    <row r="25" spans="1:33" ht="15.75" customHeight="1">
      <c r="A25" s="656" t="s">
        <v>2889</v>
      </c>
      <c r="B25" s="42" t="s">
        <v>92</v>
      </c>
      <c r="C25" s="653" t="s">
        <v>112</v>
      </c>
      <c r="D25" s="653"/>
      <c r="E25" s="42">
        <v>53.27</v>
      </c>
      <c r="F25" s="545">
        <v>2153</v>
      </c>
      <c r="G25" s="533">
        <f t="shared" si="19"/>
        <v>114690.31000000001</v>
      </c>
      <c r="H25" s="37" t="s">
        <v>91</v>
      </c>
      <c r="I25" s="543">
        <v>16</v>
      </c>
      <c r="J25" s="39">
        <v>2000</v>
      </c>
      <c r="K25" s="17">
        <f t="shared" si="1"/>
        <v>125</v>
      </c>
      <c r="L25" s="543">
        <v>16</v>
      </c>
      <c r="M25" s="18">
        <f t="shared" si="20"/>
        <v>1928.0597014925372</v>
      </c>
      <c r="N25" s="17">
        <f t="shared" si="3"/>
        <v>120.50373134328358</v>
      </c>
      <c r="O25" s="19">
        <f t="shared" si="4"/>
        <v>0</v>
      </c>
      <c r="P25" s="20">
        <f t="shared" si="5"/>
        <v>-4.4962686567164241</v>
      </c>
      <c r="Q25" s="532">
        <f t="shared" si="6"/>
        <v>0.96402985074626857</v>
      </c>
      <c r="R25" s="637"/>
      <c r="S25" s="40">
        <v>0.3298611111111111</v>
      </c>
      <c r="T25" s="40">
        <v>0.37638888888888888</v>
      </c>
      <c r="U25" s="533">
        <f t="shared" si="22"/>
        <v>6.9999999999999751</v>
      </c>
      <c r="V25" s="544">
        <f t="shared" si="21"/>
        <v>67</v>
      </c>
      <c r="W25" s="23"/>
      <c r="X25" s="533"/>
      <c r="Y25" s="533"/>
      <c r="Z25" s="533"/>
      <c r="AA25" s="632"/>
      <c r="AB25" s="632"/>
      <c r="AC25" s="25"/>
      <c r="AD25" s="25"/>
      <c r="AE25" s="19">
        <f t="shared" si="8"/>
        <v>-71.940298507462785</v>
      </c>
      <c r="AF25" s="532">
        <f t="shared" si="9"/>
        <v>0.96402985074626857</v>
      </c>
      <c r="AG25" s="637"/>
    </row>
    <row r="26" spans="1:33" ht="15.75" customHeight="1">
      <c r="A26" s="656" t="s">
        <v>2889</v>
      </c>
      <c r="B26" s="42" t="s">
        <v>92</v>
      </c>
      <c r="C26" s="653" t="s">
        <v>133</v>
      </c>
      <c r="D26" s="653"/>
      <c r="E26" s="42">
        <v>59.04</v>
      </c>
      <c r="F26" s="545">
        <v>1286</v>
      </c>
      <c r="G26" s="533">
        <f t="shared" si="19"/>
        <v>75925.440000000002</v>
      </c>
      <c r="H26" s="37" t="s">
        <v>91</v>
      </c>
      <c r="I26" s="543">
        <v>19</v>
      </c>
      <c r="J26" s="39">
        <v>2000</v>
      </c>
      <c r="K26" s="17">
        <f t="shared" si="1"/>
        <v>105.26315789473684</v>
      </c>
      <c r="L26" s="543">
        <v>19</v>
      </c>
      <c r="M26" s="18">
        <f t="shared" si="20"/>
        <v>1928.9999999999995</v>
      </c>
      <c r="N26" s="17">
        <f t="shared" si="3"/>
        <v>101.52631578947366</v>
      </c>
      <c r="O26" s="19">
        <f t="shared" si="4"/>
        <v>0</v>
      </c>
      <c r="P26" s="20">
        <f t="shared" si="5"/>
        <v>-3.7368421052631788</v>
      </c>
      <c r="Q26" s="532">
        <f t="shared" si="6"/>
        <v>0.9644999999999998</v>
      </c>
      <c r="R26" s="637"/>
      <c r="S26" s="40">
        <v>0.37986111111111109</v>
      </c>
      <c r="T26" s="40">
        <v>0.40763888888888888</v>
      </c>
      <c r="U26" s="533">
        <f t="shared" si="22"/>
        <v>4.9999999999999822</v>
      </c>
      <c r="V26" s="544">
        <f t="shared" si="21"/>
        <v>40.000000000000014</v>
      </c>
      <c r="W26" s="23"/>
      <c r="X26" s="533"/>
      <c r="Y26" s="533"/>
      <c r="Z26" s="533"/>
      <c r="AA26" s="632"/>
      <c r="AB26" s="632"/>
      <c r="AC26" s="25"/>
      <c r="AD26" s="25"/>
      <c r="AE26" s="19">
        <f t="shared" si="8"/>
        <v>-71.000000000000455</v>
      </c>
      <c r="AF26" s="532">
        <f t="shared" si="9"/>
        <v>0.9644999999999998</v>
      </c>
      <c r="AG26" s="637"/>
    </row>
    <row r="27" spans="1:33" ht="15.75" customHeight="1">
      <c r="A27" s="656" t="s">
        <v>2889</v>
      </c>
      <c r="B27" s="42" t="s">
        <v>92</v>
      </c>
      <c r="C27" s="653" t="s">
        <v>140</v>
      </c>
      <c r="D27" s="653"/>
      <c r="E27" s="42">
        <v>51.06</v>
      </c>
      <c r="F27" s="545">
        <v>3207</v>
      </c>
      <c r="G27" s="533">
        <f t="shared" si="19"/>
        <v>163749.42000000001</v>
      </c>
      <c r="H27" s="37" t="s">
        <v>91</v>
      </c>
      <c r="I27" s="543">
        <v>13</v>
      </c>
      <c r="J27" s="39">
        <v>2000</v>
      </c>
      <c r="K27" s="17">
        <f t="shared" si="1"/>
        <v>153.84615384615384</v>
      </c>
      <c r="L27" s="543">
        <v>13</v>
      </c>
      <c r="M27" s="18">
        <f t="shared" si="20"/>
        <v>1905.148514851486</v>
      </c>
      <c r="N27" s="17">
        <f t="shared" si="3"/>
        <v>146.54988575780661</v>
      </c>
      <c r="O27" s="19">
        <f t="shared" si="4"/>
        <v>0</v>
      </c>
      <c r="P27" s="20">
        <f t="shared" si="5"/>
        <v>-7.2962680883472331</v>
      </c>
      <c r="Q27" s="532">
        <f t="shared" si="6"/>
        <v>0.95257425742574298</v>
      </c>
      <c r="R27" s="637"/>
      <c r="S27" s="40">
        <v>0.70833333333333337</v>
      </c>
      <c r="T27" s="40">
        <v>0.77847222222222223</v>
      </c>
      <c r="U27" s="533" t="str">
        <f t="shared" si="22"/>
        <v/>
      </c>
      <c r="V27" s="544">
        <f t="shared" si="21"/>
        <v>100.99999999999996</v>
      </c>
      <c r="W27" s="23"/>
      <c r="X27" s="23"/>
      <c r="Y27" s="533"/>
      <c r="Z27" s="533"/>
      <c r="AA27" s="632"/>
      <c r="AB27" s="632"/>
      <c r="AC27" s="25"/>
      <c r="AD27" s="25"/>
      <c r="AE27" s="19">
        <f t="shared" si="8"/>
        <v>-94.85148514851403</v>
      </c>
      <c r="AF27" s="532">
        <f t="shared" si="9"/>
        <v>0.95257425742574298</v>
      </c>
      <c r="AG27" s="637"/>
    </row>
    <row r="28" spans="1:33" ht="15.75" customHeight="1">
      <c r="A28" s="656" t="s">
        <v>2889</v>
      </c>
      <c r="B28" s="42" t="s">
        <v>92</v>
      </c>
      <c r="C28" s="653" t="s">
        <v>114</v>
      </c>
      <c r="D28" s="653"/>
      <c r="E28" s="42">
        <v>54.09</v>
      </c>
      <c r="F28" s="545">
        <v>2528</v>
      </c>
      <c r="G28" s="533">
        <f t="shared" si="19"/>
        <v>136739.52000000002</v>
      </c>
      <c r="H28" s="37" t="s">
        <v>91</v>
      </c>
      <c r="I28" s="543">
        <v>18</v>
      </c>
      <c r="J28" s="39">
        <v>2000</v>
      </c>
      <c r="K28" s="17">
        <f t="shared" si="1"/>
        <v>111.11111111111111</v>
      </c>
      <c r="L28" s="543">
        <v>18</v>
      </c>
      <c r="M28" s="18">
        <f t="shared" si="20"/>
        <v>1919.9999999999989</v>
      </c>
      <c r="N28" s="17">
        <f t="shared" si="3"/>
        <v>106.6666666666666</v>
      </c>
      <c r="O28" s="19">
        <f t="shared" si="4"/>
        <v>0</v>
      </c>
      <c r="P28" s="20">
        <f t="shared" si="5"/>
        <v>-4.4444444444445139</v>
      </c>
      <c r="Q28" s="532">
        <f t="shared" si="6"/>
        <v>0.95999999999999941</v>
      </c>
      <c r="R28" s="637"/>
      <c r="S28" s="40">
        <v>0.78194444444444444</v>
      </c>
      <c r="T28" s="40">
        <v>0.83680555555555558</v>
      </c>
      <c r="U28" s="533">
        <f t="shared" si="22"/>
        <v>4.9999999999999822</v>
      </c>
      <c r="V28" s="544">
        <f t="shared" si="21"/>
        <v>79.000000000000043</v>
      </c>
      <c r="W28" s="23"/>
      <c r="X28" s="28"/>
      <c r="Y28" s="28"/>
      <c r="Z28" s="28"/>
      <c r="AA28" s="632"/>
      <c r="AB28" s="632"/>
      <c r="AC28" s="25"/>
      <c r="AD28" s="25"/>
      <c r="AE28" s="19">
        <f t="shared" si="8"/>
        <v>-80.000000000001137</v>
      </c>
      <c r="AF28" s="532">
        <f t="shared" si="9"/>
        <v>0.95999999999999941</v>
      </c>
      <c r="AG28" s="637"/>
    </row>
    <row r="29" spans="1:33" ht="15.75" customHeight="1">
      <c r="A29" s="656" t="s">
        <v>2889</v>
      </c>
      <c r="B29" s="42" t="s">
        <v>2888</v>
      </c>
      <c r="C29" s="638"/>
      <c r="D29" s="638"/>
      <c r="E29" s="535"/>
      <c r="F29" s="545"/>
      <c r="G29" s="533"/>
      <c r="H29" s="545"/>
      <c r="I29" s="29">
        <v>16.166666666666668</v>
      </c>
      <c r="J29" s="39">
        <v>2000</v>
      </c>
      <c r="K29" s="17">
        <f t="shared" si="1"/>
        <v>123.71134020618555</v>
      </c>
      <c r="L29" s="29">
        <v>16.166666666666668</v>
      </c>
      <c r="M29" s="18">
        <f>AVERAGE(M23:M28)</f>
        <v>1916.2400519724561</v>
      </c>
      <c r="N29" s="17">
        <f t="shared" si="3"/>
        <v>118.53031249314161</v>
      </c>
      <c r="O29" s="19">
        <f t="shared" si="4"/>
        <v>0</v>
      </c>
      <c r="P29" s="20">
        <f t="shared" si="5"/>
        <v>-5.1810277130439459</v>
      </c>
      <c r="Q29" s="532">
        <f t="shared" si="6"/>
        <v>0.95812002598622814</v>
      </c>
      <c r="R29" s="637"/>
      <c r="S29" s="40"/>
      <c r="T29" s="40"/>
      <c r="U29" s="17"/>
      <c r="V29" s="544"/>
      <c r="W29" s="17"/>
      <c r="X29" s="17"/>
      <c r="Y29" s="30">
        <f>SUM(Y23:Y28)</f>
        <v>0</v>
      </c>
      <c r="Z29" s="30">
        <f>SUM(Z23:Z28)</f>
        <v>0</v>
      </c>
      <c r="AA29" s="631"/>
      <c r="AB29" s="631"/>
      <c r="AC29" s="30">
        <v>6</v>
      </c>
      <c r="AD29" s="30">
        <f>SUM(AD23:AD28)</f>
        <v>0</v>
      </c>
      <c r="AE29" s="19">
        <f t="shared" si="8"/>
        <v>-83.759948027543942</v>
      </c>
      <c r="AF29" s="532">
        <f t="shared" si="9"/>
        <v>0.95812002598622803</v>
      </c>
      <c r="AG29" s="637"/>
    </row>
    <row r="30" spans="1:33" ht="15.75" customHeight="1">
      <c r="A30" s="654" t="s">
        <v>2890</v>
      </c>
      <c r="B30" s="42" t="s">
        <v>116</v>
      </c>
      <c r="C30" s="653" t="s">
        <v>117</v>
      </c>
      <c r="D30" s="653"/>
      <c r="E30" s="42">
        <v>31.29</v>
      </c>
      <c r="F30" s="545">
        <v>5800</v>
      </c>
      <c r="G30" s="533">
        <f t="shared" ref="G30:G36" si="23">E30*F30</f>
        <v>181482</v>
      </c>
      <c r="H30" s="37">
        <v>2</v>
      </c>
      <c r="I30" s="543">
        <v>18</v>
      </c>
      <c r="J30" s="39">
        <v>2400</v>
      </c>
      <c r="K30" s="17">
        <f t="shared" si="1"/>
        <v>133.33333333333334</v>
      </c>
      <c r="L30" s="543">
        <v>18</v>
      </c>
      <c r="M30" s="18">
        <f t="shared" ref="M30:M36" si="24">F30/V30*60</f>
        <v>2289.4736842105262</v>
      </c>
      <c r="N30" s="17">
        <f t="shared" si="3"/>
        <v>127.19298245614034</v>
      </c>
      <c r="O30" s="19">
        <f t="shared" si="4"/>
        <v>0</v>
      </c>
      <c r="P30" s="20">
        <f t="shared" si="5"/>
        <v>-6.1403508771930007</v>
      </c>
      <c r="Q30" s="532">
        <f t="shared" si="6"/>
        <v>0.95394736842105254</v>
      </c>
      <c r="R30" s="637">
        <f>Q37</f>
        <v>0.95513936737169935</v>
      </c>
      <c r="S30" s="40">
        <v>8.3333333333333329E-2</v>
      </c>
      <c r="T30" s="40">
        <v>0.18888888888888888</v>
      </c>
      <c r="U30" s="533"/>
      <c r="V30" s="544">
        <f t="shared" ref="V30:V36" si="25">(T30-S30)*24*60</f>
        <v>152</v>
      </c>
      <c r="W30" s="23">
        <f>T30</f>
        <v>0.18888888888888888</v>
      </c>
      <c r="X30" s="23">
        <f>S31</f>
        <v>0.20624999999999996</v>
      </c>
      <c r="Y30" s="23"/>
      <c r="Z30" s="23"/>
      <c r="AA30" s="632"/>
      <c r="AB30" s="632"/>
      <c r="AC30" s="25">
        <v>7</v>
      </c>
      <c r="AD30" s="25"/>
      <c r="AE30" s="19">
        <f t="shared" si="8"/>
        <v>-110.52631578947376</v>
      </c>
      <c r="AF30" s="532">
        <f t="shared" si="9"/>
        <v>0.95394736842105265</v>
      </c>
      <c r="AG30" s="637">
        <f>AF37</f>
        <v>0.95513936737169947</v>
      </c>
    </row>
    <row r="31" spans="1:33" ht="15.75" customHeight="1">
      <c r="A31" s="654" t="s">
        <v>2891</v>
      </c>
      <c r="B31" s="42" t="s">
        <v>116</v>
      </c>
      <c r="C31" s="653" t="s">
        <v>118</v>
      </c>
      <c r="D31" s="653"/>
      <c r="E31" s="42">
        <v>26.37</v>
      </c>
      <c r="F31" s="545">
        <v>4200</v>
      </c>
      <c r="G31" s="533">
        <f t="shared" si="23"/>
        <v>110754</v>
      </c>
      <c r="H31" s="37">
        <v>2</v>
      </c>
      <c r="I31" s="543">
        <v>18</v>
      </c>
      <c r="J31" s="39">
        <v>2400</v>
      </c>
      <c r="K31" s="17">
        <f t="shared" si="1"/>
        <v>133.33333333333334</v>
      </c>
      <c r="L31" s="543">
        <v>18</v>
      </c>
      <c r="M31" s="18">
        <f t="shared" si="24"/>
        <v>2290.9090909090914</v>
      </c>
      <c r="N31" s="17">
        <f t="shared" si="3"/>
        <v>127.27272727272731</v>
      </c>
      <c r="O31" s="19">
        <f t="shared" si="4"/>
        <v>0</v>
      </c>
      <c r="P31" s="20">
        <f t="shared" si="5"/>
        <v>-6.0606060606060339</v>
      </c>
      <c r="Q31" s="532">
        <f t="shared" si="6"/>
        <v>0.9545454545454547</v>
      </c>
      <c r="R31" s="637"/>
      <c r="S31" s="40">
        <v>0.20624999999999996</v>
      </c>
      <c r="T31" s="40">
        <v>0.28263888888888883</v>
      </c>
      <c r="U31" s="533">
        <f t="shared" ref="U31:U36" si="26">(S31-T30)*24*60</f>
        <v>24.99999999999995</v>
      </c>
      <c r="V31" s="544">
        <f t="shared" si="25"/>
        <v>109.99999999999997</v>
      </c>
      <c r="W31" s="23"/>
      <c r="X31" s="23"/>
      <c r="Y31" s="23"/>
      <c r="Z31" s="23"/>
      <c r="AA31" s="632"/>
      <c r="AB31" s="632"/>
      <c r="AC31" s="25"/>
      <c r="AD31" s="25"/>
      <c r="AE31" s="19">
        <f t="shared" si="8"/>
        <v>-109.09090909090855</v>
      </c>
      <c r="AF31" s="532">
        <f t="shared" si="9"/>
        <v>0.95454545454545481</v>
      </c>
      <c r="AG31" s="637"/>
    </row>
    <row r="32" spans="1:33" ht="15.75" customHeight="1">
      <c r="A32" s="654" t="s">
        <v>2891</v>
      </c>
      <c r="B32" s="42" t="s">
        <v>116</v>
      </c>
      <c r="C32" s="653" t="s">
        <v>124</v>
      </c>
      <c r="D32" s="653"/>
      <c r="E32" s="42">
        <v>24.43</v>
      </c>
      <c r="F32" s="545">
        <v>4500</v>
      </c>
      <c r="G32" s="533">
        <f t="shared" si="23"/>
        <v>109935</v>
      </c>
      <c r="H32" s="37">
        <v>2</v>
      </c>
      <c r="I32" s="543">
        <v>14</v>
      </c>
      <c r="J32" s="39">
        <v>2400</v>
      </c>
      <c r="K32" s="17">
        <f t="shared" si="1"/>
        <v>171.42857142857142</v>
      </c>
      <c r="L32" s="543">
        <v>14</v>
      </c>
      <c r="M32" s="18">
        <f t="shared" si="24"/>
        <v>2288.1355932203396</v>
      </c>
      <c r="N32" s="17">
        <f t="shared" si="3"/>
        <v>163.43825665859569</v>
      </c>
      <c r="O32" s="19">
        <f t="shared" si="4"/>
        <v>0</v>
      </c>
      <c r="P32" s="20">
        <f t="shared" si="5"/>
        <v>-7.9903147699757255</v>
      </c>
      <c r="Q32" s="532">
        <f t="shared" si="6"/>
        <v>0.95338983050847492</v>
      </c>
      <c r="R32" s="637"/>
      <c r="S32" s="40">
        <v>0.28749999999999992</v>
      </c>
      <c r="T32" s="40">
        <v>0.36944444444444435</v>
      </c>
      <c r="U32" s="533">
        <f t="shared" si="26"/>
        <v>6.9999999999999751</v>
      </c>
      <c r="V32" s="544">
        <f t="shared" si="25"/>
        <v>117.99999999999999</v>
      </c>
      <c r="W32" s="23"/>
      <c r="X32" s="23"/>
      <c r="Y32" s="23"/>
      <c r="Z32" s="23"/>
      <c r="AA32" s="632"/>
      <c r="AB32" s="632"/>
      <c r="AC32" s="25"/>
      <c r="AD32" s="25"/>
      <c r="AE32" s="19">
        <f t="shared" si="8"/>
        <v>-111.86440677966038</v>
      </c>
      <c r="AF32" s="532">
        <f t="shared" si="9"/>
        <v>0.95338983050847481</v>
      </c>
      <c r="AG32" s="637"/>
    </row>
    <row r="33" spans="1:33" ht="15.75" customHeight="1">
      <c r="A33" s="654" t="s">
        <v>2891</v>
      </c>
      <c r="B33" s="42" t="s">
        <v>116</v>
      </c>
      <c r="C33" s="653" t="s">
        <v>126</v>
      </c>
      <c r="D33" s="653"/>
      <c r="E33" s="42">
        <v>34.1</v>
      </c>
      <c r="F33" s="545">
        <v>4000</v>
      </c>
      <c r="G33" s="533">
        <f t="shared" si="23"/>
        <v>136400</v>
      </c>
      <c r="H33" s="37">
        <v>2</v>
      </c>
      <c r="I33" s="543">
        <v>17</v>
      </c>
      <c r="J33" s="39">
        <v>1600</v>
      </c>
      <c r="K33" s="17">
        <f t="shared" si="1"/>
        <v>94.117647058823536</v>
      </c>
      <c r="L33" s="543">
        <v>17</v>
      </c>
      <c r="M33" s="18">
        <f t="shared" si="24"/>
        <v>1528.6624203821657</v>
      </c>
      <c r="N33" s="17">
        <f t="shared" si="3"/>
        <v>89.92131884600974</v>
      </c>
      <c r="O33" s="19">
        <f t="shared" si="4"/>
        <v>0</v>
      </c>
      <c r="P33" s="20">
        <f t="shared" si="5"/>
        <v>-4.1963282128137962</v>
      </c>
      <c r="Q33" s="532">
        <f t="shared" si="6"/>
        <v>0.9554140127388534</v>
      </c>
      <c r="R33" s="637"/>
      <c r="S33" s="40">
        <v>0.37430555555555545</v>
      </c>
      <c r="T33" s="40">
        <v>0.48333333333333323</v>
      </c>
      <c r="U33" s="533">
        <f t="shared" si="26"/>
        <v>6.9999999999999751</v>
      </c>
      <c r="V33" s="544">
        <f t="shared" si="25"/>
        <v>157</v>
      </c>
      <c r="W33" s="23">
        <f>T33</f>
        <v>0.48333333333333323</v>
      </c>
      <c r="X33" s="23">
        <f>S34</f>
        <v>0.52222222222222214</v>
      </c>
      <c r="Y33" s="23"/>
      <c r="Z33" s="23"/>
      <c r="AA33" s="632"/>
      <c r="AB33" s="632"/>
      <c r="AC33" s="25"/>
      <c r="AD33" s="25"/>
      <c r="AE33" s="19">
        <f t="shared" si="8"/>
        <v>-71.337579617834308</v>
      </c>
      <c r="AF33" s="532">
        <f t="shared" si="9"/>
        <v>0.95541401273885351</v>
      </c>
      <c r="AG33" s="637"/>
    </row>
    <row r="34" spans="1:33" ht="15.75" customHeight="1">
      <c r="A34" s="654" t="s">
        <v>2891</v>
      </c>
      <c r="B34" s="42" t="s">
        <v>116</v>
      </c>
      <c r="C34" s="653" t="s">
        <v>117</v>
      </c>
      <c r="D34" s="653"/>
      <c r="E34" s="42">
        <v>31.29</v>
      </c>
      <c r="F34" s="545">
        <v>4698</v>
      </c>
      <c r="G34" s="533">
        <f t="shared" si="23"/>
        <v>147000.41999999998</v>
      </c>
      <c r="H34" s="37" t="s">
        <v>91</v>
      </c>
      <c r="I34" s="543">
        <v>18</v>
      </c>
      <c r="J34" s="39">
        <v>2400</v>
      </c>
      <c r="K34" s="17">
        <f t="shared" si="1"/>
        <v>133.33333333333334</v>
      </c>
      <c r="L34" s="543">
        <v>18</v>
      </c>
      <c r="M34" s="18">
        <f t="shared" si="24"/>
        <v>2291.7073170731701</v>
      </c>
      <c r="N34" s="17">
        <f t="shared" si="3"/>
        <v>127.31707317073167</v>
      </c>
      <c r="O34" s="19">
        <f t="shared" si="4"/>
        <v>0</v>
      </c>
      <c r="P34" s="20">
        <f t="shared" si="5"/>
        <v>-6.0162601626016681</v>
      </c>
      <c r="Q34" s="532">
        <f t="shared" si="6"/>
        <v>0.95487804878048754</v>
      </c>
      <c r="R34" s="637"/>
      <c r="S34" s="40">
        <v>0.52222222222222214</v>
      </c>
      <c r="T34" s="40">
        <v>0.60763888888888884</v>
      </c>
      <c r="U34" s="533">
        <f t="shared" si="26"/>
        <v>56.000000000000043</v>
      </c>
      <c r="V34" s="544">
        <f t="shared" si="25"/>
        <v>123.00000000000004</v>
      </c>
      <c r="W34" s="23"/>
      <c r="X34" s="23"/>
      <c r="Y34" s="23"/>
      <c r="Z34" s="23"/>
      <c r="AA34" s="632"/>
      <c r="AB34" s="632"/>
      <c r="AC34" s="25"/>
      <c r="AD34" s="25"/>
      <c r="AE34" s="19">
        <f t="shared" si="8"/>
        <v>-108.29268292682991</v>
      </c>
      <c r="AF34" s="532">
        <f t="shared" si="9"/>
        <v>0.95487804878048754</v>
      </c>
      <c r="AG34" s="637"/>
    </row>
    <row r="35" spans="1:33" ht="15.75" customHeight="1">
      <c r="A35" s="654" t="s">
        <v>2891</v>
      </c>
      <c r="B35" s="42" t="s">
        <v>116</v>
      </c>
      <c r="C35" s="653" t="s">
        <v>124</v>
      </c>
      <c r="D35" s="653"/>
      <c r="E35" s="42">
        <v>24.43</v>
      </c>
      <c r="F35" s="545">
        <v>3810</v>
      </c>
      <c r="G35" s="533">
        <f t="shared" si="23"/>
        <v>93078.3</v>
      </c>
      <c r="H35" s="37" t="s">
        <v>91</v>
      </c>
      <c r="I35" s="543">
        <v>14</v>
      </c>
      <c r="J35" s="39">
        <v>2400</v>
      </c>
      <c r="K35" s="17">
        <f t="shared" si="1"/>
        <v>171.42857142857142</v>
      </c>
      <c r="L35" s="543">
        <v>14</v>
      </c>
      <c r="M35" s="18">
        <f t="shared" si="24"/>
        <v>2286.0000000000005</v>
      </c>
      <c r="N35" s="17">
        <f t="shared" si="3"/>
        <v>163.28571428571431</v>
      </c>
      <c r="O35" s="19">
        <f t="shared" si="4"/>
        <v>0</v>
      </c>
      <c r="P35" s="20">
        <f t="shared" si="5"/>
        <v>-8.1428571428571104</v>
      </c>
      <c r="Q35" s="532">
        <f t="shared" si="6"/>
        <v>0.95250000000000024</v>
      </c>
      <c r="R35" s="637"/>
      <c r="S35" s="40">
        <v>0.61249999999999993</v>
      </c>
      <c r="T35" s="40">
        <v>0.68194444444444435</v>
      </c>
      <c r="U35" s="533">
        <f t="shared" si="26"/>
        <v>6.9999999999999751</v>
      </c>
      <c r="V35" s="544">
        <f t="shared" si="25"/>
        <v>99.999999999999972</v>
      </c>
      <c r="W35" s="23"/>
      <c r="X35" s="23"/>
      <c r="Y35" s="23"/>
      <c r="Z35" s="23"/>
      <c r="AA35" s="632"/>
      <c r="AB35" s="632"/>
      <c r="AC35" s="25"/>
      <c r="AD35" s="25"/>
      <c r="AE35" s="19">
        <f t="shared" si="8"/>
        <v>-113.99999999999955</v>
      </c>
      <c r="AF35" s="532">
        <f t="shared" si="9"/>
        <v>0.95250000000000024</v>
      </c>
      <c r="AG35" s="637"/>
    </row>
    <row r="36" spans="1:33" ht="15.75" customHeight="1">
      <c r="A36" s="654" t="s">
        <v>2891</v>
      </c>
      <c r="B36" s="42" t="s">
        <v>116</v>
      </c>
      <c r="C36" s="653" t="s">
        <v>123</v>
      </c>
      <c r="D36" s="653"/>
      <c r="E36" s="42">
        <v>26.18</v>
      </c>
      <c r="F36" s="545">
        <v>3038</v>
      </c>
      <c r="G36" s="533">
        <f t="shared" si="23"/>
        <v>79534.84</v>
      </c>
      <c r="H36" s="37" t="s">
        <v>91</v>
      </c>
      <c r="I36" s="543">
        <v>20</v>
      </c>
      <c r="J36" s="39">
        <v>2400</v>
      </c>
      <c r="K36" s="17">
        <f t="shared" si="1"/>
        <v>120</v>
      </c>
      <c r="L36" s="543">
        <v>20</v>
      </c>
      <c r="M36" s="18">
        <f t="shared" si="24"/>
        <v>2307.3417721518977</v>
      </c>
      <c r="N36" s="17">
        <f t="shared" si="3"/>
        <v>115.36708860759488</v>
      </c>
      <c r="O36" s="19">
        <f t="shared" si="4"/>
        <v>0</v>
      </c>
      <c r="P36" s="20">
        <f t="shared" si="5"/>
        <v>-4.63291139240512</v>
      </c>
      <c r="Q36" s="532">
        <f t="shared" si="6"/>
        <v>0.96139240506329071</v>
      </c>
      <c r="R36" s="637"/>
      <c r="S36" s="40">
        <v>0.68749999999999989</v>
      </c>
      <c r="T36" s="40">
        <v>0.74236111111111103</v>
      </c>
      <c r="U36" s="533">
        <f t="shared" si="26"/>
        <v>7.9999999999999716</v>
      </c>
      <c r="V36" s="544">
        <f t="shared" si="25"/>
        <v>79.000000000000043</v>
      </c>
      <c r="W36" s="23"/>
      <c r="X36" s="23"/>
      <c r="Y36" s="23"/>
      <c r="Z36" s="23"/>
      <c r="AA36" s="632"/>
      <c r="AB36" s="632"/>
      <c r="AC36" s="25"/>
      <c r="AD36" s="25"/>
      <c r="AE36" s="19">
        <f t="shared" si="8"/>
        <v>-92.658227848102342</v>
      </c>
      <c r="AF36" s="532">
        <f t="shared" si="9"/>
        <v>0.96139240506329071</v>
      </c>
      <c r="AG36" s="637"/>
    </row>
    <row r="37" spans="1:33" ht="15.75" customHeight="1">
      <c r="A37" s="654" t="s">
        <v>2891</v>
      </c>
      <c r="B37" s="42" t="s">
        <v>2883</v>
      </c>
      <c r="C37" s="638"/>
      <c r="D37" s="638"/>
      <c r="E37" s="535"/>
      <c r="F37" s="545"/>
      <c r="G37" s="533"/>
      <c r="H37" s="545"/>
      <c r="I37" s="29">
        <v>17</v>
      </c>
      <c r="J37" s="39">
        <v>2285.7142857142858</v>
      </c>
      <c r="K37" s="17">
        <f t="shared" si="1"/>
        <v>134.45378151260505</v>
      </c>
      <c r="L37" s="29">
        <v>17</v>
      </c>
      <c r="M37" s="18">
        <f>AVERAGE(M30:M36)</f>
        <v>2183.1756968495988</v>
      </c>
      <c r="N37" s="17">
        <f t="shared" si="3"/>
        <v>128.42209981468227</v>
      </c>
      <c r="O37" s="19">
        <f t="shared" si="4"/>
        <v>0</v>
      </c>
      <c r="P37" s="20">
        <f t="shared" si="5"/>
        <v>-6.0316816979227781</v>
      </c>
      <c r="Q37" s="532">
        <f t="shared" si="6"/>
        <v>0.95513936737169935</v>
      </c>
      <c r="R37" s="637"/>
      <c r="S37" s="40"/>
      <c r="T37" s="40"/>
      <c r="U37" s="533"/>
      <c r="V37" s="544"/>
      <c r="W37" s="533"/>
      <c r="X37" s="533"/>
      <c r="Y37" s="30">
        <f>SUM(Y30:Y36)</f>
        <v>0</v>
      </c>
      <c r="Z37" s="30">
        <f>SUM(Z30:Z36)</f>
        <v>0</v>
      </c>
      <c r="AA37" s="631"/>
      <c r="AB37" s="631"/>
      <c r="AC37" s="30">
        <v>7</v>
      </c>
      <c r="AD37" s="30">
        <f>SUM(AD30:AD36)</f>
        <v>0</v>
      </c>
      <c r="AE37" s="19">
        <f t="shared" si="8"/>
        <v>-102.53858886468697</v>
      </c>
      <c r="AF37" s="532">
        <f t="shared" si="9"/>
        <v>0.95513936737169947</v>
      </c>
      <c r="AG37" s="637"/>
    </row>
    <row r="38" spans="1:33" ht="15.75" customHeight="1">
      <c r="A38" s="651" t="s">
        <v>2892</v>
      </c>
      <c r="B38" s="42" t="s">
        <v>116</v>
      </c>
      <c r="C38" s="633" t="s">
        <v>123</v>
      </c>
      <c r="D38" s="633"/>
      <c r="E38" s="42">
        <v>26.18</v>
      </c>
      <c r="F38" s="545">
        <v>3900</v>
      </c>
      <c r="G38" s="533">
        <f t="shared" ref="G38:G45" si="27">E38*F38</f>
        <v>102102</v>
      </c>
      <c r="H38" s="37">
        <v>2</v>
      </c>
      <c r="I38" s="543">
        <v>20</v>
      </c>
      <c r="J38" s="39">
        <v>2400</v>
      </c>
      <c r="K38" s="17">
        <f t="shared" si="1"/>
        <v>120</v>
      </c>
      <c r="L38" s="543">
        <v>20</v>
      </c>
      <c r="M38" s="18">
        <f t="shared" ref="M38:M45" si="28">F38/V38*60</f>
        <v>2294.117647058823</v>
      </c>
      <c r="N38" s="17">
        <f t="shared" si="3"/>
        <v>114.70588235294115</v>
      </c>
      <c r="O38" s="19">
        <f t="shared" si="4"/>
        <v>0</v>
      </c>
      <c r="P38" s="20">
        <f t="shared" si="5"/>
        <v>-5.2941176470588545</v>
      </c>
      <c r="Q38" s="532">
        <f t="shared" si="6"/>
        <v>0.95588235294117618</v>
      </c>
      <c r="R38" s="637">
        <f>Q46</f>
        <v>0.95645929079865066</v>
      </c>
      <c r="S38" s="40">
        <v>8.3333333333333329E-2</v>
      </c>
      <c r="T38" s="40">
        <v>0.15416666666666667</v>
      </c>
      <c r="U38" s="533"/>
      <c r="V38" s="544">
        <f t="shared" ref="V38:V45" si="29">(T38-S38)*24*60</f>
        <v>102.00000000000001</v>
      </c>
      <c r="W38" s="28">
        <f>T38</f>
        <v>0.15416666666666667</v>
      </c>
      <c r="X38" s="28">
        <f>S39</f>
        <v>0.17222222222222222</v>
      </c>
      <c r="Y38" s="28"/>
      <c r="Z38" s="28"/>
      <c r="AA38" s="632"/>
      <c r="AB38" s="632"/>
      <c r="AC38" s="25">
        <v>8</v>
      </c>
      <c r="AD38" s="25"/>
      <c r="AE38" s="19">
        <f t="shared" si="8"/>
        <v>-105.88235294117703</v>
      </c>
      <c r="AF38" s="532">
        <f t="shared" si="9"/>
        <v>0.95588235294117618</v>
      </c>
      <c r="AG38" s="637">
        <f>AF46</f>
        <v>0.95645929079865055</v>
      </c>
    </row>
    <row r="39" spans="1:33" ht="15.75" customHeight="1">
      <c r="A39" s="651" t="s">
        <v>2892</v>
      </c>
      <c r="B39" s="42" t="s">
        <v>116</v>
      </c>
      <c r="C39" s="633" t="s">
        <v>150</v>
      </c>
      <c r="D39" s="633"/>
      <c r="E39" s="42">
        <v>23.89</v>
      </c>
      <c r="F39" s="545">
        <v>1541</v>
      </c>
      <c r="G39" s="533">
        <f t="shared" si="27"/>
        <v>36814.49</v>
      </c>
      <c r="H39" s="37" t="s">
        <v>91</v>
      </c>
      <c r="I39" s="543">
        <v>13</v>
      </c>
      <c r="J39" s="39">
        <v>2400</v>
      </c>
      <c r="K39" s="17">
        <f t="shared" si="1"/>
        <v>184.61538461538461</v>
      </c>
      <c r="L39" s="543">
        <v>13</v>
      </c>
      <c r="M39" s="18">
        <f t="shared" si="28"/>
        <v>2311.4999999999991</v>
      </c>
      <c r="N39" s="17">
        <f t="shared" si="3"/>
        <v>177.80769230769224</v>
      </c>
      <c r="O39" s="19">
        <f t="shared" si="4"/>
        <v>0</v>
      </c>
      <c r="P39" s="20">
        <f t="shared" si="5"/>
        <v>-6.8076923076923777</v>
      </c>
      <c r="Q39" s="532">
        <f t="shared" si="6"/>
        <v>0.96312499999999968</v>
      </c>
      <c r="R39" s="637"/>
      <c r="S39" s="40">
        <v>0.17222222222222222</v>
      </c>
      <c r="T39" s="40">
        <v>0.2</v>
      </c>
      <c r="U39" s="533">
        <f t="shared" ref="U39:U45" si="30">(S39-T38)*24*60</f>
        <v>25.999999999999986</v>
      </c>
      <c r="V39" s="544">
        <f t="shared" si="29"/>
        <v>40.000000000000014</v>
      </c>
      <c r="W39" s="533"/>
      <c r="X39" s="533"/>
      <c r="Y39" s="533"/>
      <c r="Z39" s="533"/>
      <c r="AA39" s="632"/>
      <c r="AB39" s="632"/>
      <c r="AC39" s="25"/>
      <c r="AD39" s="25"/>
      <c r="AE39" s="19">
        <f t="shared" si="8"/>
        <v>-88.500000000000909</v>
      </c>
      <c r="AF39" s="532">
        <f t="shared" si="9"/>
        <v>0.96312499999999968</v>
      </c>
      <c r="AG39" s="637"/>
    </row>
    <row r="40" spans="1:33">
      <c r="A40" s="652" t="s">
        <v>2892</v>
      </c>
      <c r="B40" s="42" t="s">
        <v>116</v>
      </c>
      <c r="C40" s="633" t="s">
        <v>119</v>
      </c>
      <c r="D40" s="633"/>
      <c r="E40" s="42">
        <v>26.18</v>
      </c>
      <c r="F40" s="545">
        <v>5300</v>
      </c>
      <c r="G40" s="533">
        <f t="shared" si="27"/>
        <v>138754</v>
      </c>
      <c r="H40" s="37">
        <v>2</v>
      </c>
      <c r="I40" s="543">
        <v>18</v>
      </c>
      <c r="J40" s="39">
        <v>2400</v>
      </c>
      <c r="K40" s="17">
        <f t="shared" si="1"/>
        <v>133.33333333333334</v>
      </c>
      <c r="L40" s="543">
        <v>18</v>
      </c>
      <c r="M40" s="18">
        <f t="shared" si="28"/>
        <v>2287.7697841726617</v>
      </c>
      <c r="N40" s="17">
        <f t="shared" si="3"/>
        <v>127.09832134292566</v>
      </c>
      <c r="O40" s="19">
        <f t="shared" si="4"/>
        <v>0</v>
      </c>
      <c r="P40" s="20">
        <f t="shared" si="5"/>
        <v>-6.2350119904076848</v>
      </c>
      <c r="Q40" s="532">
        <f t="shared" si="6"/>
        <v>0.9532374100719424</v>
      </c>
      <c r="R40" s="637"/>
      <c r="S40" s="40">
        <v>0.20347222222222222</v>
      </c>
      <c r="T40" s="40">
        <v>0.3</v>
      </c>
      <c r="U40" s="533">
        <f t="shared" si="30"/>
        <v>4.9999999999999822</v>
      </c>
      <c r="V40" s="544">
        <f t="shared" si="29"/>
        <v>139</v>
      </c>
      <c r="W40" s="533"/>
      <c r="X40" s="533"/>
      <c r="Y40" s="533"/>
      <c r="Z40" s="533"/>
      <c r="AA40" s="632"/>
      <c r="AB40" s="632"/>
      <c r="AC40" s="25"/>
      <c r="AD40" s="25"/>
      <c r="AE40" s="19">
        <f t="shared" si="8"/>
        <v>-112.23021582733827</v>
      </c>
      <c r="AF40" s="532">
        <f t="shared" si="9"/>
        <v>0.9532374100719424</v>
      </c>
      <c r="AG40" s="637"/>
    </row>
    <row r="41" spans="1:33">
      <c r="A41" s="652" t="s">
        <v>2892</v>
      </c>
      <c r="B41" s="42" t="s">
        <v>116</v>
      </c>
      <c r="C41" s="633" t="s">
        <v>121</v>
      </c>
      <c r="D41" s="633"/>
      <c r="E41" s="42">
        <v>25.99</v>
      </c>
      <c r="F41" s="545">
        <v>4472</v>
      </c>
      <c r="G41" s="533">
        <f t="shared" si="27"/>
        <v>116227.28</v>
      </c>
      <c r="H41" s="37" t="s">
        <v>91</v>
      </c>
      <c r="I41" s="543">
        <v>14</v>
      </c>
      <c r="J41" s="39">
        <v>2400</v>
      </c>
      <c r="K41" s="17">
        <f t="shared" si="1"/>
        <v>171.42857142857142</v>
      </c>
      <c r="L41" s="543">
        <v>14</v>
      </c>
      <c r="M41" s="18">
        <f t="shared" si="28"/>
        <v>2293.3333333333339</v>
      </c>
      <c r="N41" s="17">
        <f t="shared" si="3"/>
        <v>163.80952380952385</v>
      </c>
      <c r="O41" s="19">
        <f t="shared" si="4"/>
        <v>0</v>
      </c>
      <c r="P41" s="20">
        <f t="shared" si="5"/>
        <v>-7.6190476190475636</v>
      </c>
      <c r="Q41" s="532">
        <f t="shared" si="6"/>
        <v>0.95555555555555582</v>
      </c>
      <c r="R41" s="637"/>
      <c r="S41" s="40">
        <v>0.3034722222222222</v>
      </c>
      <c r="T41" s="40">
        <v>0.38472222222222219</v>
      </c>
      <c r="U41" s="533">
        <f t="shared" si="30"/>
        <v>4.9999999999999822</v>
      </c>
      <c r="V41" s="544">
        <f t="shared" si="29"/>
        <v>116.99999999999999</v>
      </c>
      <c r="W41" s="23"/>
      <c r="X41" s="23"/>
      <c r="Y41" s="23"/>
      <c r="Z41" s="23"/>
      <c r="AA41" s="632"/>
      <c r="AB41" s="632"/>
      <c r="AC41" s="25"/>
      <c r="AD41" s="25"/>
      <c r="AE41" s="19">
        <f t="shared" si="8"/>
        <v>-106.66666666666606</v>
      </c>
      <c r="AF41" s="532">
        <f t="shared" si="9"/>
        <v>0.95555555555555582</v>
      </c>
      <c r="AG41" s="637"/>
    </row>
    <row r="42" spans="1:33">
      <c r="A42" s="652" t="s">
        <v>2892</v>
      </c>
      <c r="B42" s="42" t="s">
        <v>116</v>
      </c>
      <c r="C42" s="633" t="s">
        <v>147</v>
      </c>
      <c r="D42" s="633"/>
      <c r="E42" s="42">
        <v>25.98</v>
      </c>
      <c r="F42" s="545">
        <v>2577</v>
      </c>
      <c r="G42" s="533">
        <f t="shared" si="27"/>
        <v>66950.460000000006</v>
      </c>
      <c r="H42" s="37" t="s">
        <v>91</v>
      </c>
      <c r="I42" s="543">
        <v>17</v>
      </c>
      <c r="J42" s="39">
        <v>2400</v>
      </c>
      <c r="K42" s="17">
        <f t="shared" si="1"/>
        <v>141.1764705882353</v>
      </c>
      <c r="L42" s="543">
        <v>17</v>
      </c>
      <c r="M42" s="18">
        <f t="shared" si="28"/>
        <v>2307.7611940298507</v>
      </c>
      <c r="N42" s="17">
        <f t="shared" si="3"/>
        <v>135.75065847234416</v>
      </c>
      <c r="O42" s="19">
        <f t="shared" si="4"/>
        <v>0</v>
      </c>
      <c r="P42" s="20">
        <f t="shared" si="5"/>
        <v>-5.4258121158911479</v>
      </c>
      <c r="Q42" s="532">
        <f t="shared" si="6"/>
        <v>0.96156716417910437</v>
      </c>
      <c r="R42" s="637"/>
      <c r="S42" s="40">
        <v>0.3881944444444444</v>
      </c>
      <c r="T42" s="40">
        <v>0.43472222222222218</v>
      </c>
      <c r="U42" s="533">
        <f t="shared" si="30"/>
        <v>4.9999999999999822</v>
      </c>
      <c r="V42" s="544">
        <f t="shared" si="29"/>
        <v>67</v>
      </c>
      <c r="W42" s="23"/>
      <c r="X42" s="23"/>
      <c r="Y42" s="23"/>
      <c r="Z42" s="23"/>
      <c r="AA42" s="632"/>
      <c r="AB42" s="632"/>
      <c r="AC42" s="25"/>
      <c r="AD42" s="25"/>
      <c r="AE42" s="19">
        <f t="shared" si="8"/>
        <v>-92.238805970149315</v>
      </c>
      <c r="AF42" s="532">
        <f t="shared" si="9"/>
        <v>0.96156716417910448</v>
      </c>
      <c r="AG42" s="637"/>
    </row>
    <row r="43" spans="1:33">
      <c r="A43" s="652" t="s">
        <v>2892</v>
      </c>
      <c r="B43" s="42" t="s">
        <v>116</v>
      </c>
      <c r="C43" s="633" t="s">
        <v>149</v>
      </c>
      <c r="D43" s="633"/>
      <c r="E43" s="42">
        <v>24.25</v>
      </c>
      <c r="F43" s="545">
        <v>3008</v>
      </c>
      <c r="G43" s="533">
        <f t="shared" si="27"/>
        <v>72944</v>
      </c>
      <c r="H43" s="37" t="s">
        <v>91</v>
      </c>
      <c r="I43" s="543">
        <v>16</v>
      </c>
      <c r="J43" s="39">
        <v>2400</v>
      </c>
      <c r="K43" s="17">
        <f t="shared" si="1"/>
        <v>150</v>
      </c>
      <c r="L43" s="543">
        <v>16</v>
      </c>
      <c r="M43" s="18">
        <f t="shared" si="28"/>
        <v>2284.5569620253177</v>
      </c>
      <c r="N43" s="17">
        <f t="shared" si="3"/>
        <v>142.78481012658236</v>
      </c>
      <c r="O43" s="19">
        <f t="shared" si="4"/>
        <v>0</v>
      </c>
      <c r="P43" s="20">
        <f t="shared" si="5"/>
        <v>-7.2151898734176427</v>
      </c>
      <c r="Q43" s="532">
        <f t="shared" si="6"/>
        <v>0.95189873417721571</v>
      </c>
      <c r="R43" s="637"/>
      <c r="S43" s="40">
        <v>0.43958333333333327</v>
      </c>
      <c r="T43" s="40">
        <v>0.49444444444444435</v>
      </c>
      <c r="U43" s="533">
        <f t="shared" si="30"/>
        <v>6.9999999999999751</v>
      </c>
      <c r="V43" s="544">
        <f t="shared" si="29"/>
        <v>78.999999999999957</v>
      </c>
      <c r="W43" s="23">
        <f>T43</f>
        <v>0.49444444444444435</v>
      </c>
      <c r="X43" s="23">
        <f>S44</f>
        <v>0.53680555555555542</v>
      </c>
      <c r="Y43" s="23"/>
      <c r="Z43" s="23"/>
      <c r="AA43" s="632"/>
      <c r="AB43" s="632"/>
      <c r="AC43" s="25"/>
      <c r="AD43" s="25"/>
      <c r="AE43" s="19">
        <f t="shared" si="8"/>
        <v>-115.44303797468228</v>
      </c>
      <c r="AF43" s="532">
        <f t="shared" si="9"/>
        <v>0.95189873417721571</v>
      </c>
      <c r="AG43" s="637"/>
    </row>
    <row r="44" spans="1:33">
      <c r="A44" s="652" t="s">
        <v>2892</v>
      </c>
      <c r="B44" s="42" t="s">
        <v>116</v>
      </c>
      <c r="C44" s="633" t="s">
        <v>119</v>
      </c>
      <c r="D44" s="633"/>
      <c r="E44" s="42">
        <v>26.18</v>
      </c>
      <c r="F44" s="545">
        <v>4284</v>
      </c>
      <c r="G44" s="533">
        <f t="shared" si="27"/>
        <v>112155.12</v>
      </c>
      <c r="H44" s="37" t="s">
        <v>91</v>
      </c>
      <c r="I44" s="543">
        <v>18</v>
      </c>
      <c r="J44" s="39">
        <v>2400</v>
      </c>
      <c r="K44" s="17">
        <f t="shared" si="1"/>
        <v>133.33333333333334</v>
      </c>
      <c r="L44" s="543">
        <v>18</v>
      </c>
      <c r="M44" s="18">
        <f t="shared" si="28"/>
        <v>2294.9999999999982</v>
      </c>
      <c r="N44" s="17">
        <f t="shared" si="3"/>
        <v>127.4999999999999</v>
      </c>
      <c r="O44" s="19">
        <f t="shared" si="4"/>
        <v>0</v>
      </c>
      <c r="P44" s="20">
        <f t="shared" si="5"/>
        <v>-5.8333333333334423</v>
      </c>
      <c r="Q44" s="532">
        <f t="shared" si="6"/>
        <v>0.95624999999999916</v>
      </c>
      <c r="R44" s="637"/>
      <c r="S44" s="40">
        <v>0.53680555555555542</v>
      </c>
      <c r="T44" s="40">
        <v>0.61458333333333326</v>
      </c>
      <c r="U44" s="533">
        <f t="shared" si="30"/>
        <v>60.999999999999943</v>
      </c>
      <c r="V44" s="544">
        <f t="shared" si="29"/>
        <v>112.00000000000009</v>
      </c>
      <c r="W44" s="23"/>
      <c r="X44" s="23"/>
      <c r="Y44" s="26"/>
      <c r="Z44" s="26"/>
      <c r="AA44" s="627"/>
      <c r="AB44" s="628"/>
      <c r="AC44" s="25"/>
      <c r="AD44" s="25"/>
      <c r="AE44" s="19">
        <f t="shared" si="8"/>
        <v>-105.00000000000182</v>
      </c>
      <c r="AF44" s="532">
        <f t="shared" si="9"/>
        <v>0.95624999999999927</v>
      </c>
      <c r="AG44" s="637"/>
    </row>
    <row r="45" spans="1:33">
      <c r="A45" s="652" t="s">
        <v>2892</v>
      </c>
      <c r="B45" s="42" t="s">
        <v>116</v>
      </c>
      <c r="C45" s="633" t="s">
        <v>126</v>
      </c>
      <c r="D45" s="633"/>
      <c r="E45" s="42">
        <v>34.1</v>
      </c>
      <c r="F45" s="545">
        <v>3380</v>
      </c>
      <c r="G45" s="533">
        <f t="shared" si="27"/>
        <v>115258</v>
      </c>
      <c r="H45" s="37" t="s">
        <v>91</v>
      </c>
      <c r="I45" s="543">
        <v>17</v>
      </c>
      <c r="J45" s="39">
        <v>1600</v>
      </c>
      <c r="K45" s="17">
        <f t="shared" si="1"/>
        <v>94.117647058823536</v>
      </c>
      <c r="L45" s="543">
        <v>17</v>
      </c>
      <c r="M45" s="18">
        <f t="shared" si="28"/>
        <v>1524.812030075188</v>
      </c>
      <c r="N45" s="17">
        <f t="shared" si="3"/>
        <v>89.694825298540465</v>
      </c>
      <c r="O45" s="19">
        <f t="shared" si="4"/>
        <v>0</v>
      </c>
      <c r="P45" s="20">
        <f t="shared" si="5"/>
        <v>-4.4228217602830711</v>
      </c>
      <c r="Q45" s="532">
        <f t="shared" si="6"/>
        <v>0.95300751879699241</v>
      </c>
      <c r="R45" s="637"/>
      <c r="S45" s="40">
        <v>0.61944444444444435</v>
      </c>
      <c r="T45" s="40">
        <v>0.71180555555555547</v>
      </c>
      <c r="U45" s="533">
        <f t="shared" si="30"/>
        <v>6.9999999999999751</v>
      </c>
      <c r="V45" s="544">
        <f t="shared" si="29"/>
        <v>133</v>
      </c>
      <c r="W45" s="23"/>
      <c r="X45" s="23"/>
      <c r="Y45" s="26"/>
      <c r="Z45" s="26"/>
      <c r="AA45" s="627"/>
      <c r="AB45" s="628"/>
      <c r="AC45" s="25"/>
      <c r="AD45" s="25"/>
      <c r="AE45" s="19">
        <f t="shared" si="8"/>
        <v>-75.187969924812023</v>
      </c>
      <c r="AF45" s="532">
        <f t="shared" si="9"/>
        <v>0.95300751879699253</v>
      </c>
      <c r="AG45" s="637"/>
    </row>
    <row r="46" spans="1:33">
      <c r="A46" s="652" t="s">
        <v>2892</v>
      </c>
      <c r="B46" s="44" t="s">
        <v>2883</v>
      </c>
      <c r="C46" s="638"/>
      <c r="D46" s="638"/>
      <c r="E46" s="535"/>
      <c r="F46" s="44"/>
      <c r="G46" s="17"/>
      <c r="H46" s="545"/>
      <c r="I46" s="29">
        <v>16.625</v>
      </c>
      <c r="J46" s="39">
        <v>2300</v>
      </c>
      <c r="K46" s="17">
        <f t="shared" si="1"/>
        <v>138.34586466165413</v>
      </c>
      <c r="L46" s="29">
        <v>16.625</v>
      </c>
      <c r="M46" s="18">
        <f>AVERAGE(M38:M45)</f>
        <v>2199.8563688368963</v>
      </c>
      <c r="N46" s="17">
        <f t="shared" si="3"/>
        <v>132.32218759921182</v>
      </c>
      <c r="O46" s="19">
        <f t="shared" si="4"/>
        <v>0</v>
      </c>
      <c r="P46" s="20">
        <f t="shared" si="5"/>
        <v>-6.0236770624423173</v>
      </c>
      <c r="Q46" s="532">
        <f t="shared" si="6"/>
        <v>0.95645929079865066</v>
      </c>
      <c r="R46" s="637"/>
      <c r="S46" s="40"/>
      <c r="T46" s="40"/>
      <c r="U46" s="17"/>
      <c r="V46" s="544"/>
      <c r="W46" s="17"/>
      <c r="X46" s="17"/>
      <c r="Y46" s="30">
        <f>SUM(Y38:Y45)</f>
        <v>0</v>
      </c>
      <c r="Z46" s="30">
        <f>SUM(Z38:Z45)</f>
        <v>0</v>
      </c>
      <c r="AA46" s="631"/>
      <c r="AB46" s="631"/>
      <c r="AC46" s="30">
        <v>8</v>
      </c>
      <c r="AD46" s="30">
        <f>SUM(AD38:AD45)</f>
        <v>0</v>
      </c>
      <c r="AE46" s="19">
        <f t="shared" si="8"/>
        <v>-100.14363116310369</v>
      </c>
      <c r="AF46" s="532">
        <f t="shared" si="9"/>
        <v>0.95645929079865055</v>
      </c>
      <c r="AG46" s="637"/>
    </row>
    <row r="47" spans="1:33" ht="15.75" customHeight="1">
      <c r="A47" s="648" t="s">
        <v>2893</v>
      </c>
      <c r="B47" s="42" t="s">
        <v>127</v>
      </c>
      <c r="C47" s="625" t="s">
        <v>128</v>
      </c>
      <c r="D47" s="626"/>
      <c r="E47" s="42">
        <v>21.13</v>
      </c>
      <c r="F47" s="545">
        <v>6268</v>
      </c>
      <c r="G47" s="533">
        <f t="shared" ref="G47:G49" si="31">E47*F47</f>
        <v>132442.84</v>
      </c>
      <c r="H47" s="37" t="s">
        <v>91</v>
      </c>
      <c r="I47" s="543">
        <v>10</v>
      </c>
      <c r="J47" s="39">
        <v>3000</v>
      </c>
      <c r="K47" s="17">
        <f t="shared" si="1"/>
        <v>300</v>
      </c>
      <c r="L47" s="543">
        <v>10</v>
      </c>
      <c r="M47" s="18">
        <f t="shared" ref="M47:M49" si="32">F47/V47*60</f>
        <v>2870.839694656489</v>
      </c>
      <c r="N47" s="18">
        <f t="shared" si="3"/>
        <v>287.08396946564892</v>
      </c>
      <c r="O47" s="19">
        <f t="shared" si="4"/>
        <v>0</v>
      </c>
      <c r="P47" s="20">
        <f t="shared" si="5"/>
        <v>-12.91603053435108</v>
      </c>
      <c r="Q47" s="532">
        <f t="shared" si="6"/>
        <v>0.95694656488549645</v>
      </c>
      <c r="R47" s="643">
        <f>Q50</f>
        <v>0.95449748620176778</v>
      </c>
      <c r="S47" s="40">
        <v>0.20833333333333334</v>
      </c>
      <c r="T47" s="40">
        <v>0.29930555555555555</v>
      </c>
      <c r="U47" s="28"/>
      <c r="V47" s="544">
        <f t="shared" ref="V47:V49" si="33">(T47-S47)*24*60</f>
        <v>130.99999999999997</v>
      </c>
      <c r="W47" s="23"/>
      <c r="X47" s="23"/>
      <c r="Y47" s="26"/>
      <c r="Z47" s="26"/>
      <c r="AA47" s="627"/>
      <c r="AB47" s="628"/>
      <c r="AC47" s="25">
        <v>3</v>
      </c>
      <c r="AD47" s="25"/>
      <c r="AE47" s="19">
        <f t="shared" si="8"/>
        <v>-129.16030534351103</v>
      </c>
      <c r="AF47" s="532">
        <f t="shared" si="9"/>
        <v>0.95694656488549634</v>
      </c>
      <c r="AG47" s="643">
        <f>AF50</f>
        <v>0.95449748620176778</v>
      </c>
    </row>
    <row r="48" spans="1:33" ht="15.75" customHeight="1">
      <c r="A48" s="649" t="s">
        <v>2893</v>
      </c>
      <c r="B48" s="42" t="s">
        <v>127</v>
      </c>
      <c r="C48" s="625" t="s">
        <v>129</v>
      </c>
      <c r="D48" s="626"/>
      <c r="E48" s="42">
        <v>27.17</v>
      </c>
      <c r="F48" s="545">
        <v>6581</v>
      </c>
      <c r="G48" s="533">
        <f t="shared" si="31"/>
        <v>178805.77000000002</v>
      </c>
      <c r="H48" s="37" t="s">
        <v>91</v>
      </c>
      <c r="I48" s="543">
        <v>10</v>
      </c>
      <c r="J48" s="39">
        <v>3000</v>
      </c>
      <c r="K48" s="17">
        <f t="shared" si="1"/>
        <v>300</v>
      </c>
      <c r="L48" s="543">
        <v>10</v>
      </c>
      <c r="M48" s="18">
        <f t="shared" si="32"/>
        <v>2861.304347826087</v>
      </c>
      <c r="N48" s="18">
        <f t="shared" si="3"/>
        <v>286.13043478260869</v>
      </c>
      <c r="O48" s="19">
        <f t="shared" si="4"/>
        <v>0</v>
      </c>
      <c r="P48" s="20">
        <f t="shared" si="5"/>
        <v>-13.869565217391312</v>
      </c>
      <c r="Q48" s="532">
        <f t="shared" si="6"/>
        <v>0.95376811594202893</v>
      </c>
      <c r="R48" s="644"/>
      <c r="S48" s="40">
        <v>0.30486111111111108</v>
      </c>
      <c r="T48" s="40">
        <v>0.40069444444444441</v>
      </c>
      <c r="U48" s="533">
        <f t="shared" ref="U48:U49" si="34">(S48-T47)*24*60</f>
        <v>7.9999999999999716</v>
      </c>
      <c r="V48" s="544">
        <f t="shared" si="33"/>
        <v>138</v>
      </c>
      <c r="W48" s="23"/>
      <c r="X48" s="23"/>
      <c r="Y48" s="26"/>
      <c r="Z48" s="26"/>
      <c r="AA48" s="627"/>
      <c r="AB48" s="628"/>
      <c r="AC48" s="25"/>
      <c r="AD48" s="25"/>
      <c r="AE48" s="19">
        <f t="shared" si="8"/>
        <v>-138.695652173913</v>
      </c>
      <c r="AF48" s="532">
        <f t="shared" si="9"/>
        <v>0.95376811594202904</v>
      </c>
      <c r="AG48" s="644"/>
    </row>
    <row r="49" spans="1:33" ht="15.75" customHeight="1">
      <c r="A49" s="649" t="s">
        <v>2893</v>
      </c>
      <c r="B49" s="42" t="s">
        <v>127</v>
      </c>
      <c r="C49" s="625" t="s">
        <v>144</v>
      </c>
      <c r="D49" s="626"/>
      <c r="E49" s="42">
        <v>35.869999999999997</v>
      </c>
      <c r="F49" s="545">
        <v>3430</v>
      </c>
      <c r="G49" s="533">
        <f t="shared" si="31"/>
        <v>123034.09999999999</v>
      </c>
      <c r="H49" s="37" t="s">
        <v>91</v>
      </c>
      <c r="I49" s="543">
        <v>10</v>
      </c>
      <c r="J49" s="39">
        <v>3000</v>
      </c>
      <c r="K49" s="17">
        <f t="shared" si="1"/>
        <v>300</v>
      </c>
      <c r="L49" s="543">
        <v>10</v>
      </c>
      <c r="M49" s="18">
        <f t="shared" si="32"/>
        <v>2858.3333333333339</v>
      </c>
      <c r="N49" s="18">
        <f t="shared" si="3"/>
        <v>285.83333333333337</v>
      </c>
      <c r="O49" s="19">
        <f t="shared" si="4"/>
        <v>0</v>
      </c>
      <c r="P49" s="20">
        <f t="shared" si="5"/>
        <v>-14.166666666666629</v>
      </c>
      <c r="Q49" s="532">
        <f t="shared" si="6"/>
        <v>0.95277777777777795</v>
      </c>
      <c r="R49" s="644"/>
      <c r="S49" s="40">
        <v>0.40486111111111106</v>
      </c>
      <c r="T49" s="40">
        <v>0.45486111111111105</v>
      </c>
      <c r="U49" s="533">
        <f t="shared" si="34"/>
        <v>5.9999999999999787</v>
      </c>
      <c r="V49" s="544">
        <f t="shared" si="33"/>
        <v>71.999999999999986</v>
      </c>
      <c r="W49" s="23"/>
      <c r="X49" s="23"/>
      <c r="Y49" s="26"/>
      <c r="Z49" s="26"/>
      <c r="AA49" s="627"/>
      <c r="AB49" s="628"/>
      <c r="AC49" s="25"/>
      <c r="AD49" s="25"/>
      <c r="AE49" s="19">
        <f t="shared" si="8"/>
        <v>-141.66666666666606</v>
      </c>
      <c r="AF49" s="532">
        <f t="shared" si="9"/>
        <v>0.95277777777777795</v>
      </c>
      <c r="AG49" s="644"/>
    </row>
    <row r="50" spans="1:33" ht="15.75" customHeight="1">
      <c r="A50" s="650" t="s">
        <v>2893</v>
      </c>
      <c r="B50" s="42" t="s">
        <v>2883</v>
      </c>
      <c r="C50" s="629"/>
      <c r="D50" s="630"/>
      <c r="E50" s="534"/>
      <c r="F50" s="545"/>
      <c r="G50" s="533"/>
      <c r="H50" s="545"/>
      <c r="I50" s="29">
        <v>10</v>
      </c>
      <c r="J50" s="39">
        <v>3000</v>
      </c>
      <c r="K50" s="17">
        <f t="shared" si="1"/>
        <v>300</v>
      </c>
      <c r="L50" s="29">
        <v>10</v>
      </c>
      <c r="M50" s="18">
        <f>AVERAGE(M47:M49)</f>
        <v>2863.4924586053035</v>
      </c>
      <c r="N50" s="17">
        <f t="shared" si="3"/>
        <v>286.34924586053035</v>
      </c>
      <c r="O50" s="19">
        <f t="shared" si="4"/>
        <v>0</v>
      </c>
      <c r="P50" s="20">
        <f t="shared" si="5"/>
        <v>-13.650754139469655</v>
      </c>
      <c r="Q50" s="532">
        <f t="shared" si="6"/>
        <v>0.95449748620176778</v>
      </c>
      <c r="R50" s="645"/>
      <c r="S50" s="40"/>
      <c r="T50" s="40"/>
      <c r="U50" s="533"/>
      <c r="V50" s="544"/>
      <c r="W50" s="23"/>
      <c r="X50" s="23"/>
      <c r="Y50" s="30">
        <f>SUM(Y47:Y49)</f>
        <v>0</v>
      </c>
      <c r="Z50" s="30">
        <f>SUM(Z47:Z49)</f>
        <v>0</v>
      </c>
      <c r="AA50" s="646"/>
      <c r="AB50" s="647"/>
      <c r="AC50" s="30">
        <v>3</v>
      </c>
      <c r="AD50" s="30">
        <f>SUM(AD47:AD49)</f>
        <v>0</v>
      </c>
      <c r="AE50" s="19">
        <f t="shared" si="8"/>
        <v>-136.50754139469655</v>
      </c>
      <c r="AF50" s="532">
        <f t="shared" si="9"/>
        <v>0.95449748620176778</v>
      </c>
      <c r="AG50" s="645"/>
    </row>
    <row r="51" spans="1:33" ht="15.75" customHeight="1">
      <c r="A51" s="641" t="s">
        <v>2894</v>
      </c>
      <c r="B51" s="42" t="s">
        <v>92</v>
      </c>
      <c r="C51" s="633" t="s">
        <v>135</v>
      </c>
      <c r="D51" s="633"/>
      <c r="E51" s="42">
        <v>51.44</v>
      </c>
      <c r="F51" s="48">
        <v>1650</v>
      </c>
      <c r="G51" s="533">
        <f t="shared" ref="G51:G59" si="35">E51*F51</f>
        <v>84876</v>
      </c>
      <c r="H51" s="37" t="s">
        <v>91</v>
      </c>
      <c r="I51" s="543">
        <v>25</v>
      </c>
      <c r="J51" s="39">
        <v>2000</v>
      </c>
      <c r="K51" s="17">
        <f t="shared" si="1"/>
        <v>80</v>
      </c>
      <c r="L51" s="543">
        <v>25</v>
      </c>
      <c r="M51" s="18">
        <f t="shared" ref="M51" si="36">F51/V51*60</f>
        <v>1903.8461538461534</v>
      </c>
      <c r="N51" s="18">
        <f t="shared" si="3"/>
        <v>76.153846153846132</v>
      </c>
      <c r="O51" s="19">
        <f t="shared" si="4"/>
        <v>0</v>
      </c>
      <c r="P51" s="20">
        <f t="shared" si="5"/>
        <v>-3.846153846153868</v>
      </c>
      <c r="Q51" s="532">
        <f t="shared" si="6"/>
        <v>0.95192307692307665</v>
      </c>
      <c r="R51" s="637">
        <f>Q60</f>
        <v>0.95801152115481369</v>
      </c>
      <c r="S51" s="40">
        <v>0.20833333333333334</v>
      </c>
      <c r="T51" s="40">
        <v>0.24444444444444446</v>
      </c>
      <c r="U51" s="28"/>
      <c r="V51" s="544">
        <f t="shared" ref="V51:V59" si="37">(T51-S51)*24*60</f>
        <v>52.000000000000014</v>
      </c>
      <c r="W51" s="23"/>
      <c r="X51" s="23"/>
      <c r="Y51" s="28"/>
      <c r="Z51" s="28"/>
      <c r="AA51" s="632"/>
      <c r="AB51" s="632"/>
      <c r="AC51" s="25">
        <v>9</v>
      </c>
      <c r="AD51" s="25"/>
      <c r="AE51" s="19">
        <f t="shared" si="8"/>
        <v>-96.153846153846644</v>
      </c>
      <c r="AF51" s="532">
        <f t="shared" si="9"/>
        <v>0.95192307692307665</v>
      </c>
      <c r="AG51" s="637">
        <f>AF60</f>
        <v>0.95801152115481369</v>
      </c>
    </row>
    <row r="52" spans="1:33" ht="15.75" customHeight="1">
      <c r="A52" s="641" t="s">
        <v>2894</v>
      </c>
      <c r="B52" s="42" t="s">
        <v>92</v>
      </c>
      <c r="C52" s="633" t="s">
        <v>2408</v>
      </c>
      <c r="D52" s="633"/>
      <c r="E52" s="42">
        <v>56.43</v>
      </c>
      <c r="F52" s="48">
        <v>5113</v>
      </c>
      <c r="G52" s="533">
        <f t="shared" si="35"/>
        <v>288526.59000000003</v>
      </c>
      <c r="H52" s="37" t="s">
        <v>91</v>
      </c>
      <c r="I52" s="543">
        <v>23</v>
      </c>
      <c r="J52" s="39">
        <v>2000</v>
      </c>
      <c r="K52" s="17">
        <f t="shared" si="1"/>
        <v>86.956521739130437</v>
      </c>
      <c r="L52" s="543">
        <v>23</v>
      </c>
      <c r="M52" s="18">
        <f>F52/V52*60</f>
        <v>1905.4658385093167</v>
      </c>
      <c r="N52" s="18">
        <f t="shared" si="3"/>
        <v>82.846340804752899</v>
      </c>
      <c r="O52" s="19">
        <f t="shared" si="4"/>
        <v>0</v>
      </c>
      <c r="P52" s="20">
        <f t="shared" si="5"/>
        <v>-4.1101809343775386</v>
      </c>
      <c r="Q52" s="532">
        <f t="shared" si="6"/>
        <v>0.95273291925465831</v>
      </c>
      <c r="R52" s="637"/>
      <c r="S52" s="40">
        <v>0.24791666666666667</v>
      </c>
      <c r="T52" s="40">
        <v>0.35972222222222222</v>
      </c>
      <c r="U52" s="533">
        <f t="shared" ref="U52:U59" si="38">IF(S52=TIME(17,0,0),"",(S52-T51)*24*60)</f>
        <v>4.9999999999999822</v>
      </c>
      <c r="V52" s="544">
        <f t="shared" si="37"/>
        <v>161</v>
      </c>
      <c r="W52" s="23"/>
      <c r="X52" s="23"/>
      <c r="Y52" s="23"/>
      <c r="Z52" s="23"/>
      <c r="AA52" s="632"/>
      <c r="AB52" s="632"/>
      <c r="AC52" s="25"/>
      <c r="AD52" s="25"/>
      <c r="AE52" s="19">
        <f t="shared" si="8"/>
        <v>-94.534161490683346</v>
      </c>
      <c r="AF52" s="532">
        <f t="shared" si="9"/>
        <v>0.95273291925465831</v>
      </c>
      <c r="AG52" s="637"/>
    </row>
    <row r="53" spans="1:33" ht="15.75" customHeight="1">
      <c r="A53" s="641" t="s">
        <v>2894</v>
      </c>
      <c r="B53" s="42" t="s">
        <v>92</v>
      </c>
      <c r="C53" s="625" t="s">
        <v>1852</v>
      </c>
      <c r="D53" s="626"/>
      <c r="E53" s="42">
        <v>56.43</v>
      </c>
      <c r="F53" s="48">
        <v>2426</v>
      </c>
      <c r="G53" s="533">
        <f t="shared" si="35"/>
        <v>136899.18</v>
      </c>
      <c r="H53" s="37" t="s">
        <v>91</v>
      </c>
      <c r="I53" s="543">
        <v>25</v>
      </c>
      <c r="J53" s="39">
        <v>2000</v>
      </c>
      <c r="K53" s="17">
        <f t="shared" si="1"/>
        <v>80</v>
      </c>
      <c r="L53" s="543">
        <v>25</v>
      </c>
      <c r="M53" s="18">
        <f t="shared" ref="M53:M59" si="39">F53/V53*60</f>
        <v>1915.2631578947376</v>
      </c>
      <c r="N53" s="18">
        <f t="shared" si="3"/>
        <v>76.6105263157895</v>
      </c>
      <c r="O53" s="19">
        <f t="shared" si="4"/>
        <v>0</v>
      </c>
      <c r="P53" s="20">
        <f t="shared" si="5"/>
        <v>-3.3894736842105004</v>
      </c>
      <c r="Q53" s="532">
        <f t="shared" si="6"/>
        <v>0.95763157894736872</v>
      </c>
      <c r="R53" s="637"/>
      <c r="S53" s="40">
        <v>0.36458333333333331</v>
      </c>
      <c r="T53" s="40">
        <v>0.41736111111111107</v>
      </c>
      <c r="U53" s="533">
        <f t="shared" si="38"/>
        <v>6.9999999999999751</v>
      </c>
      <c r="V53" s="544">
        <f t="shared" si="37"/>
        <v>75.999999999999972</v>
      </c>
      <c r="W53" s="23"/>
      <c r="X53" s="23"/>
      <c r="Y53" s="26"/>
      <c r="Z53" s="26"/>
      <c r="AA53" s="632"/>
      <c r="AB53" s="632"/>
      <c r="AC53" s="25"/>
      <c r="AD53" s="25"/>
      <c r="AE53" s="19">
        <f t="shared" si="8"/>
        <v>-84.73684210526244</v>
      </c>
      <c r="AF53" s="532">
        <f t="shared" si="9"/>
        <v>0.95763157894736883</v>
      </c>
      <c r="AG53" s="637"/>
    </row>
    <row r="54" spans="1:33" ht="15.75" customHeight="1">
      <c r="A54" s="641" t="s">
        <v>2894</v>
      </c>
      <c r="B54" s="42" t="s">
        <v>96</v>
      </c>
      <c r="C54" s="537" t="s">
        <v>136</v>
      </c>
      <c r="D54" s="538"/>
      <c r="E54" s="42">
        <v>46</v>
      </c>
      <c r="F54" s="48">
        <v>1500</v>
      </c>
      <c r="G54" s="533">
        <f t="shared" si="35"/>
        <v>69000</v>
      </c>
      <c r="H54" s="37" t="s">
        <v>91</v>
      </c>
      <c r="I54" s="543">
        <v>16</v>
      </c>
      <c r="J54" s="39">
        <v>2000</v>
      </c>
      <c r="K54" s="17">
        <f t="shared" si="1"/>
        <v>125</v>
      </c>
      <c r="L54" s="543">
        <v>16</v>
      </c>
      <c r="M54" s="18">
        <f t="shared" si="39"/>
        <v>1914.8936170212769</v>
      </c>
      <c r="N54" s="18">
        <f t="shared" si="3"/>
        <v>119.68085106382981</v>
      </c>
      <c r="O54" s="19">
        <f t="shared" si="4"/>
        <v>0</v>
      </c>
      <c r="P54" s="20">
        <f t="shared" si="5"/>
        <v>-5.319148936170194</v>
      </c>
      <c r="Q54" s="532">
        <f t="shared" si="6"/>
        <v>0.95744680851063846</v>
      </c>
      <c r="R54" s="637"/>
      <c r="S54" s="40">
        <v>0.42152777777777772</v>
      </c>
      <c r="T54" s="40">
        <v>0.45416666666666661</v>
      </c>
      <c r="U54" s="533">
        <f t="shared" si="38"/>
        <v>5.9999999999999787</v>
      </c>
      <c r="V54" s="544">
        <f t="shared" si="37"/>
        <v>46.999999999999993</v>
      </c>
      <c r="W54" s="23"/>
      <c r="X54" s="23"/>
      <c r="Y54" s="26"/>
      <c r="Z54" s="26"/>
      <c r="AA54" s="632"/>
      <c r="AB54" s="632"/>
      <c r="AC54" s="25"/>
      <c r="AD54" s="25"/>
      <c r="AE54" s="19">
        <f t="shared" si="8"/>
        <v>-85.106382978723104</v>
      </c>
      <c r="AF54" s="532">
        <f t="shared" si="9"/>
        <v>0.95744680851063846</v>
      </c>
      <c r="AG54" s="637"/>
    </row>
    <row r="55" spans="1:33" ht="15.75" customHeight="1">
      <c r="A55" s="641" t="s">
        <v>2894</v>
      </c>
      <c r="B55" s="42" t="s">
        <v>96</v>
      </c>
      <c r="C55" s="537" t="s">
        <v>137</v>
      </c>
      <c r="D55" s="538"/>
      <c r="E55" s="42">
        <v>46</v>
      </c>
      <c r="F55" s="48">
        <v>1536</v>
      </c>
      <c r="G55" s="533">
        <f t="shared" si="35"/>
        <v>70656</v>
      </c>
      <c r="H55" s="37" t="s">
        <v>91</v>
      </c>
      <c r="I55" s="543">
        <v>17</v>
      </c>
      <c r="J55" s="39">
        <v>2000</v>
      </c>
      <c r="K55" s="17">
        <f t="shared" si="1"/>
        <v>117.64705882352941</v>
      </c>
      <c r="L55" s="543">
        <v>17</v>
      </c>
      <c r="M55" s="18">
        <f t="shared" si="39"/>
        <v>1920.0000000000005</v>
      </c>
      <c r="N55" s="18">
        <f t="shared" si="3"/>
        <v>112.94117647058826</v>
      </c>
      <c r="O55" s="19">
        <f t="shared" si="4"/>
        <v>0</v>
      </c>
      <c r="P55" s="20">
        <f t="shared" si="5"/>
        <v>-4.7058823529411455</v>
      </c>
      <c r="Q55" s="532">
        <f t="shared" si="6"/>
        <v>0.9600000000000003</v>
      </c>
      <c r="R55" s="637"/>
      <c r="S55" s="40">
        <v>0.4590277777777777</v>
      </c>
      <c r="T55" s="40">
        <v>0.49236111111111103</v>
      </c>
      <c r="U55" s="533">
        <f t="shared" si="38"/>
        <v>6.9999999999999751</v>
      </c>
      <c r="V55" s="544">
        <f t="shared" si="37"/>
        <v>47.999999999999986</v>
      </c>
      <c r="W55" s="23"/>
      <c r="X55" s="23"/>
      <c r="Y55" s="26"/>
      <c r="Z55" s="26"/>
      <c r="AA55" s="632"/>
      <c r="AB55" s="632"/>
      <c r="AC55" s="25"/>
      <c r="AD55" s="25"/>
      <c r="AE55" s="19">
        <f t="shared" si="8"/>
        <v>-79.999999999999545</v>
      </c>
      <c r="AF55" s="532">
        <f t="shared" si="9"/>
        <v>0.96000000000000019</v>
      </c>
      <c r="AG55" s="637"/>
    </row>
    <row r="56" spans="1:33" ht="15.75" customHeight="1">
      <c r="A56" s="641" t="s">
        <v>2894</v>
      </c>
      <c r="B56" s="42" t="s">
        <v>92</v>
      </c>
      <c r="C56" s="625" t="s">
        <v>138</v>
      </c>
      <c r="D56" s="626"/>
      <c r="E56" s="42">
        <v>55.56</v>
      </c>
      <c r="F56" s="48">
        <v>1000</v>
      </c>
      <c r="G56" s="533">
        <f t="shared" si="35"/>
        <v>55560</v>
      </c>
      <c r="H56" s="37">
        <v>2</v>
      </c>
      <c r="I56" s="543">
        <v>17</v>
      </c>
      <c r="J56" s="39">
        <v>2000</v>
      </c>
      <c r="K56" s="17">
        <f t="shared" si="1"/>
        <v>117.64705882352941</v>
      </c>
      <c r="L56" s="543">
        <v>17</v>
      </c>
      <c r="M56" s="18">
        <f t="shared" si="39"/>
        <v>1935.483870967739</v>
      </c>
      <c r="N56" s="18">
        <f t="shared" si="3"/>
        <v>113.85199240986699</v>
      </c>
      <c r="O56" s="19">
        <f t="shared" si="4"/>
        <v>0</v>
      </c>
      <c r="P56" s="20">
        <f t="shared" si="5"/>
        <v>-3.7950664136624113</v>
      </c>
      <c r="Q56" s="532">
        <f t="shared" si="6"/>
        <v>0.96774193548386955</v>
      </c>
      <c r="R56" s="637"/>
      <c r="S56" s="40">
        <v>0.70833333333333337</v>
      </c>
      <c r="T56" s="40">
        <v>0.72986111111111118</v>
      </c>
      <c r="U56" s="533" t="str">
        <f t="shared" si="38"/>
        <v/>
      </c>
      <c r="V56" s="544">
        <f t="shared" si="37"/>
        <v>31.00000000000005</v>
      </c>
      <c r="W56" s="23"/>
      <c r="X56" s="23"/>
      <c r="Y56" s="26"/>
      <c r="Z56" s="26"/>
      <c r="AA56" s="627"/>
      <c r="AB56" s="628"/>
      <c r="AC56" s="25"/>
      <c r="AD56" s="25"/>
      <c r="AE56" s="19">
        <f t="shared" si="8"/>
        <v>-64.516129032261006</v>
      </c>
      <c r="AF56" s="532">
        <f t="shared" si="9"/>
        <v>0.96774193548386944</v>
      </c>
      <c r="AG56" s="637"/>
    </row>
    <row r="57" spans="1:33" ht="15.75" customHeight="1">
      <c r="A57" s="641" t="s">
        <v>2894</v>
      </c>
      <c r="B57" s="42" t="s">
        <v>92</v>
      </c>
      <c r="C57" s="625" t="s">
        <v>420</v>
      </c>
      <c r="D57" s="626"/>
      <c r="E57" s="42">
        <v>58.17</v>
      </c>
      <c r="F57" s="48">
        <v>2604</v>
      </c>
      <c r="G57" s="533">
        <f t="shared" si="35"/>
        <v>151474.68</v>
      </c>
      <c r="H57" s="37" t="s">
        <v>91</v>
      </c>
      <c r="I57" s="543">
        <v>13</v>
      </c>
      <c r="J57" s="39">
        <v>2000</v>
      </c>
      <c r="K57" s="17">
        <f t="shared" si="1"/>
        <v>153.84615384615384</v>
      </c>
      <c r="L57" s="543">
        <v>13</v>
      </c>
      <c r="M57" s="18">
        <f t="shared" si="39"/>
        <v>1905.3658536585358</v>
      </c>
      <c r="N57" s="18">
        <f t="shared" si="3"/>
        <v>146.56660412757967</v>
      </c>
      <c r="O57" s="19">
        <f t="shared" si="4"/>
        <v>0</v>
      </c>
      <c r="P57" s="20">
        <f t="shared" si="5"/>
        <v>-7.2795497185741738</v>
      </c>
      <c r="Q57" s="532">
        <f t="shared" si="6"/>
        <v>0.95268292682926792</v>
      </c>
      <c r="R57" s="637"/>
      <c r="S57" s="40">
        <v>0.73333333333333339</v>
      </c>
      <c r="T57" s="40">
        <v>0.79027777777777786</v>
      </c>
      <c r="U57" s="533">
        <f t="shared" si="38"/>
        <v>4.9999999999999822</v>
      </c>
      <c r="V57" s="544">
        <f t="shared" si="37"/>
        <v>82.000000000000028</v>
      </c>
      <c r="W57" s="23"/>
      <c r="X57" s="23"/>
      <c r="Y57" s="26"/>
      <c r="Z57" s="26"/>
      <c r="AA57" s="627"/>
      <c r="AB57" s="628"/>
      <c r="AC57" s="25"/>
      <c r="AD57" s="25"/>
      <c r="AE57" s="19">
        <f t="shared" si="8"/>
        <v>-94.634146341464202</v>
      </c>
      <c r="AF57" s="532">
        <f t="shared" si="9"/>
        <v>0.95268292682926792</v>
      </c>
      <c r="AG57" s="637"/>
    </row>
    <row r="58" spans="1:33" ht="15.75" customHeight="1">
      <c r="A58" s="641" t="s">
        <v>2894</v>
      </c>
      <c r="B58" s="42" t="s">
        <v>92</v>
      </c>
      <c r="C58" s="625" t="s">
        <v>113</v>
      </c>
      <c r="D58" s="626"/>
      <c r="E58" s="42">
        <v>56.43</v>
      </c>
      <c r="F58" s="48">
        <v>1532</v>
      </c>
      <c r="G58" s="533">
        <f t="shared" si="35"/>
        <v>86450.76</v>
      </c>
      <c r="H58" s="37" t="s">
        <v>91</v>
      </c>
      <c r="I58" s="543">
        <v>13</v>
      </c>
      <c r="J58" s="39">
        <v>2000</v>
      </c>
      <c r="K58" s="17">
        <f t="shared" si="1"/>
        <v>153.84615384615384</v>
      </c>
      <c r="L58" s="543">
        <v>13</v>
      </c>
      <c r="M58" s="18">
        <f t="shared" si="39"/>
        <v>1915.0000000000005</v>
      </c>
      <c r="N58" s="18">
        <f t="shared" si="3"/>
        <v>147.30769230769235</v>
      </c>
      <c r="O58" s="19">
        <f t="shared" si="4"/>
        <v>0</v>
      </c>
      <c r="P58" s="20">
        <f t="shared" si="5"/>
        <v>-6.5384615384614904</v>
      </c>
      <c r="Q58" s="532">
        <f t="shared" si="6"/>
        <v>0.95750000000000035</v>
      </c>
      <c r="R58" s="637"/>
      <c r="S58" s="40">
        <v>0.79444444444444451</v>
      </c>
      <c r="T58" s="40">
        <v>0.82777777777777783</v>
      </c>
      <c r="U58" s="533">
        <f t="shared" si="38"/>
        <v>5.9999999999999787</v>
      </c>
      <c r="V58" s="544">
        <f t="shared" si="37"/>
        <v>47.999999999999986</v>
      </c>
      <c r="W58" s="23">
        <f>T58</f>
        <v>0.82777777777777783</v>
      </c>
      <c r="X58" s="23">
        <f>S59</f>
        <v>0.86875000000000002</v>
      </c>
      <c r="Y58" s="26"/>
      <c r="Z58" s="26"/>
      <c r="AA58" s="627"/>
      <c r="AB58" s="628"/>
      <c r="AC58" s="25"/>
      <c r="AD58" s="25"/>
      <c r="AE58" s="19">
        <f t="shared" si="8"/>
        <v>-84.999999999999545</v>
      </c>
      <c r="AF58" s="532">
        <f t="shared" si="9"/>
        <v>0.95750000000000024</v>
      </c>
      <c r="AG58" s="637"/>
    </row>
    <row r="59" spans="1:33">
      <c r="A59" s="641" t="s">
        <v>2894</v>
      </c>
      <c r="B59" s="42" t="s">
        <v>92</v>
      </c>
      <c r="C59" s="537" t="s">
        <v>138</v>
      </c>
      <c r="D59" s="538"/>
      <c r="E59" s="42">
        <v>55.56</v>
      </c>
      <c r="F59" s="48">
        <v>1736</v>
      </c>
      <c r="G59" s="533">
        <f t="shared" si="35"/>
        <v>96452.160000000003</v>
      </c>
      <c r="H59" s="37" t="s">
        <v>91</v>
      </c>
      <c r="I59" s="543">
        <v>17</v>
      </c>
      <c r="J59" s="39">
        <v>2000</v>
      </c>
      <c r="K59" s="17">
        <f t="shared" si="1"/>
        <v>117.64705882352941</v>
      </c>
      <c r="L59" s="543">
        <v>17</v>
      </c>
      <c r="M59" s="18">
        <f t="shared" si="39"/>
        <v>1928.8888888888901</v>
      </c>
      <c r="N59" s="18">
        <f t="shared" si="3"/>
        <v>113.46405228758177</v>
      </c>
      <c r="O59" s="19">
        <f t="shared" si="4"/>
        <v>0</v>
      </c>
      <c r="P59" s="20">
        <f t="shared" si="5"/>
        <v>-4.1830065359476407</v>
      </c>
      <c r="Q59" s="532">
        <f t="shared" si="6"/>
        <v>0.9644444444444451</v>
      </c>
      <c r="R59" s="637"/>
      <c r="S59" s="40">
        <v>0.86875000000000002</v>
      </c>
      <c r="T59" s="40">
        <v>0.90625</v>
      </c>
      <c r="U59" s="533">
        <f t="shared" si="38"/>
        <v>58.99999999999995</v>
      </c>
      <c r="V59" s="544">
        <f t="shared" si="37"/>
        <v>53.999999999999972</v>
      </c>
      <c r="W59" s="23"/>
      <c r="X59" s="23"/>
      <c r="Y59" s="26"/>
      <c r="Z59" s="26"/>
      <c r="AA59" s="539"/>
      <c r="AB59" s="540"/>
      <c r="AC59" s="25"/>
      <c r="AD59" s="25"/>
      <c r="AE59" s="19">
        <f t="shared" si="8"/>
        <v>-71.111111111109949</v>
      </c>
      <c r="AF59" s="532">
        <f t="shared" si="9"/>
        <v>0.96444444444444499</v>
      </c>
      <c r="AG59" s="637"/>
    </row>
    <row r="60" spans="1:33">
      <c r="A60" s="642" t="s">
        <v>2894</v>
      </c>
      <c r="B60" s="42" t="s">
        <v>2883</v>
      </c>
      <c r="C60" s="638"/>
      <c r="D60" s="638"/>
      <c r="E60" s="535"/>
      <c r="F60" s="44"/>
      <c r="G60" s="17"/>
      <c r="H60" s="545"/>
      <c r="I60" s="29">
        <v>18.444444444444443</v>
      </c>
      <c r="J60" s="39">
        <v>2000</v>
      </c>
      <c r="K60" s="17">
        <f t="shared" si="1"/>
        <v>108.43373493975905</v>
      </c>
      <c r="L60" s="29">
        <v>18.444444444444443</v>
      </c>
      <c r="M60" s="18">
        <f>AVERAGE(M51:M59)</f>
        <v>1916.0230423096275</v>
      </c>
      <c r="N60" s="17">
        <f t="shared" si="3"/>
        <v>103.88076735413644</v>
      </c>
      <c r="O60" s="19">
        <f t="shared" si="4"/>
        <v>0</v>
      </c>
      <c r="P60" s="20">
        <f t="shared" si="5"/>
        <v>-4.5529675856226106</v>
      </c>
      <c r="Q60" s="532">
        <f t="shared" si="6"/>
        <v>0.95801152115481369</v>
      </c>
      <c r="R60" s="637"/>
      <c r="S60" s="40"/>
      <c r="T60" s="40"/>
      <c r="U60" s="533"/>
      <c r="V60" s="544"/>
      <c r="W60" s="17"/>
      <c r="X60" s="17"/>
      <c r="Y60" s="30">
        <f>SUM(Y51:Y59)</f>
        <v>0</v>
      </c>
      <c r="Z60" s="30">
        <f>SUM(Z51:Z59)</f>
        <v>0</v>
      </c>
      <c r="AA60" s="631"/>
      <c r="AB60" s="631"/>
      <c r="AC60" s="30">
        <v>9</v>
      </c>
      <c r="AD60" s="30">
        <f>SUM(AD51:AD59)</f>
        <v>0</v>
      </c>
      <c r="AE60" s="19">
        <f>M60-J60</f>
        <v>-83.976957690372501</v>
      </c>
      <c r="AF60" s="532">
        <f t="shared" si="9"/>
        <v>0.95801152115481369</v>
      </c>
      <c r="AG60" s="637"/>
    </row>
    <row r="61" spans="1:33" ht="15.75" customHeight="1">
      <c r="A61" s="639" t="s">
        <v>2895</v>
      </c>
      <c r="B61" s="545" t="s">
        <v>127</v>
      </c>
      <c r="C61" s="633" t="s">
        <v>141</v>
      </c>
      <c r="D61" s="633"/>
      <c r="E61" s="42">
        <v>35.119999999999997</v>
      </c>
      <c r="F61" s="48">
        <v>6367</v>
      </c>
      <c r="G61" s="533">
        <f t="shared" ref="G61:G65" si="40">E61*F61</f>
        <v>223609.03999999998</v>
      </c>
      <c r="H61" s="37" t="s">
        <v>91</v>
      </c>
      <c r="I61" s="543">
        <v>10</v>
      </c>
      <c r="J61" s="39">
        <v>3000</v>
      </c>
      <c r="K61" s="17">
        <f t="shared" si="1"/>
        <v>300</v>
      </c>
      <c r="L61" s="543">
        <v>10</v>
      </c>
      <c r="M61" s="18">
        <f t="shared" ref="M61:M65" si="41">F61/V61*60</f>
        <v>2872.330827067668</v>
      </c>
      <c r="N61" s="17">
        <f t="shared" si="3"/>
        <v>287.23308270676682</v>
      </c>
      <c r="O61" s="19">
        <f t="shared" si="4"/>
        <v>0</v>
      </c>
      <c r="P61" s="20">
        <f t="shared" si="5"/>
        <v>-12.766917293233178</v>
      </c>
      <c r="Q61" s="532">
        <f t="shared" si="6"/>
        <v>0.9574436090225561</v>
      </c>
      <c r="R61" s="637">
        <f>Q66</f>
        <v>0.96039348370927313</v>
      </c>
      <c r="S61" s="40">
        <v>0.20833333333333334</v>
      </c>
      <c r="T61" s="40">
        <v>0.30069444444444449</v>
      </c>
      <c r="U61" s="533"/>
      <c r="V61" s="544">
        <f t="shared" ref="V61:V65" si="42">(T61-S61)*24*60</f>
        <v>133.00000000000006</v>
      </c>
      <c r="W61" s="23"/>
      <c r="X61" s="23"/>
      <c r="Y61" s="28"/>
      <c r="Z61" s="28"/>
      <c r="AA61" s="632"/>
      <c r="AB61" s="632"/>
      <c r="AC61" s="25">
        <v>5</v>
      </c>
      <c r="AD61" s="25"/>
      <c r="AE61" s="19">
        <f t="shared" ref="AE61:AE75" si="43">M61-J61</f>
        <v>-127.669172932332</v>
      </c>
      <c r="AF61" s="532">
        <f t="shared" si="9"/>
        <v>0.95744360902255599</v>
      </c>
      <c r="AG61" s="637">
        <f>AF66</f>
        <v>0.96039348370927324</v>
      </c>
    </row>
    <row r="62" spans="1:33" ht="15.75" customHeight="1">
      <c r="A62" s="639" t="s">
        <v>2895</v>
      </c>
      <c r="B62" s="545" t="s">
        <v>127</v>
      </c>
      <c r="C62" s="633" t="s">
        <v>142</v>
      </c>
      <c r="D62" s="633"/>
      <c r="E62" s="42">
        <v>26.78</v>
      </c>
      <c r="F62" s="48">
        <v>2697</v>
      </c>
      <c r="G62" s="533">
        <f t="shared" si="40"/>
        <v>72225.66</v>
      </c>
      <c r="H62" s="37" t="s">
        <v>91</v>
      </c>
      <c r="I62" s="543">
        <v>10</v>
      </c>
      <c r="J62" s="39">
        <v>3000</v>
      </c>
      <c r="K62" s="17">
        <f t="shared" si="1"/>
        <v>300</v>
      </c>
      <c r="L62" s="543">
        <v>10</v>
      </c>
      <c r="M62" s="18">
        <f t="shared" si="41"/>
        <v>2889.6428571428592</v>
      </c>
      <c r="N62" s="17">
        <f t="shared" si="3"/>
        <v>288.96428571428589</v>
      </c>
      <c r="O62" s="19">
        <f t="shared" si="4"/>
        <v>0</v>
      </c>
      <c r="P62" s="20">
        <f t="shared" si="5"/>
        <v>-11.035714285714107</v>
      </c>
      <c r="Q62" s="532">
        <f t="shared" si="6"/>
        <v>0.96321428571428636</v>
      </c>
      <c r="R62" s="637"/>
      <c r="S62" s="40">
        <v>0.3041666666666667</v>
      </c>
      <c r="T62" s="40">
        <v>0.34305555555555556</v>
      </c>
      <c r="U62" s="533">
        <f t="shared" ref="U62:U65" si="44">(S62-T61)*24*60</f>
        <v>4.9999999999999822</v>
      </c>
      <c r="V62" s="544">
        <f t="shared" si="42"/>
        <v>55.999999999999957</v>
      </c>
      <c r="W62" s="533"/>
      <c r="X62" s="533"/>
      <c r="Y62" s="533"/>
      <c r="Z62" s="533"/>
      <c r="AA62" s="632"/>
      <c r="AB62" s="632"/>
      <c r="AC62" s="25"/>
      <c r="AD62" s="25"/>
      <c r="AE62" s="19">
        <f t="shared" si="43"/>
        <v>-110.35714285714084</v>
      </c>
      <c r="AF62" s="532">
        <f t="shared" si="9"/>
        <v>0.96321428571428636</v>
      </c>
      <c r="AG62" s="637"/>
    </row>
    <row r="63" spans="1:33" ht="15.75" customHeight="1">
      <c r="A63" s="639" t="s">
        <v>2895</v>
      </c>
      <c r="B63" s="545" t="s">
        <v>127</v>
      </c>
      <c r="C63" s="633" t="s">
        <v>143</v>
      </c>
      <c r="D63" s="633"/>
      <c r="E63" s="42">
        <v>36.14</v>
      </c>
      <c r="F63" s="48">
        <v>962</v>
      </c>
      <c r="G63" s="533">
        <f t="shared" si="40"/>
        <v>34766.68</v>
      </c>
      <c r="H63" s="37" t="s">
        <v>91</v>
      </c>
      <c r="I63" s="543">
        <v>11</v>
      </c>
      <c r="J63" s="39">
        <v>3000</v>
      </c>
      <c r="K63" s="17">
        <f t="shared" si="1"/>
        <v>272.72727272727275</v>
      </c>
      <c r="L63" s="543">
        <v>11</v>
      </c>
      <c r="M63" s="18">
        <f t="shared" si="41"/>
        <v>2885.9999999999986</v>
      </c>
      <c r="N63" s="17">
        <f t="shared" si="3"/>
        <v>262.36363636363626</v>
      </c>
      <c r="O63" s="19">
        <f t="shared" si="4"/>
        <v>0</v>
      </c>
      <c r="P63" s="20">
        <f t="shared" si="5"/>
        <v>-10.363636363636488</v>
      </c>
      <c r="Q63" s="532">
        <f t="shared" si="6"/>
        <v>0.96199999999999952</v>
      </c>
      <c r="R63" s="637"/>
      <c r="S63" s="40">
        <v>0.34861111111111109</v>
      </c>
      <c r="T63" s="40">
        <v>0.36249999999999999</v>
      </c>
      <c r="U63" s="533">
        <f t="shared" si="44"/>
        <v>7.9999999999999716</v>
      </c>
      <c r="V63" s="544">
        <f t="shared" si="42"/>
        <v>20.000000000000007</v>
      </c>
      <c r="W63" s="533"/>
      <c r="X63" s="533"/>
      <c r="Y63" s="533"/>
      <c r="Z63" s="533"/>
      <c r="AA63" s="632"/>
      <c r="AB63" s="632"/>
      <c r="AC63" s="25"/>
      <c r="AD63" s="25"/>
      <c r="AE63" s="19">
        <f t="shared" si="43"/>
        <v>-114.00000000000136</v>
      </c>
      <c r="AF63" s="532">
        <f t="shared" si="9"/>
        <v>0.96199999999999952</v>
      </c>
      <c r="AG63" s="637"/>
    </row>
    <row r="64" spans="1:33" ht="15.75" customHeight="1">
      <c r="A64" s="639" t="s">
        <v>2895</v>
      </c>
      <c r="B64" s="545" t="s">
        <v>127</v>
      </c>
      <c r="C64" s="633" t="s">
        <v>130</v>
      </c>
      <c r="D64" s="633"/>
      <c r="E64" s="42">
        <v>35.869999999999997</v>
      </c>
      <c r="F64" s="48">
        <v>1548</v>
      </c>
      <c r="G64" s="533">
        <f t="shared" si="40"/>
        <v>55526.759999999995</v>
      </c>
      <c r="H64" s="37" t="s">
        <v>91</v>
      </c>
      <c r="I64" s="543">
        <v>9</v>
      </c>
      <c r="J64" s="39">
        <v>3000</v>
      </c>
      <c r="K64" s="17">
        <f t="shared" si="1"/>
        <v>333.33333333333331</v>
      </c>
      <c r="L64" s="543">
        <v>9</v>
      </c>
      <c r="M64" s="18">
        <f t="shared" si="41"/>
        <v>2902.5000000000036</v>
      </c>
      <c r="N64" s="17">
        <f t="shared" si="3"/>
        <v>322.5000000000004</v>
      </c>
      <c r="O64" s="19">
        <f t="shared" si="4"/>
        <v>0</v>
      </c>
      <c r="P64" s="20">
        <f t="shared" si="5"/>
        <v>-10.833333333332916</v>
      </c>
      <c r="Q64" s="532">
        <f t="shared" si="6"/>
        <v>0.96750000000000125</v>
      </c>
      <c r="R64" s="637"/>
      <c r="S64" s="40">
        <v>0.36805555555555552</v>
      </c>
      <c r="T64" s="40">
        <v>0.39027777777777772</v>
      </c>
      <c r="U64" s="533">
        <f t="shared" si="44"/>
        <v>7.9999999999999716</v>
      </c>
      <c r="V64" s="544">
        <f t="shared" si="42"/>
        <v>31.999999999999964</v>
      </c>
      <c r="W64" s="533"/>
      <c r="X64" s="533"/>
      <c r="Y64" s="533"/>
      <c r="Z64" s="533"/>
      <c r="AA64" s="632"/>
      <c r="AB64" s="632"/>
      <c r="AC64" s="25"/>
      <c r="AD64" s="25"/>
      <c r="AE64" s="19">
        <f t="shared" si="43"/>
        <v>-97.499999999996362</v>
      </c>
      <c r="AF64" s="532">
        <f t="shared" si="9"/>
        <v>0.96750000000000125</v>
      </c>
      <c r="AG64" s="637"/>
    </row>
    <row r="65" spans="1:33">
      <c r="A65" s="640" t="s">
        <v>2895</v>
      </c>
      <c r="B65" s="545" t="s">
        <v>127</v>
      </c>
      <c r="C65" s="633" t="s">
        <v>1857</v>
      </c>
      <c r="D65" s="633"/>
      <c r="E65" s="42">
        <v>33.770000000000003</v>
      </c>
      <c r="F65" s="48">
        <v>4997</v>
      </c>
      <c r="G65" s="533">
        <f t="shared" si="40"/>
        <v>168748.69</v>
      </c>
      <c r="H65" s="37" t="s">
        <v>91</v>
      </c>
      <c r="I65" s="543">
        <v>12</v>
      </c>
      <c r="J65" s="39">
        <v>3000</v>
      </c>
      <c r="K65" s="17">
        <f t="shared" si="1"/>
        <v>250</v>
      </c>
      <c r="L65" s="543">
        <v>12</v>
      </c>
      <c r="M65" s="18">
        <f t="shared" si="41"/>
        <v>2855.4285714285706</v>
      </c>
      <c r="N65" s="17">
        <f t="shared" si="3"/>
        <v>237.95238095238088</v>
      </c>
      <c r="O65" s="19">
        <f t="shared" si="4"/>
        <v>0</v>
      </c>
      <c r="P65" s="20">
        <f t="shared" si="5"/>
        <v>-12.047619047619122</v>
      </c>
      <c r="Q65" s="532">
        <f t="shared" si="6"/>
        <v>0.95180952380952355</v>
      </c>
      <c r="R65" s="637"/>
      <c r="S65" s="40">
        <v>0.39444444444444438</v>
      </c>
      <c r="T65" s="40">
        <v>0.46736111111111106</v>
      </c>
      <c r="U65" s="533">
        <f t="shared" si="44"/>
        <v>5.9999999999999787</v>
      </c>
      <c r="V65" s="544">
        <f t="shared" si="42"/>
        <v>105.00000000000003</v>
      </c>
      <c r="W65" s="23"/>
      <c r="X65" s="23"/>
      <c r="Y65" s="23"/>
      <c r="Z65" s="23"/>
      <c r="AA65" s="632"/>
      <c r="AB65" s="632"/>
      <c r="AC65" s="25"/>
      <c r="AD65" s="25"/>
      <c r="AE65" s="19">
        <f t="shared" si="43"/>
        <v>-144.57142857142935</v>
      </c>
      <c r="AF65" s="532">
        <f t="shared" si="9"/>
        <v>0.95180952380952355</v>
      </c>
      <c r="AG65" s="637"/>
    </row>
    <row r="66" spans="1:33">
      <c r="A66" s="640" t="s">
        <v>2895</v>
      </c>
      <c r="B66" s="42" t="s">
        <v>2883</v>
      </c>
      <c r="C66" s="638"/>
      <c r="D66" s="638"/>
      <c r="E66" s="535"/>
      <c r="F66" s="44"/>
      <c r="G66" s="17"/>
      <c r="H66" s="545"/>
      <c r="I66" s="29">
        <v>10.4</v>
      </c>
      <c r="J66" s="39">
        <v>3000</v>
      </c>
      <c r="K66" s="17">
        <f t="shared" si="1"/>
        <v>288.46153846153845</v>
      </c>
      <c r="L66" s="29">
        <v>10.4</v>
      </c>
      <c r="M66" s="18">
        <f>AVERAGE(M61:M65)</f>
        <v>2881.1804511278197</v>
      </c>
      <c r="N66" s="17">
        <f t="shared" si="3"/>
        <v>277.0365818392134</v>
      </c>
      <c r="O66" s="19">
        <f t="shared" si="4"/>
        <v>0</v>
      </c>
      <c r="P66" s="20">
        <f t="shared" si="5"/>
        <v>-11.424956622325055</v>
      </c>
      <c r="Q66" s="532">
        <f t="shared" si="6"/>
        <v>0.96039348370927313</v>
      </c>
      <c r="R66" s="637"/>
      <c r="S66" s="40"/>
      <c r="T66" s="40"/>
      <c r="U66" s="17"/>
      <c r="V66" s="544"/>
      <c r="W66" s="17"/>
      <c r="X66" s="17"/>
      <c r="Y66" s="30">
        <f>SUM(Y61:Y65)</f>
        <v>0</v>
      </c>
      <c r="Z66" s="30">
        <f>SUM(Z61:Z65)</f>
        <v>0</v>
      </c>
      <c r="AA66" s="631"/>
      <c r="AB66" s="631"/>
      <c r="AC66" s="30">
        <v>5</v>
      </c>
      <c r="AD66" s="30">
        <f>SUM(AD61:AD65)</f>
        <v>0</v>
      </c>
      <c r="AE66" s="19">
        <f t="shared" si="43"/>
        <v>-118.81954887218035</v>
      </c>
      <c r="AF66" s="532">
        <f t="shared" si="9"/>
        <v>0.96039348370927324</v>
      </c>
      <c r="AG66" s="637"/>
    </row>
    <row r="67" spans="1:33" ht="15.75" customHeight="1">
      <c r="A67" s="634" t="s">
        <v>2896</v>
      </c>
      <c r="B67" s="545" t="s">
        <v>116</v>
      </c>
      <c r="C67" s="633" t="s">
        <v>145</v>
      </c>
      <c r="D67" s="633"/>
      <c r="E67" s="42">
        <v>19.02</v>
      </c>
      <c r="F67" s="545">
        <v>6500</v>
      </c>
      <c r="G67" s="533">
        <f t="shared" ref="G67:G74" si="45">E67*F67</f>
        <v>123630</v>
      </c>
      <c r="H67" s="37">
        <v>2</v>
      </c>
      <c r="I67" s="543">
        <v>14</v>
      </c>
      <c r="J67" s="39">
        <v>2400</v>
      </c>
      <c r="K67" s="17">
        <f t="shared" si="1"/>
        <v>171.42857142857142</v>
      </c>
      <c r="L67" s="543">
        <v>14</v>
      </c>
      <c r="M67" s="18">
        <f t="shared" ref="M67:M74" si="46">F67/V67*60</f>
        <v>2294.1176470588234</v>
      </c>
      <c r="N67" s="17">
        <f t="shared" si="3"/>
        <v>163.8655462184874</v>
      </c>
      <c r="O67" s="19">
        <f t="shared" si="4"/>
        <v>0</v>
      </c>
      <c r="P67" s="20">
        <f t="shared" si="5"/>
        <v>-7.563025210084021</v>
      </c>
      <c r="Q67" s="532">
        <f t="shared" si="6"/>
        <v>0.95588235294117652</v>
      </c>
      <c r="R67" s="637">
        <f>Q75</f>
        <v>0.95737023060376858</v>
      </c>
      <c r="S67" s="40">
        <v>8.3333333333333329E-2</v>
      </c>
      <c r="T67" s="40">
        <v>0.2013888888888889</v>
      </c>
      <c r="U67" s="28"/>
      <c r="V67" s="544">
        <f t="shared" ref="V67:V74" si="47">(T67-S67)*24*60</f>
        <v>170</v>
      </c>
      <c r="W67" s="23">
        <f>T67</f>
        <v>0.2013888888888889</v>
      </c>
      <c r="X67" s="23">
        <f>S68</f>
        <v>0.22083333333333335</v>
      </c>
      <c r="Y67" s="23"/>
      <c r="Z67" s="23"/>
      <c r="AA67" s="632"/>
      <c r="AB67" s="632"/>
      <c r="AC67" s="25">
        <v>8</v>
      </c>
      <c r="AD67" s="25"/>
      <c r="AE67" s="19">
        <f t="shared" si="43"/>
        <v>-105.88235294117658</v>
      </c>
      <c r="AF67" s="532">
        <f t="shared" si="9"/>
        <v>0.95588235294117641</v>
      </c>
      <c r="AG67" s="637">
        <f>AF75</f>
        <v>0.95737023060376847</v>
      </c>
    </row>
    <row r="68" spans="1:33" ht="15.75" customHeight="1">
      <c r="A68" s="635" t="s">
        <v>2896</v>
      </c>
      <c r="B68" s="545" t="s">
        <v>116</v>
      </c>
      <c r="C68" s="633" t="s">
        <v>146</v>
      </c>
      <c r="D68" s="633"/>
      <c r="E68" s="42">
        <v>20.36</v>
      </c>
      <c r="F68" s="545">
        <v>4886</v>
      </c>
      <c r="G68" s="533">
        <f t="shared" si="45"/>
        <v>99478.959999999992</v>
      </c>
      <c r="H68" s="37" t="s">
        <v>91</v>
      </c>
      <c r="I68" s="543">
        <v>17</v>
      </c>
      <c r="J68" s="39">
        <v>2400</v>
      </c>
      <c r="K68" s="17">
        <f t="shared" si="1"/>
        <v>141.1764705882353</v>
      </c>
      <c r="L68" s="543">
        <v>17</v>
      </c>
      <c r="M68" s="18">
        <f t="shared" si="46"/>
        <v>2290.3125000000005</v>
      </c>
      <c r="N68" s="17">
        <f t="shared" si="3"/>
        <v>134.72426470588238</v>
      </c>
      <c r="O68" s="19">
        <f t="shared" si="4"/>
        <v>0</v>
      </c>
      <c r="P68" s="20">
        <f t="shared" si="5"/>
        <v>-6.4522058823529278</v>
      </c>
      <c r="Q68" s="532">
        <f t="shared" si="6"/>
        <v>0.95429687500000004</v>
      </c>
      <c r="R68" s="637"/>
      <c r="S68" s="40">
        <v>0.22083333333333335</v>
      </c>
      <c r="T68" s="40">
        <v>0.30972222222222223</v>
      </c>
      <c r="U68" s="533">
        <f t="shared" ref="U68:U74" si="48">(S68-T67)*24*60</f>
        <v>28.000000000000021</v>
      </c>
      <c r="V68" s="544">
        <f t="shared" si="47"/>
        <v>127.99999999999997</v>
      </c>
      <c r="W68" s="23"/>
      <c r="X68" s="23"/>
      <c r="Y68" s="23"/>
      <c r="Z68" s="23"/>
      <c r="AA68" s="632"/>
      <c r="AB68" s="632"/>
      <c r="AC68" s="25"/>
      <c r="AD68" s="25"/>
      <c r="AE68" s="19">
        <f t="shared" si="43"/>
        <v>-109.68749999999955</v>
      </c>
      <c r="AF68" s="532">
        <f t="shared" si="9"/>
        <v>0.95429687500000016</v>
      </c>
      <c r="AG68" s="637"/>
    </row>
    <row r="69" spans="1:33" ht="15.75" customHeight="1">
      <c r="A69" s="635" t="s">
        <v>2896</v>
      </c>
      <c r="B69" s="545" t="s">
        <v>116</v>
      </c>
      <c r="C69" s="633" t="s">
        <v>148</v>
      </c>
      <c r="D69" s="633"/>
      <c r="E69" s="42">
        <v>28.29</v>
      </c>
      <c r="F69" s="545">
        <v>3703</v>
      </c>
      <c r="G69" s="533">
        <f t="shared" si="45"/>
        <v>104757.87</v>
      </c>
      <c r="H69" s="37" t="s">
        <v>91</v>
      </c>
      <c r="I69" s="543">
        <v>19</v>
      </c>
      <c r="J69" s="39">
        <v>2400</v>
      </c>
      <c r="K69" s="17">
        <f t="shared" ref="K69:K75" si="49">J69/I69</f>
        <v>126.31578947368421</v>
      </c>
      <c r="L69" s="543">
        <v>19</v>
      </c>
      <c r="M69" s="18">
        <f t="shared" si="46"/>
        <v>2290.5154639175262</v>
      </c>
      <c r="N69" s="17">
        <f t="shared" ref="N69:N75" si="50">M69/L69</f>
        <v>120.55344546934349</v>
      </c>
      <c r="O69" s="19">
        <f t="shared" ref="O69:O75" si="51">L69-I69</f>
        <v>0</v>
      </c>
      <c r="P69" s="20">
        <f t="shared" ref="P69:P75" si="52">N69-K69</f>
        <v>-5.7623440043407186</v>
      </c>
      <c r="Q69" s="532">
        <f t="shared" ref="Q69:Q75" si="53">N69/K69</f>
        <v>0.95438144329896935</v>
      </c>
      <c r="R69" s="637"/>
      <c r="S69" s="40">
        <v>0.31527777777777777</v>
      </c>
      <c r="T69" s="40">
        <v>0.38263888888888886</v>
      </c>
      <c r="U69" s="533">
        <f t="shared" si="48"/>
        <v>7.9999999999999716</v>
      </c>
      <c r="V69" s="544">
        <f t="shared" si="47"/>
        <v>96.999999999999972</v>
      </c>
      <c r="W69" s="23"/>
      <c r="X69" s="23"/>
      <c r="Y69" s="23"/>
      <c r="Z69" s="23"/>
      <c r="AA69" s="632"/>
      <c r="AB69" s="632"/>
      <c r="AC69" s="25"/>
      <c r="AD69" s="25"/>
      <c r="AE69" s="19">
        <f t="shared" si="43"/>
        <v>-109.48453608247382</v>
      </c>
      <c r="AF69" s="532">
        <f t="shared" ref="AF69:AF75" si="54">M69/J69</f>
        <v>0.95438144329896923</v>
      </c>
      <c r="AG69" s="637"/>
    </row>
    <row r="70" spans="1:33" ht="15.75" customHeight="1">
      <c r="A70" s="635" t="s">
        <v>2896</v>
      </c>
      <c r="B70" s="545" t="s">
        <v>116</v>
      </c>
      <c r="C70" s="633" t="s">
        <v>1859</v>
      </c>
      <c r="D70" s="633"/>
      <c r="E70" s="42">
        <v>25.98</v>
      </c>
      <c r="F70" s="545">
        <v>3600</v>
      </c>
      <c r="G70" s="533">
        <f t="shared" si="45"/>
        <v>93528</v>
      </c>
      <c r="H70" s="37">
        <v>2</v>
      </c>
      <c r="I70" s="543">
        <v>19</v>
      </c>
      <c r="J70" s="39">
        <v>2400</v>
      </c>
      <c r="K70" s="17">
        <f t="shared" si="49"/>
        <v>126.31578947368421</v>
      </c>
      <c r="L70" s="543">
        <v>19</v>
      </c>
      <c r="M70" s="18">
        <f t="shared" si="46"/>
        <v>2297.872340425532</v>
      </c>
      <c r="N70" s="17">
        <f t="shared" si="50"/>
        <v>120.94064949608064</v>
      </c>
      <c r="O70" s="19">
        <f t="shared" si="51"/>
        <v>0</v>
      </c>
      <c r="P70" s="20">
        <f t="shared" si="52"/>
        <v>-5.3751399776035669</v>
      </c>
      <c r="Q70" s="532">
        <f t="shared" si="53"/>
        <v>0.95744680851063846</v>
      </c>
      <c r="R70" s="637"/>
      <c r="S70" s="40">
        <v>0.38611111111111107</v>
      </c>
      <c r="T70" s="40">
        <v>0.45138888888888884</v>
      </c>
      <c r="U70" s="533">
        <f t="shared" si="48"/>
        <v>4.9999999999999822</v>
      </c>
      <c r="V70" s="544">
        <f t="shared" si="47"/>
        <v>93.999999999999986</v>
      </c>
      <c r="W70" s="23"/>
      <c r="X70" s="23"/>
      <c r="Y70" s="23"/>
      <c r="Z70" s="23"/>
      <c r="AA70" s="632"/>
      <c r="AB70" s="632"/>
      <c r="AC70" s="25"/>
      <c r="AD70" s="25"/>
      <c r="AE70" s="19">
        <f t="shared" si="43"/>
        <v>-102.127659574468</v>
      </c>
      <c r="AF70" s="532">
        <f t="shared" si="54"/>
        <v>0.95744680851063835</v>
      </c>
      <c r="AG70" s="637"/>
    </row>
    <row r="71" spans="1:33" ht="15.75" customHeight="1">
      <c r="A71" s="635" t="s">
        <v>2896</v>
      </c>
      <c r="B71" s="545" t="s">
        <v>116</v>
      </c>
      <c r="C71" s="633" t="s">
        <v>120</v>
      </c>
      <c r="D71" s="633"/>
      <c r="E71" s="42">
        <v>25.99</v>
      </c>
      <c r="F71" s="545">
        <v>1389</v>
      </c>
      <c r="G71" s="533">
        <f t="shared" si="45"/>
        <v>36100.11</v>
      </c>
      <c r="H71" s="37" t="s">
        <v>91</v>
      </c>
      <c r="I71" s="543">
        <v>18</v>
      </c>
      <c r="J71" s="39">
        <v>2400</v>
      </c>
      <c r="K71" s="17">
        <f t="shared" si="49"/>
        <v>133.33333333333334</v>
      </c>
      <c r="L71" s="543">
        <v>18</v>
      </c>
      <c r="M71" s="18">
        <f t="shared" si="46"/>
        <v>2314.9999999999982</v>
      </c>
      <c r="N71" s="17">
        <f t="shared" si="50"/>
        <v>128.611111111111</v>
      </c>
      <c r="O71" s="19">
        <f t="shared" si="51"/>
        <v>0</v>
      </c>
      <c r="P71" s="20">
        <f t="shared" si="52"/>
        <v>-4.7222222222223422</v>
      </c>
      <c r="Q71" s="532">
        <f t="shared" si="53"/>
        <v>0.96458333333333246</v>
      </c>
      <c r="R71" s="637"/>
      <c r="S71" s="40">
        <v>0.45555555555555549</v>
      </c>
      <c r="T71" s="40">
        <v>0.48055555555555551</v>
      </c>
      <c r="U71" s="533">
        <f t="shared" si="48"/>
        <v>5.9999999999999787</v>
      </c>
      <c r="V71" s="544">
        <f t="shared" si="47"/>
        <v>36.000000000000028</v>
      </c>
      <c r="W71" s="23">
        <f>T71</f>
        <v>0.48055555555555551</v>
      </c>
      <c r="X71" s="23">
        <f>S72</f>
        <v>0.52083333333333326</v>
      </c>
      <c r="Y71" s="23"/>
      <c r="Z71" s="23"/>
      <c r="AA71" s="632"/>
      <c r="AB71" s="632"/>
      <c r="AC71" s="25"/>
      <c r="AD71" s="25"/>
      <c r="AE71" s="19">
        <f t="shared" si="43"/>
        <v>-85.000000000001819</v>
      </c>
      <c r="AF71" s="532">
        <f t="shared" si="54"/>
        <v>0.96458333333333257</v>
      </c>
      <c r="AG71" s="637"/>
    </row>
    <row r="72" spans="1:33" ht="15.75" customHeight="1">
      <c r="A72" s="635" t="s">
        <v>2896</v>
      </c>
      <c r="B72" s="545" t="s">
        <v>116</v>
      </c>
      <c r="C72" s="633" t="s">
        <v>145</v>
      </c>
      <c r="D72" s="633"/>
      <c r="E72" s="42">
        <v>19.02</v>
      </c>
      <c r="F72" s="545">
        <v>5498</v>
      </c>
      <c r="G72" s="533">
        <f t="shared" si="45"/>
        <v>104571.95999999999</v>
      </c>
      <c r="H72" s="37" t="s">
        <v>91</v>
      </c>
      <c r="I72" s="543">
        <v>14</v>
      </c>
      <c r="J72" s="39">
        <v>2400</v>
      </c>
      <c r="K72" s="17">
        <f t="shared" si="49"/>
        <v>171.42857142857142</v>
      </c>
      <c r="L72" s="543">
        <v>14</v>
      </c>
      <c r="M72" s="18">
        <f t="shared" si="46"/>
        <v>2290.8333333333339</v>
      </c>
      <c r="N72" s="17">
        <f t="shared" si="50"/>
        <v>163.63095238095244</v>
      </c>
      <c r="O72" s="19">
        <f t="shared" si="51"/>
        <v>0</v>
      </c>
      <c r="P72" s="20">
        <f t="shared" si="52"/>
        <v>-7.7976190476189799</v>
      </c>
      <c r="Q72" s="532">
        <f t="shared" si="53"/>
        <v>0.95451388888888933</v>
      </c>
      <c r="R72" s="637"/>
      <c r="S72" s="40">
        <v>0.52083333333333326</v>
      </c>
      <c r="T72" s="40">
        <v>0.62083333333333324</v>
      </c>
      <c r="U72" s="533">
        <f t="shared" si="48"/>
        <v>57.999999999999957</v>
      </c>
      <c r="V72" s="544">
        <f t="shared" si="47"/>
        <v>143.99999999999997</v>
      </c>
      <c r="W72" s="23"/>
      <c r="X72" s="23"/>
      <c r="Y72" s="23"/>
      <c r="Z72" s="23"/>
      <c r="AA72" s="632"/>
      <c r="AB72" s="632"/>
      <c r="AC72" s="25"/>
      <c r="AD72" s="25"/>
      <c r="AE72" s="19">
        <f t="shared" si="43"/>
        <v>-109.16666666666606</v>
      </c>
      <c r="AF72" s="532">
        <f t="shared" si="54"/>
        <v>0.95451388888888911</v>
      </c>
      <c r="AG72" s="637"/>
    </row>
    <row r="73" spans="1:33" ht="15.75" customHeight="1">
      <c r="A73" s="635" t="s">
        <v>2896</v>
      </c>
      <c r="B73" s="545" t="s">
        <v>116</v>
      </c>
      <c r="C73" s="625" t="s">
        <v>118</v>
      </c>
      <c r="D73" s="626"/>
      <c r="E73" s="42">
        <v>26.37</v>
      </c>
      <c r="F73" s="545">
        <v>3157</v>
      </c>
      <c r="G73" s="533">
        <f t="shared" si="45"/>
        <v>83250.09</v>
      </c>
      <c r="H73" s="37" t="s">
        <v>91</v>
      </c>
      <c r="I73" s="543">
        <v>18</v>
      </c>
      <c r="J73" s="39">
        <v>2400</v>
      </c>
      <c r="K73" s="17">
        <f t="shared" si="49"/>
        <v>133.33333333333334</v>
      </c>
      <c r="L73" s="543">
        <v>18</v>
      </c>
      <c r="M73" s="18">
        <f t="shared" si="46"/>
        <v>2309.9999999999991</v>
      </c>
      <c r="N73" s="17">
        <f t="shared" si="50"/>
        <v>128.33333333333329</v>
      </c>
      <c r="O73" s="19">
        <f t="shared" si="51"/>
        <v>0</v>
      </c>
      <c r="P73" s="20">
        <f t="shared" si="52"/>
        <v>-5.0000000000000568</v>
      </c>
      <c r="Q73" s="532">
        <f t="shared" si="53"/>
        <v>0.96249999999999958</v>
      </c>
      <c r="R73" s="637"/>
      <c r="S73" s="40">
        <v>0.62569444444444433</v>
      </c>
      <c r="T73" s="40">
        <v>0.6826388888888888</v>
      </c>
      <c r="U73" s="533">
        <f t="shared" si="48"/>
        <v>6.9999999999999751</v>
      </c>
      <c r="V73" s="544">
        <f t="shared" si="47"/>
        <v>82.000000000000028</v>
      </c>
      <c r="W73" s="23"/>
      <c r="X73" s="23"/>
      <c r="Y73" s="26"/>
      <c r="Z73" s="26"/>
      <c r="AA73" s="627"/>
      <c r="AB73" s="628"/>
      <c r="AC73" s="25"/>
      <c r="AD73" s="25"/>
      <c r="AE73" s="19">
        <f t="shared" si="43"/>
        <v>-90.000000000000909</v>
      </c>
      <c r="AF73" s="532">
        <f t="shared" si="54"/>
        <v>0.96249999999999958</v>
      </c>
      <c r="AG73" s="637"/>
    </row>
    <row r="74" spans="1:33" ht="15.75" customHeight="1">
      <c r="A74" s="635" t="s">
        <v>2896</v>
      </c>
      <c r="B74" s="545" t="s">
        <v>116</v>
      </c>
      <c r="C74" s="625" t="s">
        <v>1859</v>
      </c>
      <c r="D74" s="626"/>
      <c r="E74" s="42">
        <v>25.98</v>
      </c>
      <c r="F74" s="545">
        <v>2675</v>
      </c>
      <c r="G74" s="533">
        <f t="shared" si="45"/>
        <v>69496.5</v>
      </c>
      <c r="H74" s="37" t="s">
        <v>91</v>
      </c>
      <c r="I74" s="543">
        <v>19</v>
      </c>
      <c r="J74" s="39">
        <v>2400</v>
      </c>
      <c r="K74" s="17">
        <f t="shared" si="49"/>
        <v>126.31578947368421</v>
      </c>
      <c r="L74" s="543">
        <v>19</v>
      </c>
      <c r="M74" s="18">
        <f t="shared" si="46"/>
        <v>2292.8571428571404</v>
      </c>
      <c r="N74" s="17">
        <f t="shared" si="50"/>
        <v>120.67669172932318</v>
      </c>
      <c r="O74" s="19">
        <f t="shared" si="51"/>
        <v>0</v>
      </c>
      <c r="P74" s="20">
        <f t="shared" si="52"/>
        <v>-5.639097744361024</v>
      </c>
      <c r="Q74" s="532">
        <f t="shared" si="53"/>
        <v>0.95535714285714191</v>
      </c>
      <c r="R74" s="637"/>
      <c r="S74" s="40">
        <v>0.68680555555555545</v>
      </c>
      <c r="T74" s="40">
        <v>0.73541666666666661</v>
      </c>
      <c r="U74" s="533">
        <f t="shared" si="48"/>
        <v>5.9999999999999787</v>
      </c>
      <c r="V74" s="544">
        <f t="shared" si="47"/>
        <v>70.000000000000071</v>
      </c>
      <c r="W74" s="23"/>
      <c r="X74" s="23"/>
      <c r="Y74" s="26"/>
      <c r="Z74" s="26"/>
      <c r="AA74" s="627"/>
      <c r="AB74" s="628"/>
      <c r="AC74" s="25"/>
      <c r="AD74" s="25"/>
      <c r="AE74" s="19">
        <f t="shared" si="43"/>
        <v>-107.14285714285961</v>
      </c>
      <c r="AF74" s="532">
        <f t="shared" si="54"/>
        <v>0.95535714285714179</v>
      </c>
      <c r="AG74" s="637"/>
    </row>
    <row r="75" spans="1:33" ht="16.5" customHeight="1">
      <c r="A75" s="636" t="s">
        <v>2896</v>
      </c>
      <c r="B75" s="42" t="s">
        <v>2883</v>
      </c>
      <c r="C75" s="629"/>
      <c r="D75" s="630"/>
      <c r="E75" s="535"/>
      <c r="F75" s="44"/>
      <c r="G75" s="17"/>
      <c r="H75" s="545"/>
      <c r="I75" s="29">
        <v>17.25</v>
      </c>
      <c r="J75" s="39">
        <v>2400</v>
      </c>
      <c r="K75" s="17">
        <f t="shared" si="49"/>
        <v>139.13043478260869</v>
      </c>
      <c r="L75" s="29">
        <v>17.25</v>
      </c>
      <c r="M75" s="18">
        <f>AVERAGE(M67:M74)</f>
        <v>2297.6885534490443</v>
      </c>
      <c r="N75" s="17">
        <f t="shared" si="50"/>
        <v>133.19933643182867</v>
      </c>
      <c r="O75" s="19">
        <f t="shared" si="51"/>
        <v>0</v>
      </c>
      <c r="P75" s="20">
        <f t="shared" si="52"/>
        <v>-5.9310983507800188</v>
      </c>
      <c r="Q75" s="532">
        <f t="shared" si="53"/>
        <v>0.95737023060376858</v>
      </c>
      <c r="R75" s="637"/>
      <c r="S75" s="40"/>
      <c r="T75" s="40"/>
      <c r="U75" s="17"/>
      <c r="V75" s="544"/>
      <c r="W75" s="17"/>
      <c r="X75" s="17"/>
      <c r="Y75" s="30">
        <f>SUM(Y67:Y74)</f>
        <v>0</v>
      </c>
      <c r="Z75" s="30">
        <f>SUM(Z67:Z74)</f>
        <v>0</v>
      </c>
      <c r="AA75" s="631"/>
      <c r="AB75" s="631"/>
      <c r="AC75" s="30">
        <v>8</v>
      </c>
      <c r="AD75" s="30">
        <f>SUM(AD67:AD74)</f>
        <v>0</v>
      </c>
      <c r="AE75" s="19">
        <f t="shared" si="43"/>
        <v>-102.31144655095568</v>
      </c>
      <c r="AF75" s="532">
        <f t="shared" si="54"/>
        <v>0.95737023060376847</v>
      </c>
      <c r="AG75" s="637"/>
    </row>
    <row r="76" spans="1:33">
      <c r="D76" s="33"/>
      <c r="E76" s="33"/>
    </row>
  </sheetData>
  <mergeCells count="197"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AG10:AG14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A13:AB13"/>
    <mergeCell ref="C14:D14"/>
    <mergeCell ref="AA14:AB14"/>
    <mergeCell ref="A15:A22"/>
    <mergeCell ref="C15:D15"/>
    <mergeCell ref="R15:R22"/>
    <mergeCell ref="AA15:AB15"/>
    <mergeCell ref="AA22:AB22"/>
    <mergeCell ref="A10:A14"/>
    <mergeCell ref="C10:D10"/>
    <mergeCell ref="R10:R14"/>
    <mergeCell ref="AA10:AB10"/>
    <mergeCell ref="AG15:AG22"/>
    <mergeCell ref="C16:D16"/>
    <mergeCell ref="AA16:AB16"/>
    <mergeCell ref="C17:D17"/>
    <mergeCell ref="AA17:AB17"/>
    <mergeCell ref="C18:D18"/>
    <mergeCell ref="AA18:AB18"/>
    <mergeCell ref="C19:D19"/>
    <mergeCell ref="AA19:AB19"/>
    <mergeCell ref="C22:D22"/>
    <mergeCell ref="A23:A29"/>
    <mergeCell ref="C23:D23"/>
    <mergeCell ref="R23:R29"/>
    <mergeCell ref="AA23:AB23"/>
    <mergeCell ref="AG23:AG29"/>
    <mergeCell ref="C24:D24"/>
    <mergeCell ref="AA24:AB24"/>
    <mergeCell ref="C25:D25"/>
    <mergeCell ref="AA25:AB25"/>
    <mergeCell ref="C26:D26"/>
    <mergeCell ref="AG30:AG37"/>
    <mergeCell ref="C31:D31"/>
    <mergeCell ref="AA31:AB31"/>
    <mergeCell ref="C32:D32"/>
    <mergeCell ref="AA32:AB32"/>
    <mergeCell ref="C33:D33"/>
    <mergeCell ref="AA26:AB26"/>
    <mergeCell ref="C27:D27"/>
    <mergeCell ref="AA27:AB27"/>
    <mergeCell ref="C28:D28"/>
    <mergeCell ref="AA28:AB28"/>
    <mergeCell ref="C29:D29"/>
    <mergeCell ref="AA29:AB29"/>
    <mergeCell ref="AA33:AB33"/>
    <mergeCell ref="C34:D34"/>
    <mergeCell ref="AA34:AB34"/>
    <mergeCell ref="C35:D35"/>
    <mergeCell ref="AA35:AB35"/>
    <mergeCell ref="C36:D36"/>
    <mergeCell ref="AA36:AB36"/>
    <mergeCell ref="A30:A37"/>
    <mergeCell ref="C30:D30"/>
    <mergeCell ref="R30:R37"/>
    <mergeCell ref="AA30:AB30"/>
    <mergeCell ref="C37:D37"/>
    <mergeCell ref="AA37:AB37"/>
    <mergeCell ref="A38:A46"/>
    <mergeCell ref="C38:D38"/>
    <mergeCell ref="R38:R46"/>
    <mergeCell ref="AA38:AB38"/>
    <mergeCell ref="AA43:AB43"/>
    <mergeCell ref="C44:D44"/>
    <mergeCell ref="AA44:AB44"/>
    <mergeCell ref="C45:D45"/>
    <mergeCell ref="AA45:AB45"/>
    <mergeCell ref="C46:D46"/>
    <mergeCell ref="AA46:AB46"/>
    <mergeCell ref="A47:A50"/>
    <mergeCell ref="C47:D47"/>
    <mergeCell ref="R47:R50"/>
    <mergeCell ref="AA47:AB47"/>
    <mergeCell ref="AG38:AG46"/>
    <mergeCell ref="C39:D39"/>
    <mergeCell ref="AA39:AB39"/>
    <mergeCell ref="C40:D40"/>
    <mergeCell ref="AA40:AB40"/>
    <mergeCell ref="C41:D41"/>
    <mergeCell ref="AA41:AB41"/>
    <mergeCell ref="C42:D42"/>
    <mergeCell ref="AA42:AB42"/>
    <mergeCell ref="C43:D43"/>
    <mergeCell ref="AG51:AG60"/>
    <mergeCell ref="C52:D52"/>
    <mergeCell ref="AA52:AB52"/>
    <mergeCell ref="C53:D53"/>
    <mergeCell ref="AA53:AB53"/>
    <mergeCell ref="AA54:AB54"/>
    <mergeCell ref="AG47:AG50"/>
    <mergeCell ref="C48:D48"/>
    <mergeCell ref="AA48:AB48"/>
    <mergeCell ref="C49:D49"/>
    <mergeCell ref="AA49:AB49"/>
    <mergeCell ref="C50:D50"/>
    <mergeCell ref="AA50:AB50"/>
    <mergeCell ref="C60:D60"/>
    <mergeCell ref="AA60:AB60"/>
    <mergeCell ref="A61:A66"/>
    <mergeCell ref="C61:D61"/>
    <mergeCell ref="R61:R66"/>
    <mergeCell ref="AA61:AB61"/>
    <mergeCell ref="AA66:AB66"/>
    <mergeCell ref="AA55:AB55"/>
    <mergeCell ref="C56:D56"/>
    <mergeCell ref="AA56:AB56"/>
    <mergeCell ref="C57:D57"/>
    <mergeCell ref="AA57:AB57"/>
    <mergeCell ref="C58:D58"/>
    <mergeCell ref="AA58:AB58"/>
    <mergeCell ref="A51:A60"/>
    <mergeCell ref="C51:D51"/>
    <mergeCell ref="R51:R60"/>
    <mergeCell ref="AA51:AB51"/>
    <mergeCell ref="AG61:AG66"/>
    <mergeCell ref="C62:D62"/>
    <mergeCell ref="AA62:AB62"/>
    <mergeCell ref="C63:D63"/>
    <mergeCell ref="AA63:AB63"/>
    <mergeCell ref="C64:D64"/>
    <mergeCell ref="AA64:AB64"/>
    <mergeCell ref="C65:D65"/>
    <mergeCell ref="AA65:AB65"/>
    <mergeCell ref="C66:D66"/>
    <mergeCell ref="A67:A75"/>
    <mergeCell ref="C67:D67"/>
    <mergeCell ref="R67:R75"/>
    <mergeCell ref="AA67:AB67"/>
    <mergeCell ref="AG67:AG75"/>
    <mergeCell ref="C68:D68"/>
    <mergeCell ref="AA68:AB68"/>
    <mergeCell ref="C69:D69"/>
    <mergeCell ref="AA69:AB69"/>
    <mergeCell ref="C70:D70"/>
    <mergeCell ref="C74:D74"/>
    <mergeCell ref="AA74:AB74"/>
    <mergeCell ref="C75:D75"/>
    <mergeCell ref="AA75:AB75"/>
    <mergeCell ref="AA70:AB70"/>
    <mergeCell ref="C71:D71"/>
    <mergeCell ref="AA71:AB71"/>
    <mergeCell ref="C72:D72"/>
    <mergeCell ref="AA72:AB72"/>
    <mergeCell ref="C73:D73"/>
    <mergeCell ref="AA73:AB73"/>
  </mergeCells>
  <phoneticPr fontId="3" type="noConversion"/>
  <conditionalFormatting sqref="O64:O72 O60:O61 O75 O5:O10 O14:O16 O22:O56">
    <cfRule type="cellIs" dxfId="2094" priority="66" operator="greaterThan">
      <formula>0</formula>
    </cfRule>
  </conditionalFormatting>
  <conditionalFormatting sqref="P5:P8 P64:P65 AE64:AE65 P67:P72 P30:P36 P61 P10 P14:P16 P23:P28 P51:P56 P38:P49 AE5:AE61 AE67:AE75">
    <cfRule type="cellIs" dxfId="2093" priority="70" operator="lessThan">
      <formula>0</formula>
    </cfRule>
  </conditionalFormatting>
  <conditionalFormatting sqref="AF64:AF65 Q64:Q72 Q60:Q61 Q75 Q5:Q10 Q14:Q16 Q22:Q56 AF5:AF61 AF67:AF75">
    <cfRule type="cellIs" dxfId="2092" priority="67" operator="greaterThan">
      <formula>1</formula>
    </cfRule>
    <cfRule type="cellIs" dxfId="2091" priority="68" operator="lessThan">
      <formula>0.8</formula>
    </cfRule>
  </conditionalFormatting>
  <conditionalFormatting sqref="AG15:AG16 R15:R16 AG64 R64:R72 AG60:AG61 R60:R61 R75 AG5:AG10 R5:R10 AG22:AG56 R22:R56">
    <cfRule type="cellIs" dxfId="2090" priority="72" operator="lessThan">
      <formula>0.8</formula>
    </cfRule>
  </conditionalFormatting>
  <conditionalFormatting sqref="AG47">
    <cfRule type="cellIs" dxfId="2089" priority="74" operator="lessThan">
      <formula>0.8</formula>
    </cfRule>
  </conditionalFormatting>
  <conditionalFormatting sqref="AG23:AG28">
    <cfRule type="cellIs" dxfId="2088" priority="71" operator="lessThan">
      <formula>0.8</formula>
    </cfRule>
  </conditionalFormatting>
  <conditionalFormatting sqref="AG30">
    <cfRule type="cellIs" dxfId="2087" priority="73" operator="lessThan">
      <formula>0.8</formula>
    </cfRule>
  </conditionalFormatting>
  <conditionalFormatting sqref="AG38:AG45">
    <cfRule type="cellIs" dxfId="2086" priority="69" operator="lessThan">
      <formula>0.8</formula>
    </cfRule>
  </conditionalFormatting>
  <conditionalFormatting sqref="AE66">
    <cfRule type="cellIs" dxfId="2085" priority="65" operator="lessThan">
      <formula>0</formula>
    </cfRule>
  </conditionalFormatting>
  <conditionalFormatting sqref="AF66">
    <cfRule type="cellIs" dxfId="2084" priority="63" operator="greaterThan">
      <formula>1</formula>
    </cfRule>
    <cfRule type="cellIs" dxfId="2083" priority="64" operator="lessThan">
      <formula>0.8</formula>
    </cfRule>
  </conditionalFormatting>
  <conditionalFormatting sqref="O17:O18">
    <cfRule type="cellIs" dxfId="2082" priority="58" operator="greaterThan">
      <formula>0</formula>
    </cfRule>
  </conditionalFormatting>
  <conditionalFormatting sqref="P17:P18">
    <cfRule type="cellIs" dxfId="2081" priority="61" operator="lessThan">
      <formula>0</formula>
    </cfRule>
  </conditionalFormatting>
  <conditionalFormatting sqref="Q17:Q18">
    <cfRule type="cellIs" dxfId="2080" priority="59" operator="greaterThan">
      <formula>1</formula>
    </cfRule>
    <cfRule type="cellIs" dxfId="2079" priority="60" operator="lessThan">
      <formula>0.8</formula>
    </cfRule>
  </conditionalFormatting>
  <conditionalFormatting sqref="R17:R18 AG17:AG18">
    <cfRule type="cellIs" dxfId="2078" priority="62" operator="lessThan">
      <formula>0.8</formula>
    </cfRule>
  </conditionalFormatting>
  <conditionalFormatting sqref="O11:O13">
    <cfRule type="cellIs" dxfId="2077" priority="54" operator="greaterThan">
      <formula>0</formula>
    </cfRule>
  </conditionalFormatting>
  <conditionalFormatting sqref="P11:P13">
    <cfRule type="cellIs" dxfId="2076" priority="57" operator="lessThan">
      <formula>0</formula>
    </cfRule>
  </conditionalFormatting>
  <conditionalFormatting sqref="Q11:Q13">
    <cfRule type="cellIs" dxfId="2075" priority="55" operator="greaterThan">
      <formula>1</formula>
    </cfRule>
    <cfRule type="cellIs" dxfId="2074" priority="56" operator="lessThan">
      <formula>0.8</formula>
    </cfRule>
  </conditionalFormatting>
  <conditionalFormatting sqref="O57">
    <cfRule type="cellIs" dxfId="2073" priority="49" operator="greaterThan">
      <formula>0</formula>
    </cfRule>
  </conditionalFormatting>
  <conditionalFormatting sqref="P57">
    <cfRule type="cellIs" dxfId="2072" priority="52" operator="lessThan">
      <formula>0</formula>
    </cfRule>
  </conditionalFormatting>
  <conditionalFormatting sqref="Q57">
    <cfRule type="cellIs" dxfId="2071" priority="50" operator="greaterThan">
      <formula>1</formula>
    </cfRule>
    <cfRule type="cellIs" dxfId="2070" priority="51" operator="lessThan">
      <formula>0.8</formula>
    </cfRule>
  </conditionalFormatting>
  <conditionalFormatting sqref="R57 AG57">
    <cfRule type="cellIs" dxfId="2069" priority="53" operator="lessThan">
      <formula>0.8</formula>
    </cfRule>
  </conditionalFormatting>
  <conditionalFormatting sqref="O63">
    <cfRule type="cellIs" dxfId="2068" priority="44" operator="greaterThan">
      <formula>0</formula>
    </cfRule>
  </conditionalFormatting>
  <conditionalFormatting sqref="P63 AE63">
    <cfRule type="cellIs" dxfId="2067" priority="47" operator="lessThan">
      <formula>0</formula>
    </cfRule>
  </conditionalFormatting>
  <conditionalFormatting sqref="Q63 AF63">
    <cfRule type="cellIs" dxfId="2066" priority="45" operator="greaterThan">
      <formula>1</formula>
    </cfRule>
    <cfRule type="cellIs" dxfId="2065" priority="46" operator="lessThan">
      <formula>0.8</formula>
    </cfRule>
  </conditionalFormatting>
  <conditionalFormatting sqref="R63 AG63">
    <cfRule type="cellIs" dxfId="2064" priority="48" operator="lessThan">
      <formula>0.8</formula>
    </cfRule>
  </conditionalFormatting>
  <conditionalFormatting sqref="O73">
    <cfRule type="cellIs" dxfId="2063" priority="39" operator="greaterThan">
      <formula>0</formula>
    </cfRule>
  </conditionalFormatting>
  <conditionalFormatting sqref="P73">
    <cfRule type="cellIs" dxfId="2062" priority="42" operator="lessThan">
      <formula>0</formula>
    </cfRule>
  </conditionalFormatting>
  <conditionalFormatting sqref="Q73">
    <cfRule type="cellIs" dxfId="2061" priority="40" operator="greaterThan">
      <formula>1</formula>
    </cfRule>
    <cfRule type="cellIs" dxfId="2060" priority="41" operator="lessThan">
      <formula>0.8</formula>
    </cfRule>
  </conditionalFormatting>
  <conditionalFormatting sqref="R73">
    <cfRule type="cellIs" dxfId="2059" priority="43" operator="lessThan">
      <formula>0.8</formula>
    </cfRule>
  </conditionalFormatting>
  <conditionalFormatting sqref="O19:O20">
    <cfRule type="cellIs" dxfId="2058" priority="34" operator="greaterThan">
      <formula>0</formula>
    </cfRule>
  </conditionalFormatting>
  <conditionalFormatting sqref="P19:P20">
    <cfRule type="cellIs" dxfId="2057" priority="37" operator="lessThan">
      <formula>0</formula>
    </cfRule>
  </conditionalFormatting>
  <conditionalFormatting sqref="Q19:Q20">
    <cfRule type="cellIs" dxfId="2056" priority="35" operator="greaterThan">
      <formula>1</formula>
    </cfRule>
    <cfRule type="cellIs" dxfId="2055" priority="36" operator="lessThan">
      <formula>0.8</formula>
    </cfRule>
  </conditionalFormatting>
  <conditionalFormatting sqref="R19:R20 AG19:AG20">
    <cfRule type="cellIs" dxfId="2054" priority="38" operator="lessThan">
      <formula>0.8</formula>
    </cfRule>
  </conditionalFormatting>
  <conditionalFormatting sqref="O58">
    <cfRule type="cellIs" dxfId="2053" priority="29" operator="greaterThan">
      <formula>0</formula>
    </cfRule>
  </conditionalFormatting>
  <conditionalFormatting sqref="P58">
    <cfRule type="cellIs" dxfId="2052" priority="32" operator="lessThan">
      <formula>0</formula>
    </cfRule>
  </conditionalFormatting>
  <conditionalFormatting sqref="Q58">
    <cfRule type="cellIs" dxfId="2051" priority="30" operator="greaterThan">
      <formula>1</formula>
    </cfRule>
    <cfRule type="cellIs" dxfId="2050" priority="31" operator="lessThan">
      <formula>0.8</formula>
    </cfRule>
  </conditionalFormatting>
  <conditionalFormatting sqref="AG58 R58">
    <cfRule type="cellIs" dxfId="2049" priority="33" operator="lessThan">
      <formula>0.8</formula>
    </cfRule>
  </conditionalFormatting>
  <conditionalFormatting sqref="O62">
    <cfRule type="cellIs" dxfId="2048" priority="24" operator="greaterThan">
      <formula>0</formula>
    </cfRule>
  </conditionalFormatting>
  <conditionalFormatting sqref="P62 AE62">
    <cfRule type="cellIs" dxfId="2047" priority="27" operator="lessThan">
      <formula>0</formula>
    </cfRule>
  </conditionalFormatting>
  <conditionalFormatting sqref="Q62 AF62">
    <cfRule type="cellIs" dxfId="2046" priority="25" operator="greaterThan">
      <formula>1</formula>
    </cfRule>
    <cfRule type="cellIs" dxfId="2045" priority="26" operator="lessThan">
      <formula>0.8</formula>
    </cfRule>
  </conditionalFormatting>
  <conditionalFormatting sqref="R62 AG62">
    <cfRule type="cellIs" dxfId="2044" priority="28" operator="lessThan">
      <formula>0.8</formula>
    </cfRule>
  </conditionalFormatting>
  <conditionalFormatting sqref="O21">
    <cfRule type="cellIs" dxfId="2043" priority="19" operator="greaterThan">
      <formula>0</formula>
    </cfRule>
  </conditionalFormatting>
  <conditionalFormatting sqref="P21">
    <cfRule type="cellIs" dxfId="2042" priority="22" operator="lessThan">
      <formula>0</formula>
    </cfRule>
  </conditionalFormatting>
  <conditionalFormatting sqref="Q21">
    <cfRule type="cellIs" dxfId="2041" priority="20" operator="greaterThan">
      <formula>1</formula>
    </cfRule>
    <cfRule type="cellIs" dxfId="2040" priority="21" operator="lessThan">
      <formula>0.8</formula>
    </cfRule>
  </conditionalFormatting>
  <conditionalFormatting sqref="AG21 R21">
    <cfRule type="cellIs" dxfId="2039" priority="23" operator="lessThan">
      <formula>0.8</formula>
    </cfRule>
  </conditionalFormatting>
  <conditionalFormatting sqref="P9">
    <cfRule type="cellIs" dxfId="2038" priority="18" operator="lessThan">
      <formula>0</formula>
    </cfRule>
  </conditionalFormatting>
  <conditionalFormatting sqref="P22">
    <cfRule type="cellIs" dxfId="2037" priority="17" operator="lessThan">
      <formula>0</formula>
    </cfRule>
  </conditionalFormatting>
  <conditionalFormatting sqref="P29">
    <cfRule type="cellIs" dxfId="2036" priority="16" operator="lessThan">
      <formula>0</formula>
    </cfRule>
  </conditionalFormatting>
  <conditionalFormatting sqref="P37">
    <cfRule type="cellIs" dxfId="2035" priority="15" operator="lessThan">
      <formula>0</formula>
    </cfRule>
  </conditionalFormatting>
  <conditionalFormatting sqref="P50">
    <cfRule type="cellIs" dxfId="2034" priority="14" operator="lessThan">
      <formula>0</formula>
    </cfRule>
  </conditionalFormatting>
  <conditionalFormatting sqref="P60">
    <cfRule type="cellIs" dxfId="2033" priority="13" operator="lessThan">
      <formula>0</formula>
    </cfRule>
  </conditionalFormatting>
  <conditionalFormatting sqref="P66">
    <cfRule type="cellIs" dxfId="2032" priority="12" operator="lessThan">
      <formula>0</formula>
    </cfRule>
  </conditionalFormatting>
  <conditionalFormatting sqref="P75">
    <cfRule type="cellIs" dxfId="2031" priority="11" operator="lessThan">
      <formula>0</formula>
    </cfRule>
  </conditionalFormatting>
  <conditionalFormatting sqref="O74">
    <cfRule type="cellIs" dxfId="2030" priority="6" operator="greaterThan">
      <formula>0</formula>
    </cfRule>
  </conditionalFormatting>
  <conditionalFormatting sqref="P74">
    <cfRule type="cellIs" dxfId="2029" priority="9" operator="lessThan">
      <formula>0</formula>
    </cfRule>
  </conditionalFormatting>
  <conditionalFormatting sqref="Q74">
    <cfRule type="cellIs" dxfId="2028" priority="7" operator="greaterThan">
      <formula>1</formula>
    </cfRule>
    <cfRule type="cellIs" dxfId="2027" priority="8" operator="lessThan">
      <formula>0.8</formula>
    </cfRule>
  </conditionalFormatting>
  <conditionalFormatting sqref="R74">
    <cfRule type="cellIs" dxfId="2026" priority="10" operator="lessThan">
      <formula>0.8</formula>
    </cfRule>
  </conditionalFormatting>
  <conditionalFormatting sqref="O59">
    <cfRule type="cellIs" dxfId="2025" priority="1" operator="greaterThan">
      <formula>0</formula>
    </cfRule>
  </conditionalFormatting>
  <conditionalFormatting sqref="P59">
    <cfRule type="cellIs" dxfId="2024" priority="4" operator="lessThan">
      <formula>0</formula>
    </cfRule>
  </conditionalFormatting>
  <conditionalFormatting sqref="Q59">
    <cfRule type="cellIs" dxfId="2023" priority="2" operator="greaterThan">
      <formula>1</formula>
    </cfRule>
    <cfRule type="cellIs" dxfId="2022" priority="3" operator="lessThan">
      <formula>0.8</formula>
    </cfRule>
  </conditionalFormatting>
  <conditionalFormatting sqref="AG59 R59">
    <cfRule type="cellIs" dxfId="2021" priority="5" operator="lessThan">
      <formula>0.8</formula>
    </cfRule>
  </conditionalFormatting>
  <dataValidations count="1">
    <dataValidation type="list" allowBlank="1" showInputMessage="1" showErrorMessage="1" sqref="AB9 AA5:AB8 AB65 AA9:AA65 AB11:AB61 AA66:AB75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O12" sqref="O12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612" t="s">
        <v>2700</v>
      </c>
      <c r="C1" s="612"/>
      <c r="D1" s="612"/>
      <c r="E1" s="612"/>
      <c r="F1" s="612"/>
      <c r="G1" s="612"/>
      <c r="H1" s="612"/>
      <c r="I1" s="612"/>
      <c r="J1" s="612"/>
      <c r="K1" s="51"/>
      <c r="L1" s="51"/>
      <c r="M1" s="51"/>
      <c r="N1" s="51"/>
      <c r="O1" s="51"/>
      <c r="P1" s="51"/>
    </row>
    <row r="2" spans="2:17" ht="27.75" customHeight="1">
      <c r="B2" s="613"/>
      <c r="C2" s="613"/>
      <c r="D2" s="613"/>
      <c r="E2" s="613"/>
      <c r="F2" s="613"/>
      <c r="G2" s="613"/>
      <c r="H2" s="613"/>
      <c r="I2" s="613"/>
      <c r="J2" s="613"/>
      <c r="K2" s="53"/>
      <c r="L2" s="53"/>
      <c r="M2" s="53"/>
      <c r="N2" s="51"/>
      <c r="O2" s="51"/>
      <c r="P2" s="51"/>
    </row>
    <row r="3" spans="2:17" ht="46.5" customHeight="1">
      <c r="B3" s="54" t="s">
        <v>2701</v>
      </c>
      <c r="C3" s="614" t="str">
        <f>TEXT('0829 4度C'!A2,"yyyy.mm.ddaaaa")</f>
        <v>2026.08.29星期六</v>
      </c>
      <c r="D3" s="615"/>
      <c r="E3" s="54" t="s">
        <v>2702</v>
      </c>
      <c r="F3" s="616">
        <f>'0829 4度C'!D1</f>
        <v>145160</v>
      </c>
      <c r="G3" s="617"/>
      <c r="H3" s="54" t="s">
        <v>2703</v>
      </c>
      <c r="I3" s="618">
        <f>'0829 4度C'!F1</f>
        <v>5143553.2300000004</v>
      </c>
      <c r="J3" s="619"/>
      <c r="K3" s="55"/>
      <c r="L3" s="56"/>
      <c r="M3" s="57"/>
      <c r="N3" s="57"/>
    </row>
    <row r="4" spans="2:17" ht="28.5" customHeight="1">
      <c r="B4" s="620" t="s">
        <v>2704</v>
      </c>
      <c r="C4" s="606" t="s">
        <v>2705</v>
      </c>
      <c r="D4" s="607"/>
      <c r="E4" s="623" t="s">
        <v>2706</v>
      </c>
      <c r="F4" s="624"/>
      <c r="G4" s="623" t="s">
        <v>2707</v>
      </c>
      <c r="H4" s="624"/>
      <c r="I4" s="623" t="s">
        <v>2708</v>
      </c>
      <c r="J4" s="624"/>
      <c r="K4" s="604" t="s">
        <v>2709</v>
      </c>
      <c r="L4" s="605"/>
      <c r="M4" s="605" t="s">
        <v>2326</v>
      </c>
      <c r="N4" s="605"/>
    </row>
    <row r="5" spans="2:17" ht="28.5" customHeight="1">
      <c r="B5" s="621"/>
      <c r="C5" s="606" t="s">
        <v>2710</v>
      </c>
      <c r="D5" s="607"/>
      <c r="E5" s="606" t="s">
        <v>2711</v>
      </c>
      <c r="F5" s="607"/>
      <c r="G5" s="608" t="s">
        <v>2712</v>
      </c>
      <c r="H5" s="609"/>
      <c r="I5" s="610" t="s">
        <v>2713</v>
      </c>
      <c r="J5" s="611"/>
      <c r="K5" s="58" t="s">
        <v>2714</v>
      </c>
      <c r="L5" s="59" t="s">
        <v>2715</v>
      </c>
      <c r="M5" s="58" t="s">
        <v>2714</v>
      </c>
      <c r="N5" s="59" t="s">
        <v>2716</v>
      </c>
    </row>
    <row r="6" spans="2:17" ht="28.5" customHeight="1">
      <c r="B6" s="621"/>
      <c r="C6" s="606" t="s">
        <v>169</v>
      </c>
      <c r="D6" s="607"/>
      <c r="E6" s="598">
        <f>AVERAGE(D13:M13)</f>
        <v>156.06947801246508</v>
      </c>
      <c r="F6" s="599">
        <f>AVERAGE(D31:O31,D13:J13)</f>
        <v>162.63589039399295</v>
      </c>
      <c r="G6" s="600">
        <f>AVERAGE(D13:J13)</f>
        <v>162.63589039399295</v>
      </c>
      <c r="H6" s="601"/>
      <c r="I6" s="600">
        <f>AVERAGE(K13:M13)</f>
        <v>140.74784912223336</v>
      </c>
      <c r="J6" s="601"/>
      <c r="K6" s="602">
        <f>'0829 4度C'!Y2</f>
        <v>0</v>
      </c>
      <c r="L6" s="587">
        <f>'0829 4度C'!Z2</f>
        <v>0</v>
      </c>
      <c r="M6" s="603">
        <f>'0829 4度C'!AC2</f>
        <v>52</v>
      </c>
      <c r="N6" s="587">
        <f>'0829 4度C'!AD2</f>
        <v>0</v>
      </c>
    </row>
    <row r="7" spans="2:17" ht="28.5" customHeight="1">
      <c r="B7" s="621"/>
      <c r="C7" s="588" t="s">
        <v>170</v>
      </c>
      <c r="D7" s="589"/>
      <c r="E7" s="590">
        <f>AVERAGE(D14:M14)</f>
        <v>149.44207571662275</v>
      </c>
      <c r="F7" s="591">
        <f>AVERAGE(D32:O32,D14:J14)</f>
        <v>155.81796172424291</v>
      </c>
      <c r="G7" s="592">
        <f>AVERAGE(D14:J14)</f>
        <v>155.81796172424291</v>
      </c>
      <c r="H7" s="593"/>
      <c r="I7" s="592">
        <f>AVERAGE(K14:M14)</f>
        <v>134.56500836550904</v>
      </c>
      <c r="J7" s="593"/>
      <c r="K7" s="602"/>
      <c r="L7" s="587"/>
      <c r="M7" s="603"/>
      <c r="N7" s="587"/>
    </row>
    <row r="8" spans="2:17" ht="28.5" customHeight="1">
      <c r="B8" s="622"/>
      <c r="C8" s="588" t="s">
        <v>171</v>
      </c>
      <c r="D8" s="589"/>
      <c r="E8" s="594">
        <f>AVERAGE(D15:M15)</f>
        <v>0.95827736938431141</v>
      </c>
      <c r="F8" s="595">
        <f>AVERAGE(D15:J15,D33:O33)</f>
        <v>0.95924252418017475</v>
      </c>
      <c r="G8" s="596">
        <f>AVERAGE(D15:J15)</f>
        <v>0.95924252418017475</v>
      </c>
      <c r="H8" s="597"/>
      <c r="I8" s="596">
        <f>AVERAGE(K15:M15)</f>
        <v>0.9560253415272969</v>
      </c>
      <c r="J8" s="597"/>
      <c r="K8" s="602"/>
      <c r="L8" s="587"/>
      <c r="M8" s="603"/>
      <c r="N8" s="587"/>
    </row>
    <row r="9" spans="2:17" ht="28.5" customHeight="1" thickBot="1">
      <c r="H9" s="61"/>
      <c r="K9" s="62" t="s">
        <v>2717</v>
      </c>
      <c r="N9" s="57"/>
      <c r="O9" s="57"/>
      <c r="P9" s="57"/>
      <c r="Q9" s="57"/>
    </row>
    <row r="10" spans="2:17" ht="30" customHeight="1">
      <c r="B10" s="570" t="s">
        <v>2718</v>
      </c>
      <c r="C10" s="571"/>
      <c r="D10" s="572" t="s">
        <v>2719</v>
      </c>
      <c r="E10" s="573"/>
      <c r="F10" s="573"/>
      <c r="G10" s="573"/>
      <c r="H10" s="573"/>
      <c r="I10" s="573"/>
      <c r="J10" s="574"/>
      <c r="K10" s="575" t="s">
        <v>2720</v>
      </c>
      <c r="L10" s="576"/>
      <c r="M10" s="577"/>
      <c r="P10" s="63"/>
      <c r="Q10" s="63"/>
    </row>
    <row r="11" spans="2:17" ht="17.25" customHeight="1">
      <c r="B11" s="578" t="s">
        <v>2721</v>
      </c>
      <c r="C11" s="579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80"/>
      <c r="C12" s="581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582" t="s">
        <v>2722</v>
      </c>
      <c r="C13" s="70" t="s">
        <v>2723</v>
      </c>
      <c r="D13" s="71">
        <f>SUMIFS('0829 4度C'!$K:$K,'0829 4度C'!$A:$A,"新豐6線",'0829 4度C'!$B:$B,"平均")</f>
        <v>129.03225806451613</v>
      </c>
      <c r="E13" s="72">
        <f>SUMIFS('0829 4度C'!$K:$K,'0829 4度C'!$A:$A,"新豐2線",'0829 4度C'!$B:$B,"平均")</f>
        <v>88.235294117647058</v>
      </c>
      <c r="F13" s="73">
        <f>SUMIFS('0829 4度C'!$K:$K,'0829 4度C'!$A:$A,"新豐5線",'0829 4度C'!$B:$B,"平均")</f>
        <v>96.899224806201559</v>
      </c>
      <c r="G13" s="73">
        <f>SUMIFS('0829 4度C'!$K:$K,'0829 4度C'!$A:$A,"新豐7線",'0829 4度C'!$B:$B,"平均")</f>
        <v>128.44036697247708</v>
      </c>
      <c r="H13" s="73">
        <f>SUMIFS('0829 4度C'!$K:$K,'0829 4度C'!$A:$A,"新豐3線",'0829 4度C'!$B:$B,"平均")</f>
        <v>300</v>
      </c>
      <c r="I13" s="73">
        <f>SUMIFS('0829 4度C'!$K:$K,'0829 4度C'!$A:$A,"新豐1線",'0829 4度C'!$B:$B,"平均")</f>
        <v>107.38255033557047</v>
      </c>
      <c r="J13" s="74">
        <f>SUMIFS('0829 4度C'!$K:$K,'0829 4度C'!$A:$A,"新豐10線",'0829 4度C'!$B:$B,"平均")</f>
        <v>288.46153846153845</v>
      </c>
      <c r="K13" s="75">
        <f>SUMIFS('0829 4度C'!$K:$K,'0829 4度C'!$A:$A,"新豐8線",'0829 4度C'!$B:$B,"平均")</f>
        <v>137.37373737373736</v>
      </c>
      <c r="L13" s="76">
        <f>SUMIFS('0829 4度C'!$K:$K,'0829 4度C'!$A:$A,"新豐9線",'0829 4度C'!$B:$B,"平均")</f>
        <v>146.9387755102041</v>
      </c>
      <c r="M13" s="74">
        <f>SUMIFS('0829 4度C'!$K:$K,'0829 4度C'!$A:$A,"新豐4線",'0829 4度C'!$B:$B,"平均")</f>
        <v>137.93103448275863</v>
      </c>
    </row>
    <row r="14" spans="2:17" ht="39.6" customHeight="1">
      <c r="B14" s="583"/>
      <c r="C14" s="77" t="s">
        <v>189</v>
      </c>
      <c r="D14" s="78">
        <f>SUMIFS('0829 4度C'!$N:$N,'0829 4度C'!$A:$A,"新豐6線",'0829 4度C'!$B:$B,"平均")</f>
        <v>124.19207204547121</v>
      </c>
      <c r="E14" s="79">
        <f>SUMIFS('0829 4度C'!$N:$N,'0829 4度C'!$A:$A,"新豐2線",'0829 4度C'!$B:$B,"平均")</f>
        <v>84.210978691066245</v>
      </c>
      <c r="F14" s="79">
        <f>SUMIFS('0829 4度C'!$N:$N,'0829 4度C'!$A:$A,"新豐5線",'0829 4度C'!$B:$B,"平均")</f>
        <v>92.893233074102284</v>
      </c>
      <c r="G14" s="79">
        <f>SUMIFS('0829 4度C'!$N:$N,'0829 4度C'!$A:$A,"新豐7線",'0829 4度C'!$B:$B,"平均")</f>
        <v>124.03467190149009</v>
      </c>
      <c r="H14" s="79">
        <f>SUMIFS('0829 4度C'!$N:$N,'0829 4度C'!$A:$A,"新豐3線",'0829 4度C'!$B:$B,"平均")</f>
        <v>285.94599915437863</v>
      </c>
      <c r="I14" s="79">
        <f>SUMIFS('0829 4度C'!$N:$N,'0829 4度C'!$A:$A,"新豐1線",'0829 4度C'!$B:$B,"平均")</f>
        <v>103.47294289135144</v>
      </c>
      <c r="J14" s="80">
        <f>SUMIFS('0829 4度C'!$N:$N,'0829 4度C'!$A:$A,"新豐10線",'0829 4度C'!$B:$B,"平均")</f>
        <v>275.97583431184046</v>
      </c>
      <c r="K14" s="81">
        <f>SUMIFS('0829 4度C'!$N:$N,'0829 4度C'!$A:$A,"新豐8線",'0829 4度C'!$B:$B,"平均")</f>
        <v>131.17975397859641</v>
      </c>
      <c r="L14" s="82">
        <f>SUMIFS('0829 4度C'!$N:$N,'0829 4度C'!$A:$A,"新豐9線",'0829 4度C'!$B:$B,"平均")</f>
        <v>140.78505470878264</v>
      </c>
      <c r="M14" s="80">
        <f>SUMIFS('0829 4度C'!$N:$N,'0829 4度C'!$A:$A,"新豐4線",'0829 4度C'!$B:$B,"平均")</f>
        <v>131.73021640914814</v>
      </c>
    </row>
    <row r="15" spans="2:17" ht="40.15" customHeight="1">
      <c r="B15" s="584"/>
      <c r="C15" s="83" t="s">
        <v>2724</v>
      </c>
      <c r="D15" s="84">
        <f t="shared" ref="D15:M15" si="0">D14/D13</f>
        <v>0.96248855835240188</v>
      </c>
      <c r="E15" s="85">
        <f t="shared" si="0"/>
        <v>0.95439109183208415</v>
      </c>
      <c r="F15" s="85">
        <f t="shared" si="0"/>
        <v>0.95865816532473547</v>
      </c>
      <c r="G15" s="85">
        <f t="shared" si="0"/>
        <v>0.96569851694731557</v>
      </c>
      <c r="H15" s="85">
        <f t="shared" si="0"/>
        <v>0.95315333051459539</v>
      </c>
      <c r="I15" s="85">
        <f t="shared" si="0"/>
        <v>0.96359178067571027</v>
      </c>
      <c r="J15" s="86">
        <f t="shared" si="0"/>
        <v>0.9567162256143803</v>
      </c>
      <c r="K15" s="84">
        <f t="shared" si="0"/>
        <v>0.95491144440301812</v>
      </c>
      <c r="L15" s="85">
        <f t="shared" si="0"/>
        <v>0.95812051121254838</v>
      </c>
      <c r="M15" s="86">
        <f t="shared" si="0"/>
        <v>0.95504406896632399</v>
      </c>
    </row>
    <row r="16" spans="2:17" ht="17.25" customHeight="1">
      <c r="B16" s="585" t="s">
        <v>2725</v>
      </c>
      <c r="C16" s="87" t="s">
        <v>2726</v>
      </c>
      <c r="D16" s="88">
        <f>VLOOKUP("新豐6線",'0829 4度C'!$A:$T,19,0)</f>
        <v>0.70833333333333337</v>
      </c>
      <c r="E16" s="89">
        <f>VLOOKUP("新豐2線",'0829 4度C'!$A:$T,19,0)</f>
        <v>8.3333333333333329E-2</v>
      </c>
      <c r="F16" s="89">
        <f>VLOOKUP("新豐5線",'0829 4度C'!$A:$T,19,0)</f>
        <v>0.20833333333333334</v>
      </c>
      <c r="G16" s="89">
        <f>VLOOKUP("新豐7線",'0829 4度C'!$A:$T,19,0)</f>
        <v>0.20833333333333334</v>
      </c>
      <c r="H16" s="89">
        <f>VLOOKUP("新豐3線",'0829 4度C'!$A:$T,19,0)</f>
        <v>0.20833333333333334</v>
      </c>
      <c r="I16" s="89">
        <f>VLOOKUP("新豐1線",'0829 4度C'!$A:$T,19,0)</f>
        <v>0.20833333333333334</v>
      </c>
      <c r="J16" s="90">
        <f>VLOOKUP("新豐10線",'0829 4度C'!$A:$T,19,0)</f>
        <v>0.20833333333333334</v>
      </c>
      <c r="K16" s="91">
        <f>VLOOKUP("新豐8線",'0829 4度C'!$A:$T,19,0)</f>
        <v>8.3333333333333329E-2</v>
      </c>
      <c r="L16" s="92">
        <f>VLOOKUP("新豐9線",'0829 4度C'!$A:$T,19,0)</f>
        <v>8.3333333333333329E-2</v>
      </c>
      <c r="M16" s="93">
        <f>VLOOKUP("新豐4線",'0829 4度C'!$A:$T,19,0)</f>
        <v>8.3333333333333329E-2</v>
      </c>
    </row>
    <row r="17" spans="2:13" ht="17.25" customHeight="1">
      <c r="B17" s="586"/>
      <c r="C17" s="87" t="s">
        <v>2727</v>
      </c>
      <c r="D17" s="91">
        <f>LOOKUP(2,1/(('0829 4度C'!$A:$A="新豐6線")*('0829 4度C'!$T:$T&lt;&gt;"")),'0829 4度C'!$T:$T)</f>
        <v>0.81250000000000011</v>
      </c>
      <c r="E17" s="89">
        <f>LOOKUP(2,1/(('0829 4度C'!$A:$A="新豐2線")*('0829 4度C'!$T:$T&lt;&gt;"")),'0829 4度C'!$T:$T)</f>
        <v>0.45277777777777772</v>
      </c>
      <c r="F17" s="89">
        <f>LOOKUP(2,1/(('0829 4度C'!$A:$A="新豐5線")*('0829 4度C'!$T:$T&lt;&gt;"")),'0829 4度C'!$T:$T)</f>
        <v>0.83402777777777781</v>
      </c>
      <c r="G17" s="89">
        <f>LOOKUP(2,1/(('0829 4度C'!$A:$A="新豐7線")*('0829 4度C'!$T:$T&lt;&gt;"")),'0829 4度C'!$T:$T)</f>
        <v>0.84722222222222221</v>
      </c>
      <c r="H17" s="89">
        <f>LOOKUP(2,1/(('0829 4度C'!$A:$A="新豐3線")*('0829 4度C'!$T:$T&lt;&gt;"")),'0829 4度C'!$T:$T)</f>
        <v>0.40208333333333335</v>
      </c>
      <c r="I17" s="89">
        <f>LOOKUP(2,1/(('0829 4度C'!$A:$A="新豐1線")*('0829 4度C'!$T:$T&lt;&gt;"")),'0829 4度C'!$T:$T)</f>
        <v>0.84305555555555567</v>
      </c>
      <c r="J17" s="90">
        <f>LOOKUP(2,1/(('0829 4度C'!$A:$A="新豐10線")*('0829 4度C'!$T:$T&lt;&gt;"")),'0829 4度C'!$T:$T)</f>
        <v>0.40972222222222221</v>
      </c>
      <c r="K17" s="88">
        <f>LOOKUP(2,1/(('0829 4度C'!$A:$A="新豐8線")*('0829 4度C'!$T:$T&lt;&gt;"")),'0829 4度C'!$T:$T)</f>
        <v>0.65208333333333335</v>
      </c>
      <c r="L17" s="89">
        <f>LOOKUP(2,1/(('0829 4度C'!$A:$A="新豐9線")*('0829 4度C'!$T:$T&lt;&gt;"")),'0829 4度C'!$T:$T)</f>
        <v>0.4819444444444444</v>
      </c>
      <c r="M17" s="90">
        <f>LOOKUP(2,1/(('0829 4度C'!$A:$A="新豐4線")*('0829 4度C'!$T:$T&lt;&gt;"")),'0829 4度C'!$T:$T)</f>
        <v>0.48611111111111105</v>
      </c>
    </row>
    <row r="18" spans="2:13" ht="17.25" customHeight="1">
      <c r="B18" s="564" t="s">
        <v>2728</v>
      </c>
      <c r="C18" s="94" t="s">
        <v>2019</v>
      </c>
      <c r="D18" s="95">
        <f>SUMIFS('0829 4度C'!$Y:$Y,'0829 4度C'!$A:$A,"新豐6線",'0829 4度C'!$B:$B,"平均")</f>
        <v>0</v>
      </c>
      <c r="E18" s="96">
        <f>SUMIFS('0829 4度C'!$Y:$Y,'0829 4度C'!$A:$A,"新豐2線",'0829 4度C'!$B:$B,"平均")</f>
        <v>0</v>
      </c>
      <c r="F18" s="96">
        <f>SUMIFS('0829 4度C'!$Y:$Y,'0829 4度C'!$A:$A,"新豐5線",'0829 4度C'!$B:$B,"平均")</f>
        <v>0</v>
      </c>
      <c r="G18" s="96">
        <f>SUMIFS('0829 4度C'!$Y:$Y,'0829 4度C'!$A:$A,"新豐7線",'0829 4度C'!$B:$B,"平均")</f>
        <v>0</v>
      </c>
      <c r="H18" s="96">
        <f>SUMIFS('0829 4度C'!$Y:$Y,'0829 4度C'!$A:$A,"新豐3線",'0829 4度C'!$B:$B,"平均")</f>
        <v>0</v>
      </c>
      <c r="I18" s="96">
        <f>SUMIFS('0829 4度C'!$Y:$Y,'0829 4度C'!$A:$A,"新豐1線",'0829 4度C'!$B:$B,"平均")</f>
        <v>0</v>
      </c>
      <c r="J18" s="97">
        <f>SUMIFS('0829 4度C'!$Y:$Y,'0829 4度C'!$A:$A,"新豐10線",'0829 4度C'!$B:$B,"平均")</f>
        <v>0</v>
      </c>
      <c r="K18" s="98">
        <f>SUMIFS('0829 4度C'!$Y:$Y,'0829 4度C'!$A:$A,"新豐8線",'0829 4度C'!$B:$B,"平均")</f>
        <v>0</v>
      </c>
      <c r="L18" s="96">
        <f>SUMIFS('0829 4度C'!$Y:$Y,'0829 4度C'!$A:$A,"新豐9線",'0829 4度C'!$B:$B,"平均")</f>
        <v>0</v>
      </c>
      <c r="M18" s="97">
        <f>SUMIFS('0829 4度C'!$Y:$Y,'0829 4度C'!$A:$A,"新豐4線",'0829 4度C'!$B:$B,"平均")</f>
        <v>0</v>
      </c>
    </row>
    <row r="19" spans="2:13" ht="17.25" customHeight="1">
      <c r="B19" s="565"/>
      <c r="C19" s="94" t="s">
        <v>196</v>
      </c>
      <c r="D19" s="95">
        <f>SUMIFS('0829 4度C'!$Z:$Z,'0829 4度C'!$A:$A,"新豐6線",'0829 4度C'!$B:$B,"平均")</f>
        <v>0</v>
      </c>
      <c r="E19" s="96">
        <f>SUMIFS('0829 4度C'!$Z:$Z,'0829 4度C'!$A:$A,"新豐2線",'0829 4度C'!$B:$B,"平均")</f>
        <v>0</v>
      </c>
      <c r="F19" s="96">
        <f>SUMIFS('0829 4度C'!$Z:$Z,'0829 4度C'!$A:$A,"新豐5線",'0829 4度C'!$B:$B,"平均")</f>
        <v>0</v>
      </c>
      <c r="G19" s="96">
        <f>SUMIFS('0829 4度C'!$Z:$Z,'0829 4度C'!$A:$A,"新豐7線",'0829 4度C'!$B:$B,"平均")</f>
        <v>0</v>
      </c>
      <c r="H19" s="96">
        <f>SUMIFS('0829 4度C'!$Z:$Z,'0829 4度C'!$A:$A,"新豐3線",'0829 4度C'!$B:$B,"平均")</f>
        <v>0</v>
      </c>
      <c r="I19" s="96">
        <f>SUMIFS('0829 4度C'!$Z:$Z,'0829 4度C'!$A:$A,"新豐1線",'0829 4度C'!$B:$B,"平均")</f>
        <v>0</v>
      </c>
      <c r="J19" s="97">
        <f>SUMIFS('0829 4度C'!$Z:$Z,'0829 4度C'!$A:$A,"新豐10線",'0829 4度C'!$B:$B,"平均")</f>
        <v>0</v>
      </c>
      <c r="K19" s="98">
        <f>SUMIFS('0829 4度C'!$Z:$Z,'0829 4度C'!$A:$A,"新豐8線",'0829 4度C'!$B:$B,"平均")</f>
        <v>0</v>
      </c>
      <c r="L19" s="96">
        <f>SUMIFS('0829 4度C'!$Z:$Z,'0829 4度C'!$A:$A,"新豐9線",'0829 4度C'!$B:$B,"平均")</f>
        <v>0</v>
      </c>
      <c r="M19" s="97">
        <f>SUMIFS('0829 4度C'!$Z:$Z,'0829 4度C'!$A:$A,"新豐4線",'0829 4度C'!$B:$B,"平均")</f>
        <v>0</v>
      </c>
    </row>
    <row r="20" spans="2:13" ht="17.25" customHeight="1">
      <c r="B20" s="564" t="s">
        <v>2729</v>
      </c>
      <c r="C20" s="94" t="s">
        <v>2730</v>
      </c>
      <c r="D20" s="95">
        <f>SUMIFS('0829 4度C'!$AC:$AC,'0829 4度C'!$A:$A,"新豐6線",'0829 4度C'!$B:$B,"平均")</f>
        <v>2</v>
      </c>
      <c r="E20" s="96">
        <f>SUMIFS('0829 4度C'!$AC:$AC,'0829 4度C'!$A:$A,"新豐2線",'0829 4度C'!$B:$B,"平均")</f>
        <v>3</v>
      </c>
      <c r="F20" s="96">
        <f>SUMIFS('0829 4度C'!$AC:$AC,'0829 4度C'!$A:$A,"新豐5線",'0829 4度C'!$B:$B,"平均")</f>
        <v>7</v>
      </c>
      <c r="G20" s="96">
        <f>SUMIFS('0829 4度C'!$AC:$AC,'0829 4度C'!$A:$A,"新豐7線",'0829 4度C'!$B:$B,"平均")</f>
        <v>7</v>
      </c>
      <c r="H20" s="96">
        <f>SUMIFS('0829 4度C'!$AC:$AC,'0829 4度C'!$A:$A,"新豐3線",'0829 4度C'!$B:$B,"平均")</f>
        <v>3</v>
      </c>
      <c r="I20" s="96">
        <f>SUMIFS('0829 4度C'!$AC:$AC,'0829 4度C'!$A:$A,"新豐1線",'0829 4度C'!$B:$B,"平均")</f>
        <v>8</v>
      </c>
      <c r="J20" s="97">
        <f>SUMIFS('0829 4度C'!$AC:$AC,'0829 4度C'!$A:$A,"新豐10線",'0829 4度C'!$B:$B,"平均")</f>
        <v>5</v>
      </c>
      <c r="K20" s="98">
        <f>SUMIFS('0829 4度C'!$AC:$AC,'0829 4度C'!$A:$A,"新豐8線",'0829 4度C'!$B:$B,"平均")</f>
        <v>6</v>
      </c>
      <c r="L20" s="96">
        <f>SUMIFS('0829 4度C'!$AC:$AC,'0829 4度C'!$A:$A,"新豐9線",'0829 4度C'!$B:$B,"平均")</f>
        <v>6</v>
      </c>
      <c r="M20" s="97">
        <f>SUMIFS('0829 4度C'!$AC:$AC,'0829 4度C'!$A:$A,"新豐4線",'0829 4度C'!$B:$B,"平均")</f>
        <v>5</v>
      </c>
    </row>
    <row r="21" spans="2:13" ht="17.25" customHeight="1">
      <c r="B21" s="565"/>
      <c r="C21" s="94" t="s">
        <v>2731</v>
      </c>
      <c r="D21" s="95">
        <f>SUMIFS('0829 4度C'!$AD:$AD,'0829 4度C'!$A:$A,"新豐6線",'0829 4度C'!$B:$B,"平均")</f>
        <v>0</v>
      </c>
      <c r="E21" s="96">
        <f>SUMIFS('0829 4度C'!$AD:$AD,'0829 4度C'!$A:$A,"新豐2線",'0829 4度C'!$B:$B,"平均")</f>
        <v>0</v>
      </c>
      <c r="F21" s="96">
        <f>SUMIFS('0829 4度C'!$AD:$AD,'0829 4度C'!$A:$A,"新豐5線",'0829 4度C'!$B:$B,"平均")</f>
        <v>0</v>
      </c>
      <c r="G21" s="96">
        <f>SUMIFS('0829 4度C'!$AD:$AD,'0829 4度C'!$A:$A,"新豐7線",'0829 4度C'!$B:$B,"平均")</f>
        <v>0</v>
      </c>
      <c r="H21" s="96">
        <f>SUMIFS('0829 4度C'!$AD:$AD,'0829 4度C'!$A:$A,"新豐3線",'0829 4度C'!$B:$B,"平均")</f>
        <v>0</v>
      </c>
      <c r="I21" s="96">
        <f>SUMIFS('0829 4度C'!$AD:$AD,'0829 4度C'!$A:$A,"新豐1線",'0829 4度C'!$B:$B,"平均")</f>
        <v>0</v>
      </c>
      <c r="J21" s="97">
        <f>SUMIFS('0829 4度C'!$AD:$AD,'0829 4度C'!$A:$A,"新豐10線",'0829 4度C'!$B:$B,"平均")</f>
        <v>0</v>
      </c>
      <c r="K21" s="98">
        <f>SUMIFS('0829 4度C'!$AD:$AD,'0829 4度C'!$A:$A,"新豐8線",'0829 4度C'!$B:$B,"平均")</f>
        <v>0</v>
      </c>
      <c r="L21" s="96">
        <f>SUMIFS('0829 4度C'!$AD:$AD,'0829 4度C'!$A:$A,"新豐9線",'0829 4度C'!$B:$B,"平均")</f>
        <v>0</v>
      </c>
      <c r="M21" s="97">
        <f>SUMIFS('0829 4度C'!$AD:$AD,'0829 4度C'!$A:$A,"新豐4線",'0829 4度C'!$B:$B,"平均")</f>
        <v>0</v>
      </c>
    </row>
    <row r="22" spans="2:13" ht="17.25" customHeight="1">
      <c r="B22" s="566" t="s">
        <v>2732</v>
      </c>
      <c r="C22" s="567"/>
      <c r="D22" s="99">
        <f>SUMIFS('0829 4度C'!$I:$I,'0829 4度C'!$A:$A,"新豐6線",'0829 4度C'!$B:$B,"平均")</f>
        <v>15.5</v>
      </c>
      <c r="E22" s="100">
        <f>SUMIFS('0829 4度C'!$I:$I,'0829 4度C'!$A:$A,"新豐2線",'0829 4度C'!$B:$B,"平均")</f>
        <v>17</v>
      </c>
      <c r="F22" s="100">
        <f>SUMIFS('0829 4度C'!$I:$I,'0829 4度C'!$A:$A,"新豐5線",'0829 4度C'!$B:$B,"平均")</f>
        <v>18.428571428571427</v>
      </c>
      <c r="G22" s="100">
        <f>SUMIFS('0829 4度C'!$I:$I,'0829 4度C'!$A:$A,"新豐7線",'0829 4度C'!$B:$B,"平均")</f>
        <v>15.571428571428571</v>
      </c>
      <c r="H22" s="100">
        <f>SUMIFS('0829 4度C'!$I:$I,'0829 4度C'!$A:$A,"新豐3線",'0829 4度C'!$B:$B,"平均")</f>
        <v>10</v>
      </c>
      <c r="I22" s="100">
        <f>SUMIFS('0829 4度C'!$I:$I,'0829 4度C'!$A:$A,"新豐1線",'0829 4度C'!$B:$B,"平均")</f>
        <v>18.625</v>
      </c>
      <c r="J22" s="101">
        <f>SUMIFS('0829 4度C'!$I:$I,'0829 4度C'!$A:$A,"新豐10線",'0829 4度C'!$B:$B,"平均")</f>
        <v>10.4</v>
      </c>
      <c r="K22" s="99">
        <f>SUMIFS('0829 4度C'!$I:$I,'0829 4度C'!$A:$A,"新豐8線",'0829 4度C'!$B:$B,"平均")</f>
        <v>16.5</v>
      </c>
      <c r="L22" s="100">
        <f>SUMIFS('0829 4度C'!$I:$I,'0829 4度C'!$A:$A,"新豐9線",'0829 4度C'!$B:$B,"平均")</f>
        <v>16.333333333333332</v>
      </c>
      <c r="M22" s="101">
        <f>SUMIFS('0829 4度C'!$I:$I,'0829 4度C'!$A:$A,"新豐4線",'0829 4度C'!$B:$B,"平均")</f>
        <v>17.399999999999999</v>
      </c>
    </row>
    <row r="23" spans="2:13" ht="17.25" customHeight="1">
      <c r="B23" s="566" t="s">
        <v>2733</v>
      </c>
      <c r="C23" s="567"/>
      <c r="D23" s="102" t="s">
        <v>202</v>
      </c>
      <c r="E23" s="103" t="s">
        <v>203</v>
      </c>
      <c r="F23" s="103" t="s">
        <v>2734</v>
      </c>
      <c r="G23" s="103" t="s">
        <v>2734</v>
      </c>
      <c r="H23" s="103" t="s">
        <v>205</v>
      </c>
      <c r="I23" s="103" t="s">
        <v>202</v>
      </c>
      <c r="J23" s="104" t="s">
        <v>205</v>
      </c>
      <c r="K23" s="102" t="s">
        <v>2735</v>
      </c>
      <c r="L23" s="103" t="s">
        <v>2736</v>
      </c>
      <c r="M23" s="104" t="s">
        <v>2735</v>
      </c>
    </row>
    <row r="24" spans="2:13" ht="17.25" customHeight="1">
      <c r="B24" s="566" t="s">
        <v>2737</v>
      </c>
      <c r="C24" s="567"/>
      <c r="D24" s="102"/>
      <c r="E24" s="103"/>
      <c r="F24" s="103" t="s">
        <v>2738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68" t="s">
        <v>2739</v>
      </c>
      <c r="C25" s="569"/>
      <c r="D25" s="105"/>
      <c r="E25" s="106" t="s">
        <v>2740</v>
      </c>
      <c r="F25" s="562" t="s">
        <v>2741</v>
      </c>
      <c r="G25" s="563"/>
      <c r="H25" s="106" t="s">
        <v>2742</v>
      </c>
      <c r="I25" s="106" t="s">
        <v>2743</v>
      </c>
      <c r="J25" s="107" t="s">
        <v>2744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2020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67"/>
  <sheetViews>
    <sheetView zoomScale="80" zoomScaleNormal="80" workbookViewId="0">
      <pane ySplit="4" topLeftCell="A32" activePane="bottomLeft" state="frozen"/>
      <selection activeCell="O12" sqref="O12"/>
      <selection pane="bottomLeft" activeCell="O12" sqref="O12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41" customWidth="1"/>
    <col min="20" max="20" width="7.625" style="41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2745</v>
      </c>
      <c r="B1" s="1"/>
      <c r="C1" s="2" t="s">
        <v>2746</v>
      </c>
      <c r="D1" s="3">
        <f>SUM(F5:F66)</f>
        <v>145160</v>
      </c>
      <c r="E1" s="520" t="s">
        <v>2747</v>
      </c>
      <c r="F1" s="1">
        <f>SUM(G5:G66)</f>
        <v>5143553.2300000004</v>
      </c>
      <c r="G1" s="1" t="s">
        <v>2748</v>
      </c>
      <c r="H1" s="5">
        <f>L7+L11+L45+L54+L19+L60+L34+L41+L27+L66</f>
        <v>155.75833333333335</v>
      </c>
      <c r="I1" s="676" t="s">
        <v>2749</v>
      </c>
      <c r="J1" s="676"/>
      <c r="K1" s="676"/>
      <c r="L1" s="676" t="s">
        <v>2750</v>
      </c>
      <c r="M1" s="676"/>
      <c r="N1" s="676"/>
      <c r="O1" s="676" t="s">
        <v>2751</v>
      </c>
      <c r="P1" s="676"/>
      <c r="Q1" s="676"/>
      <c r="R1" s="676"/>
      <c r="S1" s="676" t="s">
        <v>2752</v>
      </c>
      <c r="T1" s="676"/>
      <c r="U1" s="676"/>
      <c r="V1" s="676"/>
      <c r="W1" s="676"/>
      <c r="X1" s="676"/>
      <c r="Y1" s="6" t="s">
        <v>2753</v>
      </c>
      <c r="Z1" s="7" t="s">
        <v>2754</v>
      </c>
      <c r="AA1" s="677" t="s">
        <v>2755</v>
      </c>
      <c r="AB1" s="677"/>
      <c r="AC1" s="8" t="s">
        <v>2368</v>
      </c>
      <c r="AD1" s="7" t="s">
        <v>2756</v>
      </c>
      <c r="AE1" s="676" t="s">
        <v>2757</v>
      </c>
      <c r="AF1" s="678"/>
      <c r="AG1" s="678"/>
    </row>
    <row r="2" spans="1:33" ht="26.25" customHeight="1">
      <c r="A2" s="35">
        <v>46263</v>
      </c>
      <c r="B2" s="36" t="s">
        <v>90</v>
      </c>
      <c r="C2" s="2" t="s">
        <v>2722</v>
      </c>
      <c r="D2" s="10">
        <f>AVERAGE(N7,N11,N45,N54,N19,N60,N27,N34,N41,N66)</f>
        <v>149.44207571662275</v>
      </c>
      <c r="E2" s="11" t="s">
        <v>14</v>
      </c>
      <c r="F2" s="12">
        <f>F1/D1</f>
        <v>35.43368166161477</v>
      </c>
      <c r="G2" s="1" t="s">
        <v>2758</v>
      </c>
      <c r="H2" s="531">
        <f>COUNT(H5:H66)</f>
        <v>2</v>
      </c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14">
        <f>SUM(Y7+Y11+Y19+Y27+Y34+Y41+Y45+Y54+Y60+Y66)</f>
        <v>0</v>
      </c>
      <c r="Z2" s="14">
        <f>SUM(Z7+Z11+Z19+Z27+Z34+Z41+Z45+Z54+Z60+Z66)</f>
        <v>0</v>
      </c>
      <c r="AA2" s="677"/>
      <c r="AB2" s="677"/>
      <c r="AC2" s="14">
        <v>52</v>
      </c>
      <c r="AD2" s="14">
        <f>SUM(AD7+AD11+AD19+AD27+AD34+AD41+AD45+AD54+AD60+AD66)</f>
        <v>0</v>
      </c>
      <c r="AE2" s="678"/>
      <c r="AF2" s="678"/>
      <c r="AG2" s="678"/>
    </row>
    <row r="3" spans="1:33" ht="40.5" customHeight="1">
      <c r="A3" s="632" t="s">
        <v>2759</v>
      </c>
      <c r="B3" s="632" t="s">
        <v>2760</v>
      </c>
      <c r="C3" s="632" t="s">
        <v>2761</v>
      </c>
      <c r="D3" s="632"/>
      <c r="E3" s="674" t="s">
        <v>2762</v>
      </c>
      <c r="F3" s="632" t="s">
        <v>2763</v>
      </c>
      <c r="G3" s="674" t="s">
        <v>2764</v>
      </c>
      <c r="H3" s="667" t="s">
        <v>2765</v>
      </c>
      <c r="I3" s="665" t="s">
        <v>2766</v>
      </c>
      <c r="J3" s="662" t="s">
        <v>2767</v>
      </c>
      <c r="K3" s="672" t="s">
        <v>2722</v>
      </c>
      <c r="L3" s="665" t="s">
        <v>2766</v>
      </c>
      <c r="M3" s="662" t="s">
        <v>2767</v>
      </c>
      <c r="N3" s="672" t="s">
        <v>2722</v>
      </c>
      <c r="O3" s="665" t="s">
        <v>2766</v>
      </c>
      <c r="P3" s="672" t="s">
        <v>2722</v>
      </c>
      <c r="Q3" s="663" t="s">
        <v>2768</v>
      </c>
      <c r="R3" s="641" t="s">
        <v>2038</v>
      </c>
      <c r="S3" s="673" t="s">
        <v>29</v>
      </c>
      <c r="T3" s="673"/>
      <c r="U3" s="667" t="s">
        <v>30</v>
      </c>
      <c r="V3" s="667" t="s">
        <v>2769</v>
      </c>
      <c r="W3" s="632" t="s">
        <v>2770</v>
      </c>
      <c r="X3" s="632"/>
      <c r="Y3" s="668" t="s">
        <v>2771</v>
      </c>
      <c r="Z3" s="631"/>
      <c r="AA3" s="669" t="s">
        <v>2772</v>
      </c>
      <c r="AB3" s="670"/>
      <c r="AC3" s="668" t="s">
        <v>2773</v>
      </c>
      <c r="AD3" s="631"/>
      <c r="AE3" s="662" t="s">
        <v>2774</v>
      </c>
      <c r="AF3" s="663" t="s">
        <v>2775</v>
      </c>
      <c r="AG3" s="641" t="s">
        <v>2038</v>
      </c>
    </row>
    <row r="4" spans="1:33" ht="15.75" customHeight="1">
      <c r="A4" s="632"/>
      <c r="B4" s="632"/>
      <c r="C4" s="632"/>
      <c r="D4" s="632"/>
      <c r="E4" s="675"/>
      <c r="F4" s="632"/>
      <c r="G4" s="675"/>
      <c r="H4" s="667"/>
      <c r="I4" s="665"/>
      <c r="J4" s="662"/>
      <c r="K4" s="672"/>
      <c r="L4" s="665"/>
      <c r="M4" s="662"/>
      <c r="N4" s="672"/>
      <c r="O4" s="665"/>
      <c r="P4" s="672"/>
      <c r="Q4" s="663"/>
      <c r="R4" s="641"/>
      <c r="S4" s="530" t="s">
        <v>39</v>
      </c>
      <c r="T4" s="530" t="s">
        <v>40</v>
      </c>
      <c r="U4" s="667"/>
      <c r="V4" s="667"/>
      <c r="W4" s="520" t="s">
        <v>2776</v>
      </c>
      <c r="X4" s="520" t="s">
        <v>2777</v>
      </c>
      <c r="Y4" s="518" t="s">
        <v>2778</v>
      </c>
      <c r="Z4" s="518" t="s">
        <v>2779</v>
      </c>
      <c r="AA4" s="671"/>
      <c r="AB4" s="670"/>
      <c r="AC4" s="518" t="s">
        <v>2780</v>
      </c>
      <c r="AD4" s="518" t="s">
        <v>2781</v>
      </c>
      <c r="AE4" s="662"/>
      <c r="AF4" s="663"/>
      <c r="AG4" s="641"/>
    </row>
    <row r="5" spans="1:33">
      <c r="A5" s="664" t="s">
        <v>2782</v>
      </c>
      <c r="B5" s="42" t="s">
        <v>92</v>
      </c>
      <c r="C5" s="666" t="s">
        <v>93</v>
      </c>
      <c r="D5" s="666"/>
      <c r="E5" s="42">
        <v>50.92</v>
      </c>
      <c r="F5" s="530">
        <v>2214</v>
      </c>
      <c r="G5" s="520">
        <f t="shared" ref="G5:G6" si="0">E5*F5</f>
        <v>112736.88</v>
      </c>
      <c r="H5" s="37" t="s">
        <v>91</v>
      </c>
      <c r="I5" s="528">
        <v>15</v>
      </c>
      <c r="J5" s="39">
        <v>2000</v>
      </c>
      <c r="K5" s="17">
        <f t="shared" ref="K5:K66" si="1">J5/I5</f>
        <v>133.33333333333334</v>
      </c>
      <c r="L5" s="528">
        <v>15</v>
      </c>
      <c r="M5" s="18">
        <f t="shared" ref="M5:M6" si="2">F5/V5*60</f>
        <v>1925.2173913043457</v>
      </c>
      <c r="N5" s="17">
        <f t="shared" ref="N5:N66" si="3">M5/L5</f>
        <v>128.34782608695639</v>
      </c>
      <c r="O5" s="19">
        <f t="shared" ref="O5:O66" si="4">L5-I5</f>
        <v>0</v>
      </c>
      <c r="P5" s="20">
        <f t="shared" ref="P5:P66" si="5">N5-K5</f>
        <v>-4.9855072463769545</v>
      </c>
      <c r="Q5" s="519">
        <f t="shared" ref="Q5:Q66" si="6">N5/K5</f>
        <v>0.96260869565217289</v>
      </c>
      <c r="R5" s="637">
        <f>Q7</f>
        <v>0.96248855835240188</v>
      </c>
      <c r="S5" s="40">
        <v>0.70833333333333337</v>
      </c>
      <c r="T5" s="40">
        <v>0.75625000000000009</v>
      </c>
      <c r="U5" s="520"/>
      <c r="V5" s="529">
        <f t="shared" ref="V5:V6" si="7">(T5-S5)*24*60</f>
        <v>69.000000000000071</v>
      </c>
      <c r="W5" s="23"/>
      <c r="X5" s="23"/>
      <c r="Y5" s="24"/>
      <c r="Z5" s="24"/>
      <c r="AA5" s="632"/>
      <c r="AB5" s="632"/>
      <c r="AC5" s="25">
        <v>2</v>
      </c>
      <c r="AD5" s="25"/>
      <c r="AE5" s="19">
        <f t="shared" ref="AE5:AE53" si="8">M5-J5</f>
        <v>-74.782608695654289</v>
      </c>
      <c r="AF5" s="519">
        <f t="shared" ref="AF5:AF66" si="9">M5/J5</f>
        <v>0.96260869565217289</v>
      </c>
      <c r="AG5" s="637">
        <f>AF7</f>
        <v>0.96248855835240177</v>
      </c>
    </row>
    <row r="6" spans="1:33">
      <c r="A6" s="665" t="s">
        <v>2782</v>
      </c>
      <c r="B6" s="42" t="s">
        <v>92</v>
      </c>
      <c r="C6" s="666" t="s">
        <v>94</v>
      </c>
      <c r="D6" s="666"/>
      <c r="E6" s="42">
        <v>50.98</v>
      </c>
      <c r="F6" s="530">
        <v>2438</v>
      </c>
      <c r="G6" s="520">
        <f t="shared" si="0"/>
        <v>124289.23999999999</v>
      </c>
      <c r="H6" s="37" t="s">
        <v>91</v>
      </c>
      <c r="I6" s="528">
        <v>16</v>
      </c>
      <c r="J6" s="39">
        <v>2000</v>
      </c>
      <c r="K6" s="17">
        <f t="shared" si="1"/>
        <v>125</v>
      </c>
      <c r="L6" s="528">
        <v>16</v>
      </c>
      <c r="M6" s="18">
        <f t="shared" si="2"/>
        <v>1924.7368421052615</v>
      </c>
      <c r="N6" s="17">
        <f t="shared" si="3"/>
        <v>120.29605263157885</v>
      </c>
      <c r="O6" s="19">
        <f t="shared" si="4"/>
        <v>0</v>
      </c>
      <c r="P6" s="20">
        <f t="shared" si="5"/>
        <v>-4.7039473684211544</v>
      </c>
      <c r="Q6" s="519">
        <f t="shared" si="6"/>
        <v>0.96236842105263076</v>
      </c>
      <c r="R6" s="637"/>
      <c r="S6" s="40">
        <v>0.7597222222222223</v>
      </c>
      <c r="T6" s="40">
        <v>0.81250000000000011</v>
      </c>
      <c r="U6" s="520">
        <f t="shared" ref="U6" si="10">IF(S6=TIME(17,0,0),"",(S6-T5)*24*60)</f>
        <v>4.9999999999999822</v>
      </c>
      <c r="V6" s="529">
        <f t="shared" si="7"/>
        <v>76.000000000000057</v>
      </c>
      <c r="W6" s="23"/>
      <c r="X6" s="23"/>
      <c r="Y6" s="23"/>
      <c r="Z6" s="23"/>
      <c r="AA6" s="632"/>
      <c r="AB6" s="632"/>
      <c r="AC6" s="25"/>
      <c r="AD6" s="25"/>
      <c r="AE6" s="19">
        <f t="shared" si="8"/>
        <v>-75.26315789473847</v>
      </c>
      <c r="AF6" s="519">
        <f t="shared" si="9"/>
        <v>0.96236842105263076</v>
      </c>
      <c r="AG6" s="637"/>
    </row>
    <row r="7" spans="1:33">
      <c r="A7" s="665" t="s">
        <v>2783</v>
      </c>
      <c r="B7" s="42" t="s">
        <v>2784</v>
      </c>
      <c r="C7" s="638"/>
      <c r="D7" s="638"/>
      <c r="E7" s="521"/>
      <c r="F7" s="44"/>
      <c r="G7" s="17"/>
      <c r="H7" s="530"/>
      <c r="I7" s="29">
        <v>15.5</v>
      </c>
      <c r="J7" s="39">
        <v>2000</v>
      </c>
      <c r="K7" s="17">
        <f t="shared" si="1"/>
        <v>129.03225806451613</v>
      </c>
      <c r="L7" s="29">
        <v>15.5</v>
      </c>
      <c r="M7" s="18">
        <f>AVERAGE(M5:M6)</f>
        <v>1924.9771167048036</v>
      </c>
      <c r="N7" s="17">
        <f t="shared" si="3"/>
        <v>124.19207204547121</v>
      </c>
      <c r="O7" s="19">
        <f t="shared" si="4"/>
        <v>0</v>
      </c>
      <c r="P7" s="20">
        <f t="shared" si="5"/>
        <v>-4.8401860190449213</v>
      </c>
      <c r="Q7" s="519">
        <f t="shared" si="6"/>
        <v>0.96248855835240188</v>
      </c>
      <c r="R7" s="637"/>
      <c r="S7" s="40"/>
      <c r="T7" s="40"/>
      <c r="U7" s="520"/>
      <c r="V7" s="529"/>
      <c r="W7" s="17"/>
      <c r="X7" s="17"/>
      <c r="Y7" s="30">
        <f>SUM(Y5:Y6)</f>
        <v>0</v>
      </c>
      <c r="Z7" s="30">
        <f>SUM(Z5:Z6)</f>
        <v>0</v>
      </c>
      <c r="AA7" s="631"/>
      <c r="AB7" s="631"/>
      <c r="AC7" s="30">
        <v>2</v>
      </c>
      <c r="AD7" s="30">
        <f>SUM(AD5:AD6)</f>
        <v>0</v>
      </c>
      <c r="AE7" s="19">
        <f t="shared" si="8"/>
        <v>-75.02288329519638</v>
      </c>
      <c r="AF7" s="519">
        <f t="shared" si="9"/>
        <v>0.96248855835240177</v>
      </c>
      <c r="AG7" s="637"/>
    </row>
    <row r="8" spans="1:33" ht="15.75" customHeight="1">
      <c r="A8" s="659" t="s">
        <v>2785</v>
      </c>
      <c r="B8" s="42" t="s">
        <v>96</v>
      </c>
      <c r="C8" s="660" t="s">
        <v>100</v>
      </c>
      <c r="D8" s="661"/>
      <c r="E8" s="42">
        <v>39.619999999999997</v>
      </c>
      <c r="F8" s="530">
        <v>3977</v>
      </c>
      <c r="G8" s="520">
        <f t="shared" ref="G8:G10" si="11">E8*F8</f>
        <v>157568.74</v>
      </c>
      <c r="H8" s="37" t="s">
        <v>91</v>
      </c>
      <c r="I8" s="528">
        <v>19</v>
      </c>
      <c r="J8" s="39">
        <v>1500</v>
      </c>
      <c r="K8" s="17">
        <f t="shared" si="1"/>
        <v>78.94736842105263</v>
      </c>
      <c r="L8" s="528">
        <v>19</v>
      </c>
      <c r="M8" s="18">
        <f t="shared" ref="M8:M10" si="12">F8/V8*60</f>
        <v>1428.8622754491016</v>
      </c>
      <c r="N8" s="17">
        <f t="shared" si="3"/>
        <v>75.203277655215871</v>
      </c>
      <c r="O8" s="19">
        <f t="shared" si="4"/>
        <v>0</v>
      </c>
      <c r="P8" s="20">
        <f t="shared" si="5"/>
        <v>-3.7440907658367593</v>
      </c>
      <c r="Q8" s="519">
        <f t="shared" si="6"/>
        <v>0.95257485029940103</v>
      </c>
      <c r="R8" s="637">
        <f>Q11</f>
        <v>0.95439109183208415</v>
      </c>
      <c r="S8" s="40">
        <v>8.3333333333333329E-2</v>
      </c>
      <c r="T8" s="40">
        <v>0.19930555555555554</v>
      </c>
      <c r="U8" s="520"/>
      <c r="V8" s="529">
        <f t="shared" ref="V8:V10" si="13">(T8-S8)*24*60</f>
        <v>167</v>
      </c>
      <c r="W8" s="23">
        <f>T8</f>
        <v>0.19930555555555554</v>
      </c>
      <c r="X8" s="23">
        <f>S9</f>
        <v>0.21736111111111109</v>
      </c>
      <c r="Y8" s="23"/>
      <c r="Z8" s="23"/>
      <c r="AA8" s="632"/>
      <c r="AB8" s="632"/>
      <c r="AC8" s="25">
        <v>3</v>
      </c>
      <c r="AD8" s="25"/>
      <c r="AE8" s="19">
        <f t="shared" si="8"/>
        <v>-71.137724550898383</v>
      </c>
      <c r="AF8" s="519">
        <f t="shared" si="9"/>
        <v>0.95257485029940103</v>
      </c>
      <c r="AG8" s="637">
        <f>AF11</f>
        <v>0.95439109183208404</v>
      </c>
    </row>
    <row r="9" spans="1:33" ht="15.75" customHeight="1">
      <c r="A9" s="659" t="s">
        <v>2786</v>
      </c>
      <c r="B9" s="42" t="s">
        <v>96</v>
      </c>
      <c r="C9" s="660" t="s">
        <v>97</v>
      </c>
      <c r="D9" s="661"/>
      <c r="E9" s="42">
        <v>39.799999999999997</v>
      </c>
      <c r="F9" s="530">
        <v>6049</v>
      </c>
      <c r="G9" s="520">
        <f t="shared" si="11"/>
        <v>240750.19999999998</v>
      </c>
      <c r="H9" s="37" t="s">
        <v>91</v>
      </c>
      <c r="I9" s="528">
        <v>17</v>
      </c>
      <c r="J9" s="39">
        <v>1500</v>
      </c>
      <c r="K9" s="17">
        <f t="shared" si="1"/>
        <v>88.235294117647058</v>
      </c>
      <c r="L9" s="528">
        <v>17</v>
      </c>
      <c r="M9" s="18">
        <f t="shared" si="12"/>
        <v>1428.8976377952756</v>
      </c>
      <c r="N9" s="17">
        <f t="shared" si="3"/>
        <v>84.052802223251504</v>
      </c>
      <c r="O9" s="19">
        <f t="shared" si="4"/>
        <v>0</v>
      </c>
      <c r="P9" s="20">
        <f t="shared" si="5"/>
        <v>-4.1824918943955538</v>
      </c>
      <c r="Q9" s="519">
        <f t="shared" si="6"/>
        <v>0.95259842519685034</v>
      </c>
      <c r="R9" s="637"/>
      <c r="S9" s="40">
        <v>0.21736111111111109</v>
      </c>
      <c r="T9" s="40">
        <v>0.39374999999999999</v>
      </c>
      <c r="U9" s="520">
        <f t="shared" ref="U9:U10" si="14">IF(S9=TIME(17,0,0),"",(S9-T8)*24*60)</f>
        <v>25.999999999999986</v>
      </c>
      <c r="V9" s="529">
        <f t="shared" si="13"/>
        <v>254</v>
      </c>
      <c r="W9" s="23"/>
      <c r="X9" s="23"/>
      <c r="Y9" s="23"/>
      <c r="Z9" s="23"/>
      <c r="AA9" s="632"/>
      <c r="AB9" s="632"/>
      <c r="AC9" s="25"/>
      <c r="AD9" s="25"/>
      <c r="AE9" s="19">
        <f t="shared" si="8"/>
        <v>-71.102362204724386</v>
      </c>
      <c r="AF9" s="519">
        <f t="shared" si="9"/>
        <v>0.95259842519685045</v>
      </c>
      <c r="AG9" s="637"/>
    </row>
    <row r="10" spans="1:33" ht="15.75" customHeight="1">
      <c r="A10" s="659" t="s">
        <v>2786</v>
      </c>
      <c r="B10" s="42" t="s">
        <v>96</v>
      </c>
      <c r="C10" s="660" t="s">
        <v>98</v>
      </c>
      <c r="D10" s="661"/>
      <c r="E10" s="42">
        <v>39.46</v>
      </c>
      <c r="F10" s="530">
        <v>1916</v>
      </c>
      <c r="G10" s="520">
        <f t="shared" si="11"/>
        <v>75605.36</v>
      </c>
      <c r="H10" s="37" t="s">
        <v>91</v>
      </c>
      <c r="I10" s="528">
        <v>15</v>
      </c>
      <c r="J10" s="39">
        <v>1500</v>
      </c>
      <c r="K10" s="17">
        <f t="shared" si="1"/>
        <v>100</v>
      </c>
      <c r="L10" s="528">
        <v>15</v>
      </c>
      <c r="M10" s="18">
        <f t="shared" si="12"/>
        <v>1437.0000000000009</v>
      </c>
      <c r="N10" s="17">
        <f t="shared" si="3"/>
        <v>95.800000000000054</v>
      </c>
      <c r="O10" s="19">
        <f t="shared" si="4"/>
        <v>0</v>
      </c>
      <c r="P10" s="20">
        <f t="shared" si="5"/>
        <v>-4.199999999999946</v>
      </c>
      <c r="Q10" s="519">
        <f t="shared" si="6"/>
        <v>0.95800000000000052</v>
      </c>
      <c r="R10" s="637"/>
      <c r="S10" s="40">
        <v>0.3972222222222222</v>
      </c>
      <c r="T10" s="40">
        <v>0.45277777777777772</v>
      </c>
      <c r="U10" s="520">
        <f t="shared" si="14"/>
        <v>4.9999999999999822</v>
      </c>
      <c r="V10" s="529">
        <f t="shared" si="13"/>
        <v>79.999999999999957</v>
      </c>
      <c r="W10" s="23"/>
      <c r="X10" s="23"/>
      <c r="Y10" s="23"/>
      <c r="Z10" s="23"/>
      <c r="AA10" s="632"/>
      <c r="AB10" s="632"/>
      <c r="AC10" s="25"/>
      <c r="AD10" s="25"/>
      <c r="AE10" s="19">
        <f t="shared" si="8"/>
        <v>-62.999999999999091</v>
      </c>
      <c r="AF10" s="519">
        <f t="shared" si="9"/>
        <v>0.95800000000000063</v>
      </c>
      <c r="AG10" s="637"/>
    </row>
    <row r="11" spans="1:33" ht="16.5" customHeight="1">
      <c r="A11" s="659" t="s">
        <v>2787</v>
      </c>
      <c r="B11" s="42" t="s">
        <v>2784</v>
      </c>
      <c r="C11" s="638"/>
      <c r="D11" s="638"/>
      <c r="E11" s="521"/>
      <c r="F11" s="39"/>
      <c r="G11" s="18"/>
      <c r="H11" s="530"/>
      <c r="I11" s="29">
        <v>17</v>
      </c>
      <c r="J11" s="39">
        <v>1500</v>
      </c>
      <c r="K11" s="17">
        <f t="shared" si="1"/>
        <v>88.235294117647058</v>
      </c>
      <c r="L11" s="29">
        <v>17</v>
      </c>
      <c r="M11" s="18">
        <f>AVERAGE(M8:M10)</f>
        <v>1431.5866377481261</v>
      </c>
      <c r="N11" s="17">
        <f t="shared" si="3"/>
        <v>84.210978691066245</v>
      </c>
      <c r="O11" s="19">
        <f t="shared" si="4"/>
        <v>0</v>
      </c>
      <c r="P11" s="20">
        <f t="shared" si="5"/>
        <v>-4.024315426580813</v>
      </c>
      <c r="Q11" s="519">
        <f t="shared" si="6"/>
        <v>0.95439109183208415</v>
      </c>
      <c r="R11" s="637"/>
      <c r="S11" s="40"/>
      <c r="T11" s="40"/>
      <c r="U11" s="17"/>
      <c r="V11" s="529"/>
      <c r="W11" s="17"/>
      <c r="X11" s="17"/>
      <c r="Y11" s="30">
        <f>SUM(Y8:Y10)</f>
        <v>0</v>
      </c>
      <c r="Z11" s="30">
        <f>SUM(Z8:Z10)</f>
        <v>0</v>
      </c>
      <c r="AA11" s="631"/>
      <c r="AB11" s="631"/>
      <c r="AC11" s="30">
        <v>3</v>
      </c>
      <c r="AD11" s="30">
        <f>SUM(AD8:AD10)</f>
        <v>0</v>
      </c>
      <c r="AE11" s="19">
        <f t="shared" si="8"/>
        <v>-68.413362251873878</v>
      </c>
      <c r="AF11" s="519">
        <f t="shared" si="9"/>
        <v>0.95439109183208404</v>
      </c>
      <c r="AG11" s="637"/>
    </row>
    <row r="12" spans="1:33" ht="16.5" customHeight="1">
      <c r="A12" s="657" t="s">
        <v>2788</v>
      </c>
      <c r="B12" s="530" t="s">
        <v>101</v>
      </c>
      <c r="C12" s="653" t="s">
        <v>102</v>
      </c>
      <c r="D12" s="653"/>
      <c r="E12" s="42">
        <v>31.11</v>
      </c>
      <c r="F12" s="530">
        <v>2940</v>
      </c>
      <c r="G12" s="520">
        <f t="shared" ref="G12:G18" si="15">E12*F12</f>
        <v>91463.4</v>
      </c>
      <c r="H12" s="37" t="s">
        <v>91</v>
      </c>
      <c r="I12" s="528">
        <v>14</v>
      </c>
      <c r="J12" s="39">
        <v>2000</v>
      </c>
      <c r="K12" s="17">
        <f t="shared" si="1"/>
        <v>142.85714285714286</v>
      </c>
      <c r="L12" s="528">
        <v>14</v>
      </c>
      <c r="M12" s="18">
        <f t="shared" ref="M12:M18" si="16">F12/V12*60</f>
        <v>1917.3913043478256</v>
      </c>
      <c r="N12" s="17">
        <f t="shared" si="3"/>
        <v>136.95652173913041</v>
      </c>
      <c r="O12" s="19">
        <f t="shared" si="4"/>
        <v>0</v>
      </c>
      <c r="P12" s="20">
        <f t="shared" si="5"/>
        <v>-5.9006211180124524</v>
      </c>
      <c r="Q12" s="519">
        <f t="shared" si="6"/>
        <v>0.95869565217391284</v>
      </c>
      <c r="R12" s="637">
        <f>Q19</f>
        <v>0.95865816532473547</v>
      </c>
      <c r="S12" s="40">
        <v>0.20833333333333334</v>
      </c>
      <c r="T12" s="40">
        <v>0.27222222222222225</v>
      </c>
      <c r="U12" s="520"/>
      <c r="V12" s="529">
        <f t="shared" ref="V12:V18" si="17">(T12-S12)*24*60</f>
        <v>92.000000000000028</v>
      </c>
      <c r="W12" s="23"/>
      <c r="X12" s="23"/>
      <c r="Y12" s="28"/>
      <c r="Z12" s="28"/>
      <c r="AA12" s="632"/>
      <c r="AB12" s="632"/>
      <c r="AC12" s="25">
        <v>7</v>
      </c>
      <c r="AD12" s="25"/>
      <c r="AE12" s="19">
        <f t="shared" si="8"/>
        <v>-82.608695652174447</v>
      </c>
      <c r="AF12" s="519">
        <f t="shared" si="9"/>
        <v>0.95869565217391273</v>
      </c>
      <c r="AG12" s="637">
        <f>AF19</f>
        <v>0.95865816532473547</v>
      </c>
    </row>
    <row r="13" spans="1:33" ht="16.5" customHeight="1">
      <c r="A13" s="658" t="s">
        <v>2789</v>
      </c>
      <c r="B13" s="530" t="s">
        <v>103</v>
      </c>
      <c r="C13" s="653" t="s">
        <v>105</v>
      </c>
      <c r="D13" s="653"/>
      <c r="E13" s="42">
        <v>41</v>
      </c>
      <c r="F13" s="530">
        <v>1251</v>
      </c>
      <c r="G13" s="520">
        <f t="shared" si="15"/>
        <v>51291</v>
      </c>
      <c r="H13" s="37" t="s">
        <v>91</v>
      </c>
      <c r="I13" s="528">
        <v>26</v>
      </c>
      <c r="J13" s="39">
        <v>1500</v>
      </c>
      <c r="K13" s="17">
        <f t="shared" si="1"/>
        <v>57.692307692307693</v>
      </c>
      <c r="L13" s="528">
        <v>26</v>
      </c>
      <c r="M13" s="18">
        <f t="shared" si="16"/>
        <v>1443.4615384615392</v>
      </c>
      <c r="N13" s="17">
        <f t="shared" si="3"/>
        <v>55.51775147928997</v>
      </c>
      <c r="O13" s="19">
        <f t="shared" si="4"/>
        <v>0</v>
      </c>
      <c r="P13" s="20">
        <f t="shared" si="5"/>
        <v>-2.1745562130177234</v>
      </c>
      <c r="Q13" s="519">
        <f t="shared" si="6"/>
        <v>0.96230769230769275</v>
      </c>
      <c r="R13" s="637"/>
      <c r="S13" s="40">
        <v>0.27638888888888891</v>
      </c>
      <c r="T13" s="40">
        <v>0.3125</v>
      </c>
      <c r="U13" s="520">
        <f t="shared" ref="U13:U18" si="18">IF(S13=TIME(17,0,0),"",(S13-T12)*24*60)</f>
        <v>5.9999999999999787</v>
      </c>
      <c r="V13" s="529">
        <f t="shared" si="17"/>
        <v>51.999999999999972</v>
      </c>
      <c r="W13" s="23"/>
      <c r="X13" s="23"/>
      <c r="Y13" s="23"/>
      <c r="Z13" s="23"/>
      <c r="AA13" s="632"/>
      <c r="AB13" s="632"/>
      <c r="AC13" s="25"/>
      <c r="AD13" s="25"/>
      <c r="AE13" s="19">
        <f t="shared" si="8"/>
        <v>-56.538461538460751</v>
      </c>
      <c r="AF13" s="519">
        <f t="shared" si="9"/>
        <v>0.96230769230769286</v>
      </c>
      <c r="AG13" s="637"/>
    </row>
    <row r="14" spans="1:33" ht="16.5" customHeight="1">
      <c r="A14" s="658" t="s">
        <v>2789</v>
      </c>
      <c r="B14" s="530" t="s">
        <v>101</v>
      </c>
      <c r="C14" s="653" t="s">
        <v>2402</v>
      </c>
      <c r="D14" s="653"/>
      <c r="E14" s="42">
        <v>68.88</v>
      </c>
      <c r="F14" s="530">
        <v>1967</v>
      </c>
      <c r="G14" s="520">
        <f t="shared" si="15"/>
        <v>135486.96</v>
      </c>
      <c r="H14" s="37" t="s">
        <v>91</v>
      </c>
      <c r="I14" s="528">
        <v>16</v>
      </c>
      <c r="J14" s="39">
        <v>2000</v>
      </c>
      <c r="K14" s="17">
        <f t="shared" si="1"/>
        <v>125</v>
      </c>
      <c r="L14" s="528">
        <v>16</v>
      </c>
      <c r="M14" s="18">
        <f t="shared" si="16"/>
        <v>1903.5483870967737</v>
      </c>
      <c r="N14" s="17">
        <f t="shared" si="3"/>
        <v>118.97177419354836</v>
      </c>
      <c r="O14" s="19">
        <f t="shared" si="4"/>
        <v>0</v>
      </c>
      <c r="P14" s="20">
        <f t="shared" si="5"/>
        <v>-6.0282258064516441</v>
      </c>
      <c r="Q14" s="519">
        <f t="shared" si="6"/>
        <v>0.95177419354838688</v>
      </c>
      <c r="R14" s="637"/>
      <c r="S14" s="40">
        <v>0.31666666666666665</v>
      </c>
      <c r="T14" s="40">
        <v>0.35972222222222222</v>
      </c>
      <c r="U14" s="520">
        <f t="shared" si="18"/>
        <v>5.9999999999999787</v>
      </c>
      <c r="V14" s="529">
        <f t="shared" si="17"/>
        <v>62.000000000000021</v>
      </c>
      <c r="W14" s="23"/>
      <c r="X14" s="23"/>
      <c r="Y14" s="23"/>
      <c r="Z14" s="23"/>
      <c r="AA14" s="632"/>
      <c r="AB14" s="632"/>
      <c r="AC14" s="25"/>
      <c r="AD14" s="25"/>
      <c r="AE14" s="19">
        <f t="shared" si="8"/>
        <v>-96.451612903226305</v>
      </c>
      <c r="AF14" s="519">
        <f t="shared" si="9"/>
        <v>0.95177419354838688</v>
      </c>
      <c r="AG14" s="637"/>
    </row>
    <row r="15" spans="1:33" ht="16.5" customHeight="1">
      <c r="A15" s="658" t="s">
        <v>2789</v>
      </c>
      <c r="B15" s="530" t="s">
        <v>96</v>
      </c>
      <c r="C15" s="653" t="s">
        <v>99</v>
      </c>
      <c r="D15" s="653"/>
      <c r="E15" s="42">
        <v>39.520000000000003</v>
      </c>
      <c r="F15" s="530">
        <v>1946</v>
      </c>
      <c r="G15" s="520">
        <f t="shared" si="15"/>
        <v>76905.920000000013</v>
      </c>
      <c r="H15" s="37" t="s">
        <v>91</v>
      </c>
      <c r="I15" s="528">
        <v>19</v>
      </c>
      <c r="J15" s="39">
        <v>1500</v>
      </c>
      <c r="K15" s="17">
        <f t="shared" si="1"/>
        <v>78.94736842105263</v>
      </c>
      <c r="L15" s="528">
        <v>19</v>
      </c>
      <c r="M15" s="18">
        <f t="shared" si="16"/>
        <v>1441.4814814814808</v>
      </c>
      <c r="N15" s="17">
        <f t="shared" si="3"/>
        <v>75.867446393762151</v>
      </c>
      <c r="O15" s="19">
        <f t="shared" si="4"/>
        <v>0</v>
      </c>
      <c r="P15" s="20">
        <f t="shared" si="5"/>
        <v>-3.079922027290479</v>
      </c>
      <c r="Q15" s="519">
        <f t="shared" si="6"/>
        <v>0.96098765432098732</v>
      </c>
      <c r="R15" s="637"/>
      <c r="S15" s="40">
        <v>0.36458333333333331</v>
      </c>
      <c r="T15" s="40">
        <v>0.42083333333333334</v>
      </c>
      <c r="U15" s="520">
        <f t="shared" si="18"/>
        <v>6.9999999999999751</v>
      </c>
      <c r="V15" s="529">
        <f t="shared" si="17"/>
        <v>81.000000000000028</v>
      </c>
      <c r="W15" s="23"/>
      <c r="X15" s="23"/>
      <c r="Y15" s="23"/>
      <c r="Z15" s="23"/>
      <c r="AA15" s="632"/>
      <c r="AB15" s="632"/>
      <c r="AC15" s="25"/>
      <c r="AD15" s="25"/>
      <c r="AE15" s="19">
        <f t="shared" si="8"/>
        <v>-58.518518518519159</v>
      </c>
      <c r="AF15" s="519">
        <f t="shared" si="9"/>
        <v>0.96098765432098721</v>
      </c>
      <c r="AG15" s="637"/>
    </row>
    <row r="16" spans="1:33" ht="16.5" customHeight="1">
      <c r="A16" s="658" t="s">
        <v>2789</v>
      </c>
      <c r="B16" s="530" t="s">
        <v>92</v>
      </c>
      <c r="C16" s="653" t="s">
        <v>108</v>
      </c>
      <c r="D16" s="653"/>
      <c r="E16" s="42">
        <v>54.5</v>
      </c>
      <c r="F16" s="530">
        <v>1135</v>
      </c>
      <c r="G16" s="520">
        <f t="shared" si="15"/>
        <v>61857.5</v>
      </c>
      <c r="H16" s="37" t="s">
        <v>91</v>
      </c>
      <c r="I16" s="528">
        <v>19</v>
      </c>
      <c r="J16" s="39">
        <v>1500</v>
      </c>
      <c r="K16" s="17">
        <f t="shared" si="1"/>
        <v>78.94736842105263</v>
      </c>
      <c r="L16" s="528">
        <v>19</v>
      </c>
      <c r="M16" s="18">
        <f t="shared" si="16"/>
        <v>1448.9361702127662</v>
      </c>
      <c r="N16" s="17">
        <f t="shared" si="3"/>
        <v>76.259798432250861</v>
      </c>
      <c r="O16" s="19">
        <f t="shared" si="4"/>
        <v>0</v>
      </c>
      <c r="P16" s="20">
        <f t="shared" si="5"/>
        <v>-2.6875699888017692</v>
      </c>
      <c r="Q16" s="519">
        <f t="shared" si="6"/>
        <v>0.96595744680851092</v>
      </c>
      <c r="R16" s="637"/>
      <c r="S16" s="40">
        <v>0.70833333333333337</v>
      </c>
      <c r="T16" s="40">
        <v>0.74097222222222225</v>
      </c>
      <c r="U16" s="520" t="str">
        <f t="shared" si="18"/>
        <v/>
      </c>
      <c r="V16" s="529">
        <f t="shared" si="17"/>
        <v>46.999999999999993</v>
      </c>
      <c r="W16" s="23"/>
      <c r="X16" s="23"/>
      <c r="Y16" s="23"/>
      <c r="Z16" s="23"/>
      <c r="AA16" s="632"/>
      <c r="AB16" s="632"/>
      <c r="AC16" s="25"/>
      <c r="AD16" s="25"/>
      <c r="AE16" s="19">
        <f t="shared" si="8"/>
        <v>-51.063829787233772</v>
      </c>
      <c r="AF16" s="519">
        <f t="shared" si="9"/>
        <v>0.96595744680851081</v>
      </c>
      <c r="AG16" s="637"/>
    </row>
    <row r="17" spans="1:33" ht="16.5" customHeight="1">
      <c r="A17" s="658" t="s">
        <v>2788</v>
      </c>
      <c r="B17" s="530" t="s">
        <v>92</v>
      </c>
      <c r="C17" s="526" t="s">
        <v>107</v>
      </c>
      <c r="D17" s="527"/>
      <c r="E17" s="42">
        <v>50.67</v>
      </c>
      <c r="F17" s="530">
        <v>1688</v>
      </c>
      <c r="G17" s="520">
        <f t="shared" si="15"/>
        <v>85530.96</v>
      </c>
      <c r="H17" s="37" t="s">
        <v>91</v>
      </c>
      <c r="I17" s="528">
        <v>17</v>
      </c>
      <c r="J17" s="39">
        <v>2000</v>
      </c>
      <c r="K17" s="17">
        <f t="shared" si="1"/>
        <v>117.64705882352941</v>
      </c>
      <c r="L17" s="528">
        <v>17</v>
      </c>
      <c r="M17" s="18">
        <f t="shared" si="16"/>
        <v>1910.9433962264161</v>
      </c>
      <c r="N17" s="17">
        <f t="shared" si="3"/>
        <v>112.40843507214213</v>
      </c>
      <c r="O17" s="19">
        <f t="shared" si="4"/>
        <v>0</v>
      </c>
      <c r="P17" s="20">
        <f t="shared" si="5"/>
        <v>-5.23862375138728</v>
      </c>
      <c r="Q17" s="519">
        <f t="shared" si="6"/>
        <v>0.95547169811320809</v>
      </c>
      <c r="R17" s="637"/>
      <c r="S17" s="40">
        <v>0.74444444444444446</v>
      </c>
      <c r="T17" s="40">
        <v>0.78125</v>
      </c>
      <c r="U17" s="520">
        <f t="shared" si="18"/>
        <v>4.9999999999999822</v>
      </c>
      <c r="V17" s="529">
        <f t="shared" si="17"/>
        <v>52.999999999999972</v>
      </c>
      <c r="W17" s="23"/>
      <c r="X17" s="23"/>
      <c r="Y17" s="26"/>
      <c r="Z17" s="26"/>
      <c r="AA17" s="524"/>
      <c r="AB17" s="525"/>
      <c r="AC17" s="25"/>
      <c r="AD17" s="25"/>
      <c r="AE17" s="19">
        <f t="shared" si="8"/>
        <v>-89.056603773583902</v>
      </c>
      <c r="AF17" s="519">
        <f t="shared" si="9"/>
        <v>0.95547169811320809</v>
      </c>
      <c r="AG17" s="637"/>
    </row>
    <row r="18" spans="1:33" ht="16.5" customHeight="1">
      <c r="A18" s="658" t="s">
        <v>2790</v>
      </c>
      <c r="B18" s="530" t="s">
        <v>92</v>
      </c>
      <c r="C18" s="526" t="s">
        <v>114</v>
      </c>
      <c r="D18" s="527"/>
      <c r="E18" s="42">
        <v>54.09</v>
      </c>
      <c r="F18" s="530">
        <v>2269</v>
      </c>
      <c r="G18" s="520">
        <f t="shared" si="15"/>
        <v>122730.21</v>
      </c>
      <c r="H18" s="37" t="s">
        <v>91</v>
      </c>
      <c r="I18" s="528">
        <v>18</v>
      </c>
      <c r="J18" s="39">
        <v>2000</v>
      </c>
      <c r="K18" s="17">
        <f t="shared" si="1"/>
        <v>111.11111111111111</v>
      </c>
      <c r="L18" s="528">
        <v>18</v>
      </c>
      <c r="M18" s="18">
        <f t="shared" si="16"/>
        <v>1917.4647887323924</v>
      </c>
      <c r="N18" s="17">
        <f t="shared" si="3"/>
        <v>106.52582159624403</v>
      </c>
      <c r="O18" s="19">
        <f t="shared" si="4"/>
        <v>0</v>
      </c>
      <c r="P18" s="20">
        <f t="shared" si="5"/>
        <v>-4.5852895148670854</v>
      </c>
      <c r="Q18" s="519">
        <f t="shared" si="6"/>
        <v>0.95873239436619628</v>
      </c>
      <c r="R18" s="637"/>
      <c r="S18" s="40">
        <v>0.78472222222222221</v>
      </c>
      <c r="T18" s="40">
        <v>0.83402777777777781</v>
      </c>
      <c r="U18" s="520">
        <f t="shared" si="18"/>
        <v>4.9999999999999822</v>
      </c>
      <c r="V18" s="529">
        <f t="shared" si="17"/>
        <v>71.000000000000071</v>
      </c>
      <c r="W18" s="23"/>
      <c r="X18" s="23"/>
      <c r="Y18" s="26"/>
      <c r="Z18" s="26"/>
      <c r="AA18" s="524"/>
      <c r="AB18" s="525"/>
      <c r="AC18" s="25"/>
      <c r="AD18" s="25"/>
      <c r="AE18" s="19">
        <f t="shared" si="8"/>
        <v>-82.535211267607565</v>
      </c>
      <c r="AF18" s="519">
        <f t="shared" si="9"/>
        <v>0.95873239436619617</v>
      </c>
      <c r="AG18" s="637"/>
    </row>
    <row r="19" spans="1:33" ht="16.5" customHeight="1">
      <c r="A19" s="658" t="s">
        <v>2790</v>
      </c>
      <c r="B19" s="42" t="s">
        <v>2784</v>
      </c>
      <c r="C19" s="638"/>
      <c r="D19" s="638"/>
      <c r="E19" s="521"/>
      <c r="F19" s="44"/>
      <c r="G19" s="17"/>
      <c r="H19" s="530"/>
      <c r="I19" s="29">
        <v>18.428571428571427</v>
      </c>
      <c r="J19" s="39">
        <v>1785.7142857142858</v>
      </c>
      <c r="K19" s="17">
        <f t="shared" si="1"/>
        <v>96.899224806201559</v>
      </c>
      <c r="L19" s="29">
        <v>18.428571428571427</v>
      </c>
      <c r="M19" s="18">
        <f>AVERAGE(M12:M18)</f>
        <v>1711.8895809370276</v>
      </c>
      <c r="N19" s="17">
        <f t="shared" si="3"/>
        <v>92.893233074102284</v>
      </c>
      <c r="O19" s="19">
        <f t="shared" si="4"/>
        <v>0</v>
      </c>
      <c r="P19" s="20">
        <f t="shared" si="5"/>
        <v>-4.0059917320992753</v>
      </c>
      <c r="Q19" s="519">
        <f t="shared" si="6"/>
        <v>0.95865816532473547</v>
      </c>
      <c r="R19" s="637"/>
      <c r="S19" s="40"/>
      <c r="T19" s="40"/>
      <c r="U19" s="520"/>
      <c r="V19" s="529"/>
      <c r="W19" s="17"/>
      <c r="X19" s="17"/>
      <c r="Y19" s="30">
        <f>SUM(Y12:Y18)</f>
        <v>0</v>
      </c>
      <c r="Z19" s="30">
        <f>SUM(Z12:Z18)</f>
        <v>0</v>
      </c>
      <c r="AA19" s="631"/>
      <c r="AB19" s="631"/>
      <c r="AC19" s="30">
        <v>7</v>
      </c>
      <c r="AD19" s="30">
        <f>SUM(AD12:AD18)</f>
        <v>0</v>
      </c>
      <c r="AE19" s="19">
        <f t="shared" si="8"/>
        <v>-73.824704777258148</v>
      </c>
      <c r="AF19" s="519">
        <f t="shared" si="9"/>
        <v>0.95865816532473547</v>
      </c>
      <c r="AG19" s="637"/>
    </row>
    <row r="20" spans="1:33" ht="15.75" customHeight="1">
      <c r="A20" s="655" t="s">
        <v>2791</v>
      </c>
      <c r="B20" s="42" t="s">
        <v>92</v>
      </c>
      <c r="C20" s="653" t="s">
        <v>110</v>
      </c>
      <c r="D20" s="653"/>
      <c r="E20" s="42">
        <v>50.67</v>
      </c>
      <c r="F20" s="530">
        <v>1262</v>
      </c>
      <c r="G20" s="520">
        <f t="shared" ref="G20:G26" si="19">E20*F20</f>
        <v>63945.54</v>
      </c>
      <c r="H20" s="37" t="s">
        <v>91</v>
      </c>
      <c r="I20" s="528">
        <v>17</v>
      </c>
      <c r="J20" s="39">
        <v>2000</v>
      </c>
      <c r="K20" s="17">
        <f t="shared" si="1"/>
        <v>117.64705882352941</v>
      </c>
      <c r="L20" s="528">
        <v>17</v>
      </c>
      <c r="M20" s="18">
        <f t="shared" ref="M20:M26" si="20">F20/V20*60</f>
        <v>1941.5384615384628</v>
      </c>
      <c r="N20" s="17">
        <f t="shared" si="3"/>
        <v>114.20814479638017</v>
      </c>
      <c r="O20" s="19">
        <f t="shared" si="4"/>
        <v>0</v>
      </c>
      <c r="P20" s="20">
        <f t="shared" si="5"/>
        <v>-3.438914027149238</v>
      </c>
      <c r="Q20" s="519">
        <f t="shared" si="6"/>
        <v>0.97076923076923149</v>
      </c>
      <c r="R20" s="637">
        <f>Q27</f>
        <v>0.96569851694731557</v>
      </c>
      <c r="S20" s="40">
        <v>0.20833333333333334</v>
      </c>
      <c r="T20" s="40">
        <v>0.23541666666666666</v>
      </c>
      <c r="U20" s="520"/>
      <c r="V20" s="529">
        <f t="shared" ref="V20:V26" si="21">(T20-S20)*24*60</f>
        <v>38.999999999999979</v>
      </c>
      <c r="W20" s="23"/>
      <c r="X20" s="23"/>
      <c r="Y20" s="28"/>
      <c r="Z20" s="28"/>
      <c r="AA20" s="632"/>
      <c r="AB20" s="632"/>
      <c r="AC20" s="25">
        <v>7</v>
      </c>
      <c r="AD20" s="25"/>
      <c r="AE20" s="19">
        <f t="shared" si="8"/>
        <v>-58.461538461537202</v>
      </c>
      <c r="AF20" s="519">
        <f t="shared" si="9"/>
        <v>0.97076923076923138</v>
      </c>
      <c r="AG20" s="637">
        <f>AF27</f>
        <v>0.96569851694731568</v>
      </c>
    </row>
    <row r="21" spans="1:33" ht="15.75" customHeight="1">
      <c r="A21" s="656" t="s">
        <v>2792</v>
      </c>
      <c r="B21" s="42" t="s">
        <v>92</v>
      </c>
      <c r="C21" s="653" t="s">
        <v>111</v>
      </c>
      <c r="D21" s="653"/>
      <c r="E21" s="42">
        <v>57.73</v>
      </c>
      <c r="F21" s="530">
        <v>2253</v>
      </c>
      <c r="G21" s="520">
        <f t="shared" si="19"/>
        <v>130065.68999999999</v>
      </c>
      <c r="H21" s="37" t="s">
        <v>91</v>
      </c>
      <c r="I21" s="528">
        <v>14</v>
      </c>
      <c r="J21" s="39">
        <v>2000</v>
      </c>
      <c r="K21" s="17">
        <f t="shared" si="1"/>
        <v>142.85714285714286</v>
      </c>
      <c r="L21" s="528">
        <v>14</v>
      </c>
      <c r="M21" s="18">
        <f t="shared" si="20"/>
        <v>1903.9436619718301</v>
      </c>
      <c r="N21" s="17">
        <f t="shared" si="3"/>
        <v>135.99597585513072</v>
      </c>
      <c r="O21" s="19">
        <f t="shared" si="4"/>
        <v>0</v>
      </c>
      <c r="P21" s="20">
        <f t="shared" si="5"/>
        <v>-6.861167002012138</v>
      </c>
      <c r="Q21" s="519">
        <f t="shared" si="6"/>
        <v>0.95197183098591509</v>
      </c>
      <c r="R21" s="637"/>
      <c r="S21" s="40">
        <v>0.24097222222222223</v>
      </c>
      <c r="T21" s="40">
        <v>0.2902777777777778</v>
      </c>
      <c r="U21" s="520">
        <f t="shared" ref="U21:U26" si="22">IF(S21=TIME(17,0,0),"",(S21-T20)*24*60)</f>
        <v>8.0000000000000107</v>
      </c>
      <c r="V21" s="529">
        <f t="shared" si="21"/>
        <v>71.000000000000028</v>
      </c>
      <c r="W21" s="23"/>
      <c r="X21" s="520"/>
      <c r="Y21" s="520"/>
      <c r="Z21" s="520"/>
      <c r="AA21" s="632"/>
      <c r="AB21" s="632"/>
      <c r="AC21" s="25"/>
      <c r="AD21" s="25"/>
      <c r="AE21" s="19">
        <f t="shared" si="8"/>
        <v>-96.056338028169876</v>
      </c>
      <c r="AF21" s="519">
        <f t="shared" si="9"/>
        <v>0.95197183098591509</v>
      </c>
      <c r="AG21" s="637"/>
    </row>
    <row r="22" spans="1:33" ht="15.75" customHeight="1">
      <c r="A22" s="656" t="s">
        <v>2791</v>
      </c>
      <c r="B22" s="42" t="s">
        <v>92</v>
      </c>
      <c r="C22" s="653" t="s">
        <v>112</v>
      </c>
      <c r="D22" s="653"/>
      <c r="E22" s="42">
        <v>53.27</v>
      </c>
      <c r="F22" s="530">
        <v>1032</v>
      </c>
      <c r="G22" s="520">
        <f t="shared" si="19"/>
        <v>54974.640000000007</v>
      </c>
      <c r="H22" s="37" t="s">
        <v>91</v>
      </c>
      <c r="I22" s="528">
        <v>16</v>
      </c>
      <c r="J22" s="39">
        <v>2000</v>
      </c>
      <c r="K22" s="17">
        <f t="shared" si="1"/>
        <v>125</v>
      </c>
      <c r="L22" s="528">
        <v>16</v>
      </c>
      <c r="M22" s="18">
        <f t="shared" si="20"/>
        <v>1935.000000000002</v>
      </c>
      <c r="N22" s="17">
        <f t="shared" si="3"/>
        <v>120.93750000000013</v>
      </c>
      <c r="O22" s="19">
        <f t="shared" si="4"/>
        <v>0</v>
      </c>
      <c r="P22" s="20">
        <f t="shared" si="5"/>
        <v>-4.0624999999998721</v>
      </c>
      <c r="Q22" s="519">
        <f t="shared" si="6"/>
        <v>0.96750000000000103</v>
      </c>
      <c r="R22" s="637"/>
      <c r="S22" s="40">
        <v>0.2951388888888889</v>
      </c>
      <c r="T22" s="40">
        <v>0.31736111111111109</v>
      </c>
      <c r="U22" s="520">
        <f t="shared" si="22"/>
        <v>6.9999999999999751</v>
      </c>
      <c r="V22" s="529">
        <f t="shared" si="21"/>
        <v>31.999999999999964</v>
      </c>
      <c r="W22" s="23"/>
      <c r="X22" s="520"/>
      <c r="Y22" s="520"/>
      <c r="Z22" s="520"/>
      <c r="AA22" s="632"/>
      <c r="AB22" s="632"/>
      <c r="AC22" s="25"/>
      <c r="AD22" s="25"/>
      <c r="AE22" s="19">
        <f t="shared" si="8"/>
        <v>-64.999999999997954</v>
      </c>
      <c r="AF22" s="519">
        <f t="shared" si="9"/>
        <v>0.96750000000000103</v>
      </c>
      <c r="AG22" s="637"/>
    </row>
    <row r="23" spans="1:33" ht="15.75" customHeight="1">
      <c r="A23" s="656" t="s">
        <v>2791</v>
      </c>
      <c r="B23" s="42" t="s">
        <v>92</v>
      </c>
      <c r="C23" s="653" t="s">
        <v>133</v>
      </c>
      <c r="D23" s="653"/>
      <c r="E23" s="42">
        <v>59.04</v>
      </c>
      <c r="F23" s="530">
        <v>910</v>
      </c>
      <c r="G23" s="520">
        <f t="shared" si="19"/>
        <v>53726.400000000001</v>
      </c>
      <c r="H23" s="37" t="s">
        <v>91</v>
      </c>
      <c r="I23" s="528">
        <v>19</v>
      </c>
      <c r="J23" s="39">
        <v>2000</v>
      </c>
      <c r="K23" s="17">
        <f t="shared" si="1"/>
        <v>105.26315789473684</v>
      </c>
      <c r="L23" s="528">
        <v>19</v>
      </c>
      <c r="M23" s="18">
        <f t="shared" si="20"/>
        <v>1950.0000000000014</v>
      </c>
      <c r="N23" s="17">
        <f t="shared" si="3"/>
        <v>102.6315789473685</v>
      </c>
      <c r="O23" s="19">
        <f t="shared" si="4"/>
        <v>0</v>
      </c>
      <c r="P23" s="20">
        <f t="shared" si="5"/>
        <v>-2.6315789473683395</v>
      </c>
      <c r="Q23" s="519">
        <f t="shared" si="6"/>
        <v>0.97500000000000075</v>
      </c>
      <c r="R23" s="637"/>
      <c r="S23" s="40">
        <v>0.32222222222222219</v>
      </c>
      <c r="T23" s="40">
        <v>0.34166666666666662</v>
      </c>
      <c r="U23" s="520">
        <f t="shared" si="22"/>
        <v>6.9999999999999751</v>
      </c>
      <c r="V23" s="529">
        <f t="shared" si="21"/>
        <v>27.999999999999979</v>
      </c>
      <c r="W23" s="23"/>
      <c r="X23" s="520"/>
      <c r="Y23" s="520"/>
      <c r="Z23" s="520"/>
      <c r="AA23" s="632"/>
      <c r="AB23" s="632"/>
      <c r="AC23" s="25"/>
      <c r="AD23" s="25"/>
      <c r="AE23" s="19">
        <f t="shared" si="8"/>
        <v>-49.999999999998636</v>
      </c>
      <c r="AF23" s="519">
        <f t="shared" si="9"/>
        <v>0.97500000000000064</v>
      </c>
      <c r="AG23" s="637"/>
    </row>
    <row r="24" spans="1:33" ht="15.75" customHeight="1">
      <c r="A24" s="656" t="s">
        <v>2793</v>
      </c>
      <c r="B24" s="42" t="s">
        <v>92</v>
      </c>
      <c r="C24" s="653" t="s">
        <v>140</v>
      </c>
      <c r="D24" s="653"/>
      <c r="E24" s="42">
        <v>51.06</v>
      </c>
      <c r="F24" s="530">
        <v>2871</v>
      </c>
      <c r="G24" s="520">
        <f t="shared" si="19"/>
        <v>146593.26</v>
      </c>
      <c r="H24" s="37" t="s">
        <v>91</v>
      </c>
      <c r="I24" s="528">
        <v>13</v>
      </c>
      <c r="J24" s="39">
        <v>2000</v>
      </c>
      <c r="K24" s="17">
        <f t="shared" si="1"/>
        <v>153.84615384615384</v>
      </c>
      <c r="L24" s="528">
        <v>13</v>
      </c>
      <c r="M24" s="18">
        <f t="shared" si="20"/>
        <v>1914</v>
      </c>
      <c r="N24" s="17">
        <f t="shared" si="3"/>
        <v>147.23076923076923</v>
      </c>
      <c r="O24" s="19">
        <f t="shared" si="4"/>
        <v>0</v>
      </c>
      <c r="P24" s="20">
        <f t="shared" si="5"/>
        <v>-6.6153846153846132</v>
      </c>
      <c r="Q24" s="519">
        <f t="shared" si="6"/>
        <v>0.95699999999999996</v>
      </c>
      <c r="R24" s="637"/>
      <c r="S24" s="40">
        <v>0.70833333333333337</v>
      </c>
      <c r="T24" s="40">
        <v>0.77083333333333337</v>
      </c>
      <c r="U24" s="520" t="str">
        <f t="shared" si="22"/>
        <v/>
      </c>
      <c r="V24" s="529">
        <f t="shared" si="21"/>
        <v>90</v>
      </c>
      <c r="W24" s="23"/>
      <c r="X24" s="23"/>
      <c r="Y24" s="520"/>
      <c r="Z24" s="520"/>
      <c r="AA24" s="632"/>
      <c r="AB24" s="632"/>
      <c r="AC24" s="25"/>
      <c r="AD24" s="25"/>
      <c r="AE24" s="19">
        <f t="shared" si="8"/>
        <v>-86</v>
      </c>
      <c r="AF24" s="519">
        <f t="shared" si="9"/>
        <v>0.95699999999999996</v>
      </c>
      <c r="AG24" s="637"/>
    </row>
    <row r="25" spans="1:33" ht="15.75" customHeight="1">
      <c r="A25" s="656" t="s">
        <v>2791</v>
      </c>
      <c r="B25" s="42" t="s">
        <v>92</v>
      </c>
      <c r="C25" s="653" t="s">
        <v>95</v>
      </c>
      <c r="D25" s="653"/>
      <c r="E25" s="42">
        <v>50.67</v>
      </c>
      <c r="F25" s="530">
        <v>1231</v>
      </c>
      <c r="G25" s="520">
        <f t="shared" si="19"/>
        <v>62374.770000000004</v>
      </c>
      <c r="H25" s="37" t="s">
        <v>91</v>
      </c>
      <c r="I25" s="528">
        <v>15</v>
      </c>
      <c r="J25" s="39">
        <v>2000</v>
      </c>
      <c r="K25" s="17">
        <f t="shared" si="1"/>
        <v>133.33333333333334</v>
      </c>
      <c r="L25" s="528">
        <v>15</v>
      </c>
      <c r="M25" s="18">
        <f t="shared" si="20"/>
        <v>1943.6842105263142</v>
      </c>
      <c r="N25" s="17">
        <f t="shared" si="3"/>
        <v>129.57894736842096</v>
      </c>
      <c r="O25" s="19">
        <f t="shared" si="4"/>
        <v>0</v>
      </c>
      <c r="P25" s="20">
        <f t="shared" si="5"/>
        <v>-3.7543859649123874</v>
      </c>
      <c r="Q25" s="519">
        <f t="shared" si="6"/>
        <v>0.97184210526315706</v>
      </c>
      <c r="R25" s="637"/>
      <c r="S25" s="40">
        <v>0.77430555555555558</v>
      </c>
      <c r="T25" s="40">
        <v>0.80069444444444449</v>
      </c>
      <c r="U25" s="520">
        <f t="shared" si="22"/>
        <v>4.9999999999999822</v>
      </c>
      <c r="V25" s="529">
        <f t="shared" si="21"/>
        <v>38.000000000000028</v>
      </c>
      <c r="W25" s="23"/>
      <c r="X25" s="28"/>
      <c r="Y25" s="28"/>
      <c r="Z25" s="28"/>
      <c r="AA25" s="632"/>
      <c r="AB25" s="632"/>
      <c r="AC25" s="25"/>
      <c r="AD25" s="25"/>
      <c r="AE25" s="19">
        <f t="shared" si="8"/>
        <v>-56.315789473685754</v>
      </c>
      <c r="AF25" s="519">
        <f t="shared" si="9"/>
        <v>0.97184210526315717</v>
      </c>
      <c r="AG25" s="637"/>
    </row>
    <row r="26" spans="1:33" ht="15.75" customHeight="1">
      <c r="A26" s="656" t="s">
        <v>2791</v>
      </c>
      <c r="B26" s="42" t="s">
        <v>92</v>
      </c>
      <c r="C26" s="679" t="s">
        <v>109</v>
      </c>
      <c r="D26" s="680"/>
      <c r="E26" s="42">
        <v>50.49</v>
      </c>
      <c r="F26" s="530">
        <v>1996</v>
      </c>
      <c r="G26" s="520">
        <f t="shared" si="19"/>
        <v>100778.04000000001</v>
      </c>
      <c r="H26" s="37" t="s">
        <v>91</v>
      </c>
      <c r="I26" s="528">
        <v>15</v>
      </c>
      <c r="J26" s="39">
        <v>2000</v>
      </c>
      <c r="K26" s="17">
        <f t="shared" si="1"/>
        <v>133.33333333333334</v>
      </c>
      <c r="L26" s="528">
        <v>15</v>
      </c>
      <c r="M26" s="18">
        <f t="shared" si="20"/>
        <v>1931.6129032258082</v>
      </c>
      <c r="N26" s="17">
        <f t="shared" si="3"/>
        <v>128.77419354838722</v>
      </c>
      <c r="O26" s="19">
        <f t="shared" si="4"/>
        <v>0</v>
      </c>
      <c r="P26" s="20">
        <f t="shared" si="5"/>
        <v>-4.5591397849461259</v>
      </c>
      <c r="Q26" s="519">
        <f t="shared" si="6"/>
        <v>0.96580645161290402</v>
      </c>
      <c r="R26" s="637"/>
      <c r="S26" s="40">
        <v>0.8041666666666667</v>
      </c>
      <c r="T26" s="40">
        <v>0.84722222222222221</v>
      </c>
      <c r="U26" s="520">
        <f t="shared" si="22"/>
        <v>4.9999999999999822</v>
      </c>
      <c r="V26" s="529">
        <f t="shared" si="21"/>
        <v>61.999999999999943</v>
      </c>
      <c r="W26" s="23"/>
      <c r="X26" s="28"/>
      <c r="Y26" s="136"/>
      <c r="Z26" s="136"/>
      <c r="AA26" s="627"/>
      <c r="AB26" s="628"/>
      <c r="AC26" s="25"/>
      <c r="AD26" s="25"/>
      <c r="AE26" s="19">
        <f t="shared" si="8"/>
        <v>-68.387096774191832</v>
      </c>
      <c r="AF26" s="519">
        <f t="shared" si="9"/>
        <v>0.96580645161290413</v>
      </c>
      <c r="AG26" s="637"/>
    </row>
    <row r="27" spans="1:33" ht="15.75" customHeight="1">
      <c r="A27" s="656" t="s">
        <v>2791</v>
      </c>
      <c r="B27" s="42" t="s">
        <v>2784</v>
      </c>
      <c r="C27" s="638"/>
      <c r="D27" s="638"/>
      <c r="E27" s="521"/>
      <c r="F27" s="530"/>
      <c r="G27" s="520"/>
      <c r="H27" s="530"/>
      <c r="I27" s="29">
        <v>15.571428571428571</v>
      </c>
      <c r="J27" s="39">
        <v>2000</v>
      </c>
      <c r="K27" s="17">
        <f t="shared" si="1"/>
        <v>128.44036697247708</v>
      </c>
      <c r="L27" s="29">
        <v>15.571428571428571</v>
      </c>
      <c r="M27" s="18">
        <f>AVERAGE(M20:M26)</f>
        <v>1931.3970338946312</v>
      </c>
      <c r="N27" s="17">
        <f t="shared" si="3"/>
        <v>124.03467190149009</v>
      </c>
      <c r="O27" s="19">
        <f t="shared" si="4"/>
        <v>0</v>
      </c>
      <c r="P27" s="20">
        <f t="shared" si="5"/>
        <v>-4.4056950709869938</v>
      </c>
      <c r="Q27" s="519">
        <f t="shared" si="6"/>
        <v>0.96569851694731557</v>
      </c>
      <c r="R27" s="637"/>
      <c r="S27" s="40"/>
      <c r="T27" s="40"/>
      <c r="U27" s="17"/>
      <c r="V27" s="529"/>
      <c r="W27" s="17"/>
      <c r="X27" s="17"/>
      <c r="Y27" s="30">
        <f>SUM(Y20:Y26)</f>
        <v>0</v>
      </c>
      <c r="Z27" s="30">
        <f>SUM(Z20:Z26)</f>
        <v>0</v>
      </c>
      <c r="AA27" s="631"/>
      <c r="AB27" s="631"/>
      <c r="AC27" s="30">
        <v>7</v>
      </c>
      <c r="AD27" s="30">
        <f>SUM(AD20:AD26)</f>
        <v>0</v>
      </c>
      <c r="AE27" s="19">
        <f t="shared" si="8"/>
        <v>-68.602966105368751</v>
      </c>
      <c r="AF27" s="519">
        <f t="shared" si="9"/>
        <v>0.96569851694731568</v>
      </c>
      <c r="AG27" s="637"/>
    </row>
    <row r="28" spans="1:33" ht="15.75" customHeight="1">
      <c r="A28" s="654" t="s">
        <v>2794</v>
      </c>
      <c r="B28" s="42" t="s">
        <v>116</v>
      </c>
      <c r="C28" s="653" t="s">
        <v>117</v>
      </c>
      <c r="D28" s="653"/>
      <c r="E28" s="42">
        <v>31.29</v>
      </c>
      <c r="F28" s="530">
        <v>4500</v>
      </c>
      <c r="G28" s="520">
        <f t="shared" ref="G28:G33" si="23">E28*F28</f>
        <v>140805</v>
      </c>
      <c r="H28" s="37">
        <v>2</v>
      </c>
      <c r="I28" s="528">
        <v>18</v>
      </c>
      <c r="J28" s="39">
        <v>2400</v>
      </c>
      <c r="K28" s="17">
        <f t="shared" si="1"/>
        <v>133.33333333333334</v>
      </c>
      <c r="L28" s="528">
        <v>18</v>
      </c>
      <c r="M28" s="18">
        <f t="shared" ref="M28:M33" si="24">F28/V28*60</f>
        <v>2288.1355932203392</v>
      </c>
      <c r="N28" s="17">
        <f t="shared" si="3"/>
        <v>127.11864406779662</v>
      </c>
      <c r="O28" s="19">
        <f t="shared" si="4"/>
        <v>0</v>
      </c>
      <c r="P28" s="20">
        <f t="shared" si="5"/>
        <v>-6.2146892655367196</v>
      </c>
      <c r="Q28" s="519">
        <f t="shared" si="6"/>
        <v>0.95338983050847459</v>
      </c>
      <c r="R28" s="637">
        <f>Q34</f>
        <v>0.95491144440301812</v>
      </c>
      <c r="S28" s="40">
        <v>8.3333333333333329E-2</v>
      </c>
      <c r="T28" s="40">
        <v>0.16527777777777777</v>
      </c>
      <c r="U28" s="520"/>
      <c r="V28" s="529">
        <f t="shared" ref="V28:V33" si="25">(T28-S28)*24*60</f>
        <v>118</v>
      </c>
      <c r="W28" s="23">
        <f>T28</f>
        <v>0.16527777777777777</v>
      </c>
      <c r="X28" s="23">
        <f>S29</f>
        <v>0.18333333333333332</v>
      </c>
      <c r="Y28" s="23"/>
      <c r="Z28" s="23"/>
      <c r="AA28" s="632"/>
      <c r="AB28" s="632"/>
      <c r="AC28" s="25">
        <v>6</v>
      </c>
      <c r="AD28" s="25"/>
      <c r="AE28" s="19">
        <f t="shared" si="8"/>
        <v>-111.86440677966084</v>
      </c>
      <c r="AF28" s="519">
        <f t="shared" si="9"/>
        <v>0.9533898305084747</v>
      </c>
      <c r="AG28" s="637">
        <f>AF34</f>
        <v>0.95491144440301812</v>
      </c>
    </row>
    <row r="29" spans="1:33" ht="15.75" customHeight="1">
      <c r="A29" s="654" t="s">
        <v>2794</v>
      </c>
      <c r="B29" s="42" t="s">
        <v>116</v>
      </c>
      <c r="C29" s="653" t="s">
        <v>118</v>
      </c>
      <c r="D29" s="653"/>
      <c r="E29" s="42">
        <v>26.37</v>
      </c>
      <c r="F29" s="530">
        <v>5374</v>
      </c>
      <c r="G29" s="520">
        <f t="shared" si="23"/>
        <v>141712.38</v>
      </c>
      <c r="H29" s="37" t="s">
        <v>91</v>
      </c>
      <c r="I29" s="528">
        <v>18</v>
      </c>
      <c r="J29" s="39">
        <v>2400</v>
      </c>
      <c r="K29" s="17">
        <f t="shared" si="1"/>
        <v>133.33333333333334</v>
      </c>
      <c r="L29" s="528">
        <v>18</v>
      </c>
      <c r="M29" s="18">
        <f t="shared" si="24"/>
        <v>2286.8085106382973</v>
      </c>
      <c r="N29" s="17">
        <f t="shared" si="3"/>
        <v>127.04491725768318</v>
      </c>
      <c r="O29" s="19">
        <f t="shared" si="4"/>
        <v>0</v>
      </c>
      <c r="P29" s="20">
        <f t="shared" si="5"/>
        <v>-6.2884160756501615</v>
      </c>
      <c r="Q29" s="519">
        <f t="shared" si="6"/>
        <v>0.95283687943262374</v>
      </c>
      <c r="R29" s="637"/>
      <c r="S29" s="40">
        <v>0.18333333333333332</v>
      </c>
      <c r="T29" s="40">
        <v>0.28125</v>
      </c>
      <c r="U29" s="520">
        <f t="shared" ref="U29:U33" si="26">(S29-T28)*24*60</f>
        <v>25.999999999999986</v>
      </c>
      <c r="V29" s="529">
        <f t="shared" si="25"/>
        <v>141.00000000000003</v>
      </c>
      <c r="W29" s="23"/>
      <c r="X29" s="23"/>
      <c r="Y29" s="23"/>
      <c r="Z29" s="23"/>
      <c r="AA29" s="632"/>
      <c r="AB29" s="632"/>
      <c r="AC29" s="25"/>
      <c r="AD29" s="25"/>
      <c r="AE29" s="19">
        <f t="shared" si="8"/>
        <v>-113.19148936170268</v>
      </c>
      <c r="AF29" s="519">
        <f t="shared" si="9"/>
        <v>0.95283687943262385</v>
      </c>
      <c r="AG29" s="637"/>
    </row>
    <row r="30" spans="1:33" ht="15.75" customHeight="1">
      <c r="A30" s="654" t="s">
        <v>2794</v>
      </c>
      <c r="B30" s="42" t="s">
        <v>116</v>
      </c>
      <c r="C30" s="653" t="s">
        <v>124</v>
      </c>
      <c r="D30" s="653"/>
      <c r="E30" s="42">
        <v>24.43</v>
      </c>
      <c r="F30" s="530">
        <v>3400</v>
      </c>
      <c r="G30" s="520">
        <f t="shared" si="23"/>
        <v>83062</v>
      </c>
      <c r="H30" s="37">
        <v>2</v>
      </c>
      <c r="I30" s="528">
        <v>14</v>
      </c>
      <c r="J30" s="39">
        <v>2400</v>
      </c>
      <c r="K30" s="17">
        <f t="shared" si="1"/>
        <v>171.42857142857142</v>
      </c>
      <c r="L30" s="528">
        <v>14</v>
      </c>
      <c r="M30" s="18">
        <f t="shared" si="24"/>
        <v>2292.1348314606744</v>
      </c>
      <c r="N30" s="17">
        <f t="shared" si="3"/>
        <v>163.72391653290532</v>
      </c>
      <c r="O30" s="19">
        <f t="shared" si="4"/>
        <v>0</v>
      </c>
      <c r="P30" s="20">
        <f t="shared" si="5"/>
        <v>-7.7046548956660956</v>
      </c>
      <c r="Q30" s="519">
        <f t="shared" si="6"/>
        <v>0.95505617977528112</v>
      </c>
      <c r="R30" s="637"/>
      <c r="S30" s="40">
        <v>0.28611111111111109</v>
      </c>
      <c r="T30" s="40">
        <v>0.34791666666666665</v>
      </c>
      <c r="U30" s="520">
        <f t="shared" si="26"/>
        <v>6.9999999999999751</v>
      </c>
      <c r="V30" s="529">
        <f t="shared" si="25"/>
        <v>89</v>
      </c>
      <c r="W30" s="23"/>
      <c r="X30" s="23"/>
      <c r="Y30" s="23"/>
      <c r="Z30" s="23"/>
      <c r="AA30" s="632"/>
      <c r="AB30" s="632"/>
      <c r="AC30" s="25"/>
      <c r="AD30" s="25"/>
      <c r="AE30" s="19">
        <f t="shared" si="8"/>
        <v>-107.86516853932562</v>
      </c>
      <c r="AF30" s="519">
        <f t="shared" si="9"/>
        <v>0.95505617977528101</v>
      </c>
      <c r="AG30" s="637"/>
    </row>
    <row r="31" spans="1:33" ht="15.75" customHeight="1">
      <c r="A31" s="654" t="s">
        <v>2794</v>
      </c>
      <c r="B31" s="42" t="s">
        <v>116</v>
      </c>
      <c r="C31" s="653" t="s">
        <v>126</v>
      </c>
      <c r="D31" s="653"/>
      <c r="E31" s="42">
        <v>34.1</v>
      </c>
      <c r="F31" s="530">
        <v>5392</v>
      </c>
      <c r="G31" s="520">
        <f t="shared" si="23"/>
        <v>183867.2</v>
      </c>
      <c r="H31" s="37" t="s">
        <v>91</v>
      </c>
      <c r="I31" s="528">
        <v>17</v>
      </c>
      <c r="J31" s="39">
        <v>1600</v>
      </c>
      <c r="K31" s="17">
        <f t="shared" si="1"/>
        <v>94.117647058823536</v>
      </c>
      <c r="L31" s="528">
        <v>17</v>
      </c>
      <c r="M31" s="18">
        <f t="shared" si="24"/>
        <v>1526.0377358490562</v>
      </c>
      <c r="N31" s="17">
        <f t="shared" si="3"/>
        <v>89.766925638179771</v>
      </c>
      <c r="O31" s="19">
        <f t="shared" si="4"/>
        <v>0</v>
      </c>
      <c r="P31" s="20">
        <f t="shared" si="5"/>
        <v>-4.3507214206437652</v>
      </c>
      <c r="Q31" s="519">
        <f t="shared" si="6"/>
        <v>0.95377358490566</v>
      </c>
      <c r="R31" s="637"/>
      <c r="S31" s="40">
        <v>0.35138888888888886</v>
      </c>
      <c r="T31" s="40">
        <v>0.49861111111111112</v>
      </c>
      <c r="U31" s="520">
        <f t="shared" si="26"/>
        <v>4.9999999999999822</v>
      </c>
      <c r="V31" s="529">
        <f t="shared" si="25"/>
        <v>212.00000000000006</v>
      </c>
      <c r="W31" s="23">
        <f>T31</f>
        <v>0.49861111111111112</v>
      </c>
      <c r="X31" s="23">
        <f>S32</f>
        <v>0.53749999999999998</v>
      </c>
      <c r="Y31" s="23"/>
      <c r="Z31" s="23"/>
      <c r="AA31" s="632"/>
      <c r="AB31" s="632"/>
      <c r="AC31" s="25"/>
      <c r="AD31" s="25"/>
      <c r="AE31" s="19">
        <f t="shared" si="8"/>
        <v>-73.962264150943838</v>
      </c>
      <c r="AF31" s="519">
        <f t="shared" si="9"/>
        <v>0.95377358490566011</v>
      </c>
      <c r="AG31" s="637"/>
    </row>
    <row r="32" spans="1:33" ht="15.75" customHeight="1">
      <c r="A32" s="654" t="s">
        <v>2794</v>
      </c>
      <c r="B32" s="42" t="s">
        <v>116</v>
      </c>
      <c r="C32" s="653" t="s">
        <v>117</v>
      </c>
      <c r="D32" s="653"/>
      <c r="E32" s="42">
        <v>31.29</v>
      </c>
      <c r="F32" s="530">
        <v>3390</v>
      </c>
      <c r="G32" s="520">
        <f t="shared" si="23"/>
        <v>106073.09999999999</v>
      </c>
      <c r="H32" s="37" t="s">
        <v>91</v>
      </c>
      <c r="I32" s="528">
        <v>18</v>
      </c>
      <c r="J32" s="39">
        <v>2400</v>
      </c>
      <c r="K32" s="17">
        <f t="shared" si="1"/>
        <v>133.33333333333334</v>
      </c>
      <c r="L32" s="528">
        <v>18</v>
      </c>
      <c r="M32" s="18">
        <f t="shared" si="24"/>
        <v>2285.3932584269664</v>
      </c>
      <c r="N32" s="17">
        <f t="shared" si="3"/>
        <v>126.96629213483146</v>
      </c>
      <c r="O32" s="19">
        <f t="shared" si="4"/>
        <v>0</v>
      </c>
      <c r="P32" s="20">
        <f t="shared" si="5"/>
        <v>-6.3670411985018802</v>
      </c>
      <c r="Q32" s="519">
        <f t="shared" si="6"/>
        <v>0.95224719101123589</v>
      </c>
      <c r="R32" s="637"/>
      <c r="S32" s="40">
        <v>0.53749999999999998</v>
      </c>
      <c r="T32" s="40">
        <v>0.59930555555555554</v>
      </c>
      <c r="U32" s="520">
        <f t="shared" si="26"/>
        <v>55.999999999999957</v>
      </c>
      <c r="V32" s="529">
        <f t="shared" si="25"/>
        <v>89</v>
      </c>
      <c r="W32" s="23"/>
      <c r="X32" s="23"/>
      <c r="Y32" s="23"/>
      <c r="Z32" s="23"/>
      <c r="AA32" s="632"/>
      <c r="AB32" s="632"/>
      <c r="AC32" s="25"/>
      <c r="AD32" s="25"/>
      <c r="AE32" s="19">
        <f t="shared" si="8"/>
        <v>-114.60674157303356</v>
      </c>
      <c r="AF32" s="519">
        <f t="shared" si="9"/>
        <v>0.952247191011236</v>
      </c>
      <c r="AG32" s="637"/>
    </row>
    <row r="33" spans="1:33" ht="15.75" customHeight="1">
      <c r="A33" s="654" t="s">
        <v>2794</v>
      </c>
      <c r="B33" s="42" t="s">
        <v>116</v>
      </c>
      <c r="C33" s="653" t="s">
        <v>124</v>
      </c>
      <c r="D33" s="653"/>
      <c r="E33" s="42">
        <v>24.43</v>
      </c>
      <c r="F33" s="530">
        <v>2693</v>
      </c>
      <c r="G33" s="520">
        <f t="shared" si="23"/>
        <v>65789.990000000005</v>
      </c>
      <c r="H33" s="37" t="s">
        <v>91</v>
      </c>
      <c r="I33" s="528">
        <v>14</v>
      </c>
      <c r="J33" s="39">
        <v>2400</v>
      </c>
      <c r="K33" s="17">
        <f t="shared" si="1"/>
        <v>171.42857142857142</v>
      </c>
      <c r="L33" s="528">
        <v>14</v>
      </c>
      <c r="M33" s="18">
        <f t="shared" si="24"/>
        <v>2308.2857142857119</v>
      </c>
      <c r="N33" s="17">
        <f t="shared" si="3"/>
        <v>164.87755102040799</v>
      </c>
      <c r="O33" s="19">
        <f t="shared" si="4"/>
        <v>0</v>
      </c>
      <c r="P33" s="20">
        <f t="shared" si="5"/>
        <v>-6.5510204081634242</v>
      </c>
      <c r="Q33" s="519">
        <f t="shared" si="6"/>
        <v>0.96178571428571336</v>
      </c>
      <c r="R33" s="637"/>
      <c r="S33" s="40">
        <v>0.60347222222222219</v>
      </c>
      <c r="T33" s="40">
        <v>0.65208333333333335</v>
      </c>
      <c r="U33" s="520">
        <f t="shared" si="26"/>
        <v>5.9999999999999787</v>
      </c>
      <c r="V33" s="529">
        <f t="shared" si="25"/>
        <v>70.000000000000071</v>
      </c>
      <c r="W33" s="23"/>
      <c r="X33" s="23"/>
      <c r="Y33" s="23"/>
      <c r="Z33" s="23"/>
      <c r="AA33" s="632"/>
      <c r="AB33" s="632"/>
      <c r="AC33" s="25"/>
      <c r="AD33" s="25"/>
      <c r="AE33" s="19">
        <f t="shared" si="8"/>
        <v>-91.714285714288053</v>
      </c>
      <c r="AF33" s="519">
        <f t="shared" si="9"/>
        <v>0.96178571428571336</v>
      </c>
      <c r="AG33" s="637"/>
    </row>
    <row r="34" spans="1:33" ht="15.75" customHeight="1">
      <c r="A34" s="654" t="s">
        <v>2794</v>
      </c>
      <c r="B34" s="42" t="s">
        <v>2784</v>
      </c>
      <c r="C34" s="638"/>
      <c r="D34" s="638"/>
      <c r="E34" s="521"/>
      <c r="F34" s="530"/>
      <c r="G34" s="520"/>
      <c r="H34" s="530"/>
      <c r="I34" s="29">
        <v>16.5</v>
      </c>
      <c r="J34" s="39">
        <v>2266.6666666666665</v>
      </c>
      <c r="K34" s="17">
        <f t="shared" si="1"/>
        <v>137.37373737373736</v>
      </c>
      <c r="L34" s="29">
        <v>16.5</v>
      </c>
      <c r="M34" s="18">
        <f>AVERAGE(M28:M33)</f>
        <v>2164.4659406468409</v>
      </c>
      <c r="N34" s="17">
        <f t="shared" si="3"/>
        <v>131.17975397859641</v>
      </c>
      <c r="O34" s="19">
        <f t="shared" si="4"/>
        <v>0</v>
      </c>
      <c r="P34" s="20">
        <f t="shared" si="5"/>
        <v>-6.1939833951409469</v>
      </c>
      <c r="Q34" s="519">
        <f t="shared" si="6"/>
        <v>0.95491144440301812</v>
      </c>
      <c r="R34" s="637"/>
      <c r="S34" s="40"/>
      <c r="T34" s="40"/>
      <c r="U34" s="520"/>
      <c r="V34" s="529"/>
      <c r="W34" s="520"/>
      <c r="X34" s="520"/>
      <c r="Y34" s="30">
        <f>SUM(Y28:Y33)</f>
        <v>0</v>
      </c>
      <c r="Z34" s="30">
        <f>SUM(Z28:Z33)</f>
        <v>0</v>
      </c>
      <c r="AA34" s="631"/>
      <c r="AB34" s="631"/>
      <c r="AC34" s="30">
        <v>6</v>
      </c>
      <c r="AD34" s="30">
        <f>SUM(AD28:AD33)</f>
        <v>0</v>
      </c>
      <c r="AE34" s="19">
        <f t="shared" si="8"/>
        <v>-102.20072601982565</v>
      </c>
      <c r="AF34" s="519">
        <f t="shared" si="9"/>
        <v>0.95491144440301812</v>
      </c>
      <c r="AG34" s="637"/>
    </row>
    <row r="35" spans="1:33" ht="15.75" customHeight="1">
      <c r="A35" s="651" t="s">
        <v>2795</v>
      </c>
      <c r="B35" s="42" t="s">
        <v>116</v>
      </c>
      <c r="C35" s="633" t="s">
        <v>123</v>
      </c>
      <c r="D35" s="633"/>
      <c r="E35" s="42">
        <v>26.18</v>
      </c>
      <c r="F35" s="530">
        <v>4945</v>
      </c>
      <c r="G35" s="520">
        <f t="shared" ref="G35:G40" si="27">E35*F35</f>
        <v>129460.1</v>
      </c>
      <c r="H35" s="37" t="s">
        <v>91</v>
      </c>
      <c r="I35" s="528">
        <v>20</v>
      </c>
      <c r="J35" s="39">
        <v>2400</v>
      </c>
      <c r="K35" s="17">
        <f t="shared" si="1"/>
        <v>120</v>
      </c>
      <c r="L35" s="528">
        <v>20</v>
      </c>
      <c r="M35" s="18">
        <f t="shared" ref="M35:M40" si="28">F35/V35*60</f>
        <v>2300</v>
      </c>
      <c r="N35" s="17">
        <f t="shared" si="3"/>
        <v>115</v>
      </c>
      <c r="O35" s="19">
        <f t="shared" si="4"/>
        <v>0</v>
      </c>
      <c r="P35" s="20">
        <f t="shared" si="5"/>
        <v>-5</v>
      </c>
      <c r="Q35" s="519">
        <f t="shared" si="6"/>
        <v>0.95833333333333337</v>
      </c>
      <c r="R35" s="637">
        <f>Q41</f>
        <v>0.95812051121254838</v>
      </c>
      <c r="S35" s="40">
        <v>8.3333333333333329E-2</v>
      </c>
      <c r="T35" s="40">
        <v>0.17291666666666666</v>
      </c>
      <c r="U35" s="520"/>
      <c r="V35" s="529">
        <f t="shared" ref="V35:V40" si="29">(T35-S35)*24*60</f>
        <v>129</v>
      </c>
      <c r="W35" s="28">
        <f>T35</f>
        <v>0.17291666666666666</v>
      </c>
      <c r="X35" s="28">
        <f>S36</f>
        <v>0.19305555555555556</v>
      </c>
      <c r="Y35" s="28"/>
      <c r="Z35" s="28"/>
      <c r="AA35" s="632"/>
      <c r="AB35" s="632"/>
      <c r="AC35" s="25">
        <v>6</v>
      </c>
      <c r="AD35" s="25"/>
      <c r="AE35" s="19">
        <f t="shared" si="8"/>
        <v>-100</v>
      </c>
      <c r="AF35" s="519">
        <f t="shared" si="9"/>
        <v>0.95833333333333337</v>
      </c>
      <c r="AG35" s="637">
        <f>AF41</f>
        <v>0.95812051121254849</v>
      </c>
    </row>
    <row r="36" spans="1:33" ht="15.75" customHeight="1">
      <c r="A36" s="651" t="s">
        <v>2795</v>
      </c>
      <c r="B36" s="42" t="s">
        <v>116</v>
      </c>
      <c r="C36" s="633" t="s">
        <v>150</v>
      </c>
      <c r="D36" s="633"/>
      <c r="E36" s="42">
        <v>23.89</v>
      </c>
      <c r="F36" s="530">
        <v>1018</v>
      </c>
      <c r="G36" s="520">
        <f t="shared" si="27"/>
        <v>24320.02</v>
      </c>
      <c r="H36" s="37" t="s">
        <v>91</v>
      </c>
      <c r="I36" s="528">
        <v>13</v>
      </c>
      <c r="J36" s="39">
        <v>2400</v>
      </c>
      <c r="K36" s="17">
        <f t="shared" si="1"/>
        <v>184.61538461538461</v>
      </c>
      <c r="L36" s="528">
        <v>13</v>
      </c>
      <c r="M36" s="18">
        <f t="shared" si="28"/>
        <v>2349.2307692307704</v>
      </c>
      <c r="N36" s="17">
        <f t="shared" si="3"/>
        <v>180.71005917159772</v>
      </c>
      <c r="O36" s="19">
        <f t="shared" si="4"/>
        <v>0</v>
      </c>
      <c r="P36" s="20">
        <f t="shared" si="5"/>
        <v>-3.9053254437868929</v>
      </c>
      <c r="Q36" s="519">
        <f t="shared" si="6"/>
        <v>0.97884615384615437</v>
      </c>
      <c r="R36" s="637"/>
      <c r="S36" s="40">
        <v>0.19305555555555556</v>
      </c>
      <c r="T36" s="40">
        <v>0.21111111111111111</v>
      </c>
      <c r="U36" s="520">
        <f t="shared" ref="U36:U40" si="30">(S36-T35)*24*60</f>
        <v>29.000000000000018</v>
      </c>
      <c r="V36" s="529">
        <f t="shared" si="29"/>
        <v>25.999999999999986</v>
      </c>
      <c r="W36" s="520"/>
      <c r="X36" s="520"/>
      <c r="Y36" s="520"/>
      <c r="Z36" s="520"/>
      <c r="AA36" s="632"/>
      <c r="AB36" s="632"/>
      <c r="AC36" s="25"/>
      <c r="AD36" s="25"/>
      <c r="AE36" s="19">
        <f t="shared" si="8"/>
        <v>-50.76923076922958</v>
      </c>
      <c r="AF36" s="519">
        <f t="shared" si="9"/>
        <v>0.97884615384615437</v>
      </c>
      <c r="AG36" s="637"/>
    </row>
    <row r="37" spans="1:33">
      <c r="A37" s="652" t="s">
        <v>2795</v>
      </c>
      <c r="B37" s="42" t="s">
        <v>116</v>
      </c>
      <c r="C37" s="633" t="s">
        <v>119</v>
      </c>
      <c r="D37" s="633"/>
      <c r="E37" s="42">
        <v>26.18</v>
      </c>
      <c r="F37" s="530">
        <v>7240</v>
      </c>
      <c r="G37" s="520">
        <f t="shared" si="27"/>
        <v>189543.2</v>
      </c>
      <c r="H37" s="37" t="s">
        <v>91</v>
      </c>
      <c r="I37" s="528">
        <v>18</v>
      </c>
      <c r="J37" s="39">
        <v>2400</v>
      </c>
      <c r="K37" s="17">
        <f t="shared" si="1"/>
        <v>133.33333333333334</v>
      </c>
      <c r="L37" s="528">
        <v>18</v>
      </c>
      <c r="M37" s="18">
        <f t="shared" si="28"/>
        <v>2286.3157894736842</v>
      </c>
      <c r="N37" s="17">
        <f t="shared" si="3"/>
        <v>127.01754385964912</v>
      </c>
      <c r="O37" s="19">
        <f t="shared" si="4"/>
        <v>0</v>
      </c>
      <c r="P37" s="20">
        <f t="shared" si="5"/>
        <v>-6.3157894736842195</v>
      </c>
      <c r="Q37" s="519">
        <f t="shared" si="6"/>
        <v>0.95263157894736838</v>
      </c>
      <c r="R37" s="637"/>
      <c r="S37" s="40">
        <v>0.21458333333333332</v>
      </c>
      <c r="T37" s="40">
        <v>0.34652777777777777</v>
      </c>
      <c r="U37" s="520">
        <f t="shared" si="30"/>
        <v>4.9999999999999822</v>
      </c>
      <c r="V37" s="529">
        <f t="shared" si="29"/>
        <v>190.00000000000003</v>
      </c>
      <c r="W37" s="520"/>
      <c r="X37" s="520"/>
      <c r="Y37" s="520"/>
      <c r="Z37" s="520"/>
      <c r="AA37" s="632"/>
      <c r="AB37" s="632"/>
      <c r="AC37" s="25"/>
      <c r="AD37" s="25"/>
      <c r="AE37" s="19">
        <f t="shared" si="8"/>
        <v>-113.68421052631584</v>
      </c>
      <c r="AF37" s="519">
        <f t="shared" si="9"/>
        <v>0.95263157894736838</v>
      </c>
      <c r="AG37" s="637"/>
    </row>
    <row r="38" spans="1:33">
      <c r="A38" s="652" t="s">
        <v>2795</v>
      </c>
      <c r="B38" s="42" t="s">
        <v>116</v>
      </c>
      <c r="C38" s="633" t="s">
        <v>121</v>
      </c>
      <c r="D38" s="633"/>
      <c r="E38" s="42">
        <v>25.99</v>
      </c>
      <c r="F38" s="530">
        <v>3088</v>
      </c>
      <c r="G38" s="520">
        <f t="shared" si="27"/>
        <v>80257.119999999995</v>
      </c>
      <c r="H38" s="37" t="s">
        <v>91</v>
      </c>
      <c r="I38" s="528">
        <v>14</v>
      </c>
      <c r="J38" s="39">
        <v>2400</v>
      </c>
      <c r="K38" s="17">
        <f t="shared" si="1"/>
        <v>171.42857142857142</v>
      </c>
      <c r="L38" s="528">
        <v>14</v>
      </c>
      <c r="M38" s="18">
        <f t="shared" si="28"/>
        <v>2287.4074074074065</v>
      </c>
      <c r="N38" s="17">
        <f t="shared" si="3"/>
        <v>163.38624338624331</v>
      </c>
      <c r="O38" s="19">
        <f t="shared" si="4"/>
        <v>0</v>
      </c>
      <c r="P38" s="20">
        <f t="shared" si="5"/>
        <v>-8.0423280423281085</v>
      </c>
      <c r="Q38" s="519">
        <f t="shared" si="6"/>
        <v>0.95308641975308606</v>
      </c>
      <c r="R38" s="637"/>
      <c r="S38" s="40">
        <v>0.3520833333333333</v>
      </c>
      <c r="T38" s="40">
        <v>0.40833333333333333</v>
      </c>
      <c r="U38" s="520">
        <f t="shared" si="30"/>
        <v>7.9999999999999716</v>
      </c>
      <c r="V38" s="529">
        <f t="shared" si="29"/>
        <v>81.000000000000028</v>
      </c>
      <c r="W38" s="23"/>
      <c r="X38" s="23"/>
      <c r="Y38" s="23"/>
      <c r="Z38" s="23"/>
      <c r="AA38" s="632"/>
      <c r="AB38" s="632"/>
      <c r="AC38" s="25"/>
      <c r="AD38" s="25"/>
      <c r="AE38" s="19">
        <f t="shared" si="8"/>
        <v>-112.59259259259352</v>
      </c>
      <c r="AF38" s="519">
        <f t="shared" si="9"/>
        <v>0.95308641975308606</v>
      </c>
      <c r="AG38" s="637"/>
    </row>
    <row r="39" spans="1:33">
      <c r="A39" s="652" t="s">
        <v>2795</v>
      </c>
      <c r="B39" s="42" t="s">
        <v>116</v>
      </c>
      <c r="C39" s="633" t="s">
        <v>147</v>
      </c>
      <c r="D39" s="633"/>
      <c r="E39" s="42">
        <v>25.98</v>
      </c>
      <c r="F39" s="530">
        <v>1638</v>
      </c>
      <c r="G39" s="520">
        <f t="shared" si="27"/>
        <v>42555.24</v>
      </c>
      <c r="H39" s="37" t="s">
        <v>91</v>
      </c>
      <c r="I39" s="528">
        <v>17</v>
      </c>
      <c r="J39" s="39">
        <v>2400</v>
      </c>
      <c r="K39" s="17">
        <f t="shared" si="1"/>
        <v>141.1764705882353</v>
      </c>
      <c r="L39" s="528">
        <v>17</v>
      </c>
      <c r="M39" s="18">
        <f t="shared" si="28"/>
        <v>2285.5813953488368</v>
      </c>
      <c r="N39" s="17">
        <f t="shared" si="3"/>
        <v>134.44596443228451</v>
      </c>
      <c r="O39" s="19">
        <f t="shared" si="4"/>
        <v>0</v>
      </c>
      <c r="P39" s="20">
        <f t="shared" si="5"/>
        <v>-6.7305061559507919</v>
      </c>
      <c r="Q39" s="519">
        <f t="shared" si="6"/>
        <v>0.95232558139534851</v>
      </c>
      <c r="R39" s="637"/>
      <c r="S39" s="40">
        <v>0.41249999999999998</v>
      </c>
      <c r="T39" s="40">
        <v>0.44236111111111109</v>
      </c>
      <c r="U39" s="520">
        <f t="shared" si="30"/>
        <v>5.9999999999999787</v>
      </c>
      <c r="V39" s="529">
        <f t="shared" si="29"/>
        <v>43.000000000000007</v>
      </c>
      <c r="W39" s="23"/>
      <c r="X39" s="23"/>
      <c r="Y39" s="23"/>
      <c r="Z39" s="23"/>
      <c r="AA39" s="632"/>
      <c r="AB39" s="632"/>
      <c r="AC39" s="25"/>
      <c r="AD39" s="25"/>
      <c r="AE39" s="19">
        <f t="shared" si="8"/>
        <v>-114.41860465116315</v>
      </c>
      <c r="AF39" s="519">
        <f t="shared" si="9"/>
        <v>0.95232558139534873</v>
      </c>
      <c r="AG39" s="637"/>
    </row>
    <row r="40" spans="1:33">
      <c r="A40" s="652" t="s">
        <v>2795</v>
      </c>
      <c r="B40" s="42" t="s">
        <v>116</v>
      </c>
      <c r="C40" s="633" t="s">
        <v>149</v>
      </c>
      <c r="D40" s="633"/>
      <c r="E40" s="42">
        <v>24.25</v>
      </c>
      <c r="F40" s="530">
        <v>1907</v>
      </c>
      <c r="G40" s="520">
        <f t="shared" si="27"/>
        <v>46244.75</v>
      </c>
      <c r="H40" s="37" t="s">
        <v>91</v>
      </c>
      <c r="I40" s="528">
        <v>16</v>
      </c>
      <c r="J40" s="39">
        <v>2400</v>
      </c>
      <c r="K40" s="17">
        <f t="shared" si="1"/>
        <v>150</v>
      </c>
      <c r="L40" s="528">
        <v>16</v>
      </c>
      <c r="M40" s="18">
        <f t="shared" si="28"/>
        <v>2288.4000000000005</v>
      </c>
      <c r="N40" s="17">
        <f t="shared" si="3"/>
        <v>143.02500000000003</v>
      </c>
      <c r="O40" s="19">
        <f t="shared" si="4"/>
        <v>0</v>
      </c>
      <c r="P40" s="20">
        <f t="shared" si="5"/>
        <v>-6.9749999999999659</v>
      </c>
      <c r="Q40" s="519">
        <f t="shared" si="6"/>
        <v>0.95350000000000024</v>
      </c>
      <c r="R40" s="637"/>
      <c r="S40" s="40">
        <v>0.44722222222222219</v>
      </c>
      <c r="T40" s="40">
        <v>0.4819444444444444</v>
      </c>
      <c r="U40" s="520">
        <f t="shared" si="30"/>
        <v>6.9999999999999751</v>
      </c>
      <c r="V40" s="529">
        <f t="shared" si="29"/>
        <v>49.999999999999986</v>
      </c>
      <c r="W40" s="23"/>
      <c r="X40" s="23"/>
      <c r="Y40" s="23"/>
      <c r="Z40" s="23"/>
      <c r="AA40" s="632"/>
      <c r="AB40" s="632"/>
      <c r="AC40" s="25"/>
      <c r="AD40" s="25"/>
      <c r="AE40" s="19">
        <f t="shared" si="8"/>
        <v>-111.59999999999945</v>
      </c>
      <c r="AF40" s="519">
        <f t="shared" si="9"/>
        <v>0.95350000000000024</v>
      </c>
      <c r="AG40" s="637"/>
    </row>
    <row r="41" spans="1:33">
      <c r="A41" s="652" t="s">
        <v>2795</v>
      </c>
      <c r="B41" s="44" t="s">
        <v>2784</v>
      </c>
      <c r="C41" s="638"/>
      <c r="D41" s="638"/>
      <c r="E41" s="521"/>
      <c r="F41" s="44"/>
      <c r="G41" s="17"/>
      <c r="H41" s="530"/>
      <c r="I41" s="29">
        <v>16.333333333333332</v>
      </c>
      <c r="J41" s="39">
        <v>2400</v>
      </c>
      <c r="K41" s="17">
        <f t="shared" si="1"/>
        <v>146.9387755102041</v>
      </c>
      <c r="L41" s="29">
        <v>16.333333333333332</v>
      </c>
      <c r="M41" s="18">
        <f>AVERAGE(M35:M40)</f>
        <v>2299.4892269101165</v>
      </c>
      <c r="N41" s="17">
        <f t="shared" si="3"/>
        <v>140.78505470878264</v>
      </c>
      <c r="O41" s="19">
        <f t="shared" si="4"/>
        <v>0</v>
      </c>
      <c r="P41" s="20">
        <f t="shared" si="5"/>
        <v>-6.1537208014214571</v>
      </c>
      <c r="Q41" s="519">
        <f t="shared" si="6"/>
        <v>0.95812051121254838</v>
      </c>
      <c r="R41" s="637"/>
      <c r="S41" s="40"/>
      <c r="T41" s="40"/>
      <c r="U41" s="17"/>
      <c r="V41" s="529"/>
      <c r="W41" s="17"/>
      <c r="X41" s="17"/>
      <c r="Y41" s="30">
        <f>SUM(Y35:Y40)</f>
        <v>0</v>
      </c>
      <c r="Z41" s="30">
        <f>SUM(Z35:Z40)</f>
        <v>0</v>
      </c>
      <c r="AA41" s="631"/>
      <c r="AB41" s="631"/>
      <c r="AC41" s="30">
        <v>6</v>
      </c>
      <c r="AD41" s="30">
        <f>SUM(AD35:AD40)</f>
        <v>0</v>
      </c>
      <c r="AE41" s="19">
        <f t="shared" si="8"/>
        <v>-100.51077308988351</v>
      </c>
      <c r="AF41" s="519">
        <f t="shared" si="9"/>
        <v>0.95812051121254849</v>
      </c>
      <c r="AG41" s="637"/>
    </row>
    <row r="42" spans="1:33" ht="15.75" customHeight="1">
      <c r="A42" s="648" t="s">
        <v>2796</v>
      </c>
      <c r="B42" s="42" t="s">
        <v>127</v>
      </c>
      <c r="C42" s="625" t="s">
        <v>128</v>
      </c>
      <c r="D42" s="626"/>
      <c r="E42" s="42">
        <v>21.13</v>
      </c>
      <c r="F42" s="530">
        <v>4864</v>
      </c>
      <c r="G42" s="520">
        <f t="shared" ref="G42:G44" si="31">E42*F42</f>
        <v>102776.31999999999</v>
      </c>
      <c r="H42" s="37" t="s">
        <v>91</v>
      </c>
      <c r="I42" s="528">
        <v>10</v>
      </c>
      <c r="J42" s="39">
        <v>3000</v>
      </c>
      <c r="K42" s="17">
        <f t="shared" si="1"/>
        <v>300</v>
      </c>
      <c r="L42" s="528">
        <v>10</v>
      </c>
      <c r="M42" s="18">
        <f t="shared" ref="M42:M44" si="32">F42/V42*60</f>
        <v>2861.1764705882351</v>
      </c>
      <c r="N42" s="18">
        <f t="shared" si="3"/>
        <v>286.11764705882354</v>
      </c>
      <c r="O42" s="19">
        <f t="shared" si="4"/>
        <v>0</v>
      </c>
      <c r="P42" s="20">
        <f t="shared" si="5"/>
        <v>-13.882352941176464</v>
      </c>
      <c r="Q42" s="519">
        <f t="shared" si="6"/>
        <v>0.95372549019607844</v>
      </c>
      <c r="R42" s="643">
        <f>Q45</f>
        <v>0.95315333051459539</v>
      </c>
      <c r="S42" s="40">
        <v>0.20833333333333334</v>
      </c>
      <c r="T42" s="40">
        <v>0.27916666666666667</v>
      </c>
      <c r="U42" s="28"/>
      <c r="V42" s="529">
        <f t="shared" ref="V42:V44" si="33">(T42-S42)*24*60</f>
        <v>102</v>
      </c>
      <c r="W42" s="23"/>
      <c r="X42" s="23"/>
      <c r="Y42" s="26"/>
      <c r="Z42" s="26"/>
      <c r="AA42" s="627"/>
      <c r="AB42" s="628"/>
      <c r="AC42" s="25">
        <v>3</v>
      </c>
      <c r="AD42" s="25"/>
      <c r="AE42" s="19">
        <f t="shared" si="8"/>
        <v>-138.82352941176487</v>
      </c>
      <c r="AF42" s="519">
        <f t="shared" si="9"/>
        <v>0.95372549019607833</v>
      </c>
      <c r="AG42" s="643">
        <f>AF45</f>
        <v>0.95315333051459539</v>
      </c>
    </row>
    <row r="43" spans="1:33" ht="15.75" customHeight="1">
      <c r="A43" s="649" t="s">
        <v>2796</v>
      </c>
      <c r="B43" s="42" t="s">
        <v>127</v>
      </c>
      <c r="C43" s="625" t="s">
        <v>129</v>
      </c>
      <c r="D43" s="626"/>
      <c r="E43" s="42">
        <v>27.17</v>
      </c>
      <c r="F43" s="530">
        <v>5037</v>
      </c>
      <c r="G43" s="520">
        <f t="shared" si="31"/>
        <v>136855.29</v>
      </c>
      <c r="H43" s="37" t="s">
        <v>91</v>
      </c>
      <c r="I43" s="528">
        <v>10</v>
      </c>
      <c r="J43" s="39">
        <v>3000</v>
      </c>
      <c r="K43" s="17">
        <f t="shared" si="1"/>
        <v>300</v>
      </c>
      <c r="L43" s="528">
        <v>10</v>
      </c>
      <c r="M43" s="18">
        <f t="shared" si="32"/>
        <v>2851.1320754716971</v>
      </c>
      <c r="N43" s="18">
        <f t="shared" si="3"/>
        <v>285.11320754716974</v>
      </c>
      <c r="O43" s="19">
        <f t="shared" si="4"/>
        <v>0</v>
      </c>
      <c r="P43" s="20">
        <f t="shared" si="5"/>
        <v>-14.886792452830264</v>
      </c>
      <c r="Q43" s="519">
        <f t="shared" si="6"/>
        <v>0.95037735849056582</v>
      </c>
      <c r="R43" s="644"/>
      <c r="S43" s="40">
        <v>0.28472222222222221</v>
      </c>
      <c r="T43" s="40">
        <v>0.35833333333333334</v>
      </c>
      <c r="U43" s="520">
        <f t="shared" ref="U43:U44" si="34">(S43-T42)*24*60</f>
        <v>7.9999999999999716</v>
      </c>
      <c r="V43" s="529">
        <f t="shared" si="33"/>
        <v>106.00000000000003</v>
      </c>
      <c r="W43" s="23"/>
      <c r="X43" s="23"/>
      <c r="Y43" s="26"/>
      <c r="Z43" s="26"/>
      <c r="AA43" s="627"/>
      <c r="AB43" s="628"/>
      <c r="AC43" s="25"/>
      <c r="AD43" s="25"/>
      <c r="AE43" s="19">
        <f t="shared" si="8"/>
        <v>-148.86792452830286</v>
      </c>
      <c r="AF43" s="519">
        <f t="shared" si="9"/>
        <v>0.9503773584905657</v>
      </c>
      <c r="AG43" s="644"/>
    </row>
    <row r="44" spans="1:33" ht="15.75" customHeight="1">
      <c r="A44" s="649" t="s">
        <v>2796</v>
      </c>
      <c r="B44" s="42" t="s">
        <v>127</v>
      </c>
      <c r="C44" s="625" t="s">
        <v>144</v>
      </c>
      <c r="D44" s="626"/>
      <c r="E44" s="42">
        <v>35.869999999999997</v>
      </c>
      <c r="F44" s="530">
        <v>2675</v>
      </c>
      <c r="G44" s="520">
        <f t="shared" si="31"/>
        <v>95952.25</v>
      </c>
      <c r="H44" s="37" t="s">
        <v>91</v>
      </c>
      <c r="I44" s="528">
        <v>10</v>
      </c>
      <c r="J44" s="39">
        <v>3000</v>
      </c>
      <c r="K44" s="17">
        <f t="shared" si="1"/>
        <v>300</v>
      </c>
      <c r="L44" s="528">
        <v>10</v>
      </c>
      <c r="M44" s="18">
        <f t="shared" si="32"/>
        <v>2866.0714285714262</v>
      </c>
      <c r="N44" s="18">
        <f t="shared" si="3"/>
        <v>286.60714285714261</v>
      </c>
      <c r="O44" s="19">
        <f t="shared" si="4"/>
        <v>0</v>
      </c>
      <c r="P44" s="20">
        <f t="shared" si="5"/>
        <v>-13.392857142857395</v>
      </c>
      <c r="Q44" s="519">
        <f t="shared" si="6"/>
        <v>0.95535714285714202</v>
      </c>
      <c r="R44" s="644"/>
      <c r="S44" s="40">
        <v>0.36319444444444443</v>
      </c>
      <c r="T44" s="40">
        <v>0.40208333333333335</v>
      </c>
      <c r="U44" s="520">
        <f t="shared" si="34"/>
        <v>6.9999999999999751</v>
      </c>
      <c r="V44" s="529">
        <f t="shared" si="33"/>
        <v>56.000000000000043</v>
      </c>
      <c r="W44" s="23"/>
      <c r="X44" s="23"/>
      <c r="Y44" s="26"/>
      <c r="Z44" s="26"/>
      <c r="AA44" s="627"/>
      <c r="AB44" s="628"/>
      <c r="AC44" s="25"/>
      <c r="AD44" s="25"/>
      <c r="AE44" s="19">
        <f t="shared" si="8"/>
        <v>-133.92857142857383</v>
      </c>
      <c r="AF44" s="519">
        <f t="shared" si="9"/>
        <v>0.95535714285714202</v>
      </c>
      <c r="AG44" s="644"/>
    </row>
    <row r="45" spans="1:33" ht="15.75" customHeight="1">
      <c r="A45" s="650" t="s">
        <v>2796</v>
      </c>
      <c r="B45" s="42" t="s">
        <v>2784</v>
      </c>
      <c r="C45" s="629"/>
      <c r="D45" s="630"/>
      <c r="E45" s="517"/>
      <c r="F45" s="530"/>
      <c r="G45" s="520"/>
      <c r="H45" s="530"/>
      <c r="I45" s="29">
        <v>10</v>
      </c>
      <c r="J45" s="39">
        <v>3000</v>
      </c>
      <c r="K45" s="17">
        <f t="shared" si="1"/>
        <v>300</v>
      </c>
      <c r="L45" s="29">
        <v>10</v>
      </c>
      <c r="M45" s="18">
        <f>AVERAGE(M42:M44)</f>
        <v>2859.4599915437861</v>
      </c>
      <c r="N45" s="17">
        <f t="shared" si="3"/>
        <v>285.94599915437863</v>
      </c>
      <c r="O45" s="19">
        <f t="shared" si="4"/>
        <v>0</v>
      </c>
      <c r="P45" s="20">
        <f t="shared" si="5"/>
        <v>-14.054000845621374</v>
      </c>
      <c r="Q45" s="519">
        <f t="shared" si="6"/>
        <v>0.95315333051459539</v>
      </c>
      <c r="R45" s="645"/>
      <c r="S45" s="40"/>
      <c r="T45" s="40"/>
      <c r="U45" s="520"/>
      <c r="V45" s="529"/>
      <c r="W45" s="23"/>
      <c r="X45" s="23"/>
      <c r="Y45" s="30">
        <f>SUM(Y42:Y44)</f>
        <v>0</v>
      </c>
      <c r="Z45" s="30">
        <f>SUM(Z42:Z44)</f>
        <v>0</v>
      </c>
      <c r="AA45" s="646"/>
      <c r="AB45" s="647"/>
      <c r="AC45" s="30">
        <v>3</v>
      </c>
      <c r="AD45" s="30">
        <f>SUM(AD42:AD44)</f>
        <v>0</v>
      </c>
      <c r="AE45" s="19">
        <f t="shared" si="8"/>
        <v>-140.54000845621385</v>
      </c>
      <c r="AF45" s="519">
        <f t="shared" si="9"/>
        <v>0.95315333051459539</v>
      </c>
      <c r="AG45" s="645"/>
    </row>
    <row r="46" spans="1:33" ht="15.75" customHeight="1">
      <c r="A46" s="641" t="s">
        <v>2797</v>
      </c>
      <c r="B46" s="42" t="s">
        <v>92</v>
      </c>
      <c r="C46" s="633" t="s">
        <v>135</v>
      </c>
      <c r="D46" s="633"/>
      <c r="E46" s="42">
        <v>51.44</v>
      </c>
      <c r="F46" s="48">
        <v>1130</v>
      </c>
      <c r="G46" s="520">
        <f t="shared" ref="G46:G53" si="35">E46*F46</f>
        <v>58127.199999999997</v>
      </c>
      <c r="H46" s="37" t="s">
        <v>91</v>
      </c>
      <c r="I46" s="528">
        <v>25</v>
      </c>
      <c r="J46" s="39">
        <v>2000</v>
      </c>
      <c r="K46" s="17">
        <f t="shared" si="1"/>
        <v>80</v>
      </c>
      <c r="L46" s="528">
        <v>25</v>
      </c>
      <c r="M46" s="18">
        <f t="shared" ref="M46" si="36">F46/V46*60</f>
        <v>1937.1428571428576</v>
      </c>
      <c r="N46" s="18">
        <f t="shared" si="3"/>
        <v>77.485714285714309</v>
      </c>
      <c r="O46" s="19">
        <f t="shared" si="4"/>
        <v>0</v>
      </c>
      <c r="P46" s="20">
        <f t="shared" si="5"/>
        <v>-2.5142857142856911</v>
      </c>
      <c r="Q46" s="519">
        <f t="shared" si="6"/>
        <v>0.96857142857142886</v>
      </c>
      <c r="R46" s="637">
        <f>Q54</f>
        <v>0.96359178067571027</v>
      </c>
      <c r="S46" s="40">
        <v>0.20833333333333334</v>
      </c>
      <c r="T46" s="40">
        <v>0.2326388888888889</v>
      </c>
      <c r="U46" s="28"/>
      <c r="V46" s="529">
        <f t="shared" ref="V46:V53" si="37">(T46-S46)*24*60</f>
        <v>34.999999999999993</v>
      </c>
      <c r="W46" s="23"/>
      <c r="X46" s="23"/>
      <c r="Y46" s="28"/>
      <c r="Z46" s="28"/>
      <c r="AA46" s="632"/>
      <c r="AB46" s="632"/>
      <c r="AC46" s="25">
        <v>8</v>
      </c>
      <c r="AD46" s="25"/>
      <c r="AE46" s="19">
        <f t="shared" si="8"/>
        <v>-62.857142857142435</v>
      </c>
      <c r="AF46" s="519">
        <f t="shared" si="9"/>
        <v>0.96857142857142875</v>
      </c>
      <c r="AG46" s="637">
        <f>AF54</f>
        <v>0.96359178067571027</v>
      </c>
    </row>
    <row r="47" spans="1:33" ht="15.75" customHeight="1">
      <c r="A47" s="641" t="s">
        <v>2797</v>
      </c>
      <c r="B47" s="42" t="s">
        <v>92</v>
      </c>
      <c r="C47" s="633" t="s">
        <v>2408</v>
      </c>
      <c r="D47" s="633"/>
      <c r="E47" s="42">
        <v>56.43</v>
      </c>
      <c r="F47" s="48">
        <v>2963</v>
      </c>
      <c r="G47" s="520">
        <f t="shared" si="35"/>
        <v>167202.09</v>
      </c>
      <c r="H47" s="37" t="s">
        <v>91</v>
      </c>
      <c r="I47" s="528">
        <v>23</v>
      </c>
      <c r="J47" s="39">
        <v>2000</v>
      </c>
      <c r="K47" s="17">
        <f t="shared" si="1"/>
        <v>86.956521739130437</v>
      </c>
      <c r="L47" s="528">
        <v>23</v>
      </c>
      <c r="M47" s="18">
        <f>F47/V47*60</f>
        <v>1911.6129032258057</v>
      </c>
      <c r="N47" s="18">
        <f t="shared" si="3"/>
        <v>83.113604488078508</v>
      </c>
      <c r="O47" s="19">
        <f t="shared" si="4"/>
        <v>0</v>
      </c>
      <c r="P47" s="20">
        <f t="shared" si="5"/>
        <v>-3.8429172510519294</v>
      </c>
      <c r="Q47" s="519">
        <f t="shared" si="6"/>
        <v>0.95580645161290279</v>
      </c>
      <c r="R47" s="637"/>
      <c r="S47" s="40">
        <v>0.23680555555555557</v>
      </c>
      <c r="T47" s="40">
        <v>0.30138888888888893</v>
      </c>
      <c r="U47" s="520">
        <f t="shared" ref="U47:U53" si="38">IF(S47=TIME(17,0,0),"",(S47-T46)*24*60)</f>
        <v>6.0000000000000187</v>
      </c>
      <c r="V47" s="529">
        <f t="shared" si="37"/>
        <v>93.000000000000028</v>
      </c>
      <c r="W47" s="23"/>
      <c r="X47" s="23"/>
      <c r="Y47" s="23"/>
      <c r="Z47" s="23"/>
      <c r="AA47" s="632"/>
      <c r="AB47" s="632"/>
      <c r="AC47" s="25"/>
      <c r="AD47" s="25"/>
      <c r="AE47" s="19">
        <f t="shared" si="8"/>
        <v>-88.387096774194333</v>
      </c>
      <c r="AF47" s="519">
        <f t="shared" si="9"/>
        <v>0.95580645161290279</v>
      </c>
      <c r="AG47" s="637"/>
    </row>
    <row r="48" spans="1:33" ht="15.75" customHeight="1">
      <c r="A48" s="641" t="s">
        <v>2797</v>
      </c>
      <c r="B48" s="42" t="s">
        <v>92</v>
      </c>
      <c r="C48" s="625" t="s">
        <v>1852</v>
      </c>
      <c r="D48" s="626"/>
      <c r="E48" s="42">
        <v>56.43</v>
      </c>
      <c r="F48" s="48">
        <v>1734</v>
      </c>
      <c r="G48" s="520">
        <f t="shared" si="35"/>
        <v>97849.62</v>
      </c>
      <c r="H48" s="37" t="s">
        <v>91</v>
      </c>
      <c r="I48" s="528">
        <v>25</v>
      </c>
      <c r="J48" s="39">
        <v>2000</v>
      </c>
      <c r="K48" s="17">
        <f t="shared" si="1"/>
        <v>80</v>
      </c>
      <c r="L48" s="528">
        <v>25</v>
      </c>
      <c r="M48" s="18">
        <f t="shared" ref="M48:M53" si="39">F48/V48*60</f>
        <v>1926.6666666666677</v>
      </c>
      <c r="N48" s="18">
        <f t="shared" si="3"/>
        <v>77.066666666666706</v>
      </c>
      <c r="O48" s="19">
        <f t="shared" si="4"/>
        <v>0</v>
      </c>
      <c r="P48" s="20">
        <f t="shared" si="5"/>
        <v>-2.9333333333332945</v>
      </c>
      <c r="Q48" s="519">
        <f t="shared" si="6"/>
        <v>0.96333333333333382</v>
      </c>
      <c r="R48" s="637"/>
      <c r="S48" s="40">
        <v>0.30555555555555558</v>
      </c>
      <c r="T48" s="40">
        <v>0.34305555555555556</v>
      </c>
      <c r="U48" s="520">
        <f t="shared" si="38"/>
        <v>5.9999999999999787</v>
      </c>
      <c r="V48" s="529">
        <f t="shared" si="37"/>
        <v>53.999999999999972</v>
      </c>
      <c r="W48" s="23"/>
      <c r="X48" s="23"/>
      <c r="Y48" s="26"/>
      <c r="Z48" s="26"/>
      <c r="AA48" s="632"/>
      <c r="AB48" s="632"/>
      <c r="AC48" s="25"/>
      <c r="AD48" s="25"/>
      <c r="AE48" s="19">
        <f t="shared" si="8"/>
        <v>-73.333333333332348</v>
      </c>
      <c r="AF48" s="519">
        <f t="shared" si="9"/>
        <v>0.96333333333333382</v>
      </c>
      <c r="AG48" s="637"/>
    </row>
    <row r="49" spans="1:33" ht="15.75" customHeight="1">
      <c r="A49" s="641" t="s">
        <v>2797</v>
      </c>
      <c r="B49" s="42" t="s">
        <v>96</v>
      </c>
      <c r="C49" s="522" t="s">
        <v>136</v>
      </c>
      <c r="D49" s="523"/>
      <c r="E49" s="42">
        <v>46</v>
      </c>
      <c r="F49" s="48">
        <v>918</v>
      </c>
      <c r="G49" s="520">
        <f t="shared" si="35"/>
        <v>42228</v>
      </c>
      <c r="H49" s="37" t="s">
        <v>91</v>
      </c>
      <c r="I49" s="528">
        <v>16</v>
      </c>
      <c r="J49" s="39">
        <v>2000</v>
      </c>
      <c r="K49" s="17">
        <f t="shared" si="1"/>
        <v>125</v>
      </c>
      <c r="L49" s="528">
        <v>16</v>
      </c>
      <c r="M49" s="18">
        <f t="shared" si="39"/>
        <v>1967.1428571428587</v>
      </c>
      <c r="N49" s="18">
        <f t="shared" si="3"/>
        <v>122.94642857142867</v>
      </c>
      <c r="O49" s="19">
        <f t="shared" si="4"/>
        <v>0</v>
      </c>
      <c r="P49" s="20">
        <f t="shared" si="5"/>
        <v>-2.0535714285713311</v>
      </c>
      <c r="Q49" s="519">
        <f t="shared" si="6"/>
        <v>0.98357142857142932</v>
      </c>
      <c r="R49" s="637"/>
      <c r="S49" s="40">
        <v>0.34861111111111109</v>
      </c>
      <c r="T49" s="40">
        <v>0.36805555555555552</v>
      </c>
      <c r="U49" s="520">
        <f t="shared" si="38"/>
        <v>7.9999999999999716</v>
      </c>
      <c r="V49" s="529">
        <f t="shared" si="37"/>
        <v>27.999999999999979</v>
      </c>
      <c r="W49" s="23"/>
      <c r="X49" s="23"/>
      <c r="Y49" s="26"/>
      <c r="Z49" s="26"/>
      <c r="AA49" s="632"/>
      <c r="AB49" s="632"/>
      <c r="AC49" s="25"/>
      <c r="AD49" s="25"/>
      <c r="AE49" s="19">
        <f t="shared" si="8"/>
        <v>-32.857142857141298</v>
      </c>
      <c r="AF49" s="519">
        <f t="shared" si="9"/>
        <v>0.98357142857142932</v>
      </c>
      <c r="AG49" s="637"/>
    </row>
    <row r="50" spans="1:33" ht="15.75" customHeight="1">
      <c r="A50" s="641" t="s">
        <v>2797</v>
      </c>
      <c r="B50" s="42" t="s">
        <v>96</v>
      </c>
      <c r="C50" s="522" t="s">
        <v>137</v>
      </c>
      <c r="D50" s="523"/>
      <c r="E50" s="42">
        <v>46</v>
      </c>
      <c r="F50" s="48">
        <v>1117</v>
      </c>
      <c r="G50" s="520">
        <f t="shared" si="35"/>
        <v>51382</v>
      </c>
      <c r="H50" s="37" t="s">
        <v>91</v>
      </c>
      <c r="I50" s="528">
        <v>17</v>
      </c>
      <c r="J50" s="39">
        <v>2000</v>
      </c>
      <c r="K50" s="17">
        <f t="shared" si="1"/>
        <v>117.64705882352941</v>
      </c>
      <c r="L50" s="528">
        <v>17</v>
      </c>
      <c r="M50" s="18">
        <f t="shared" si="39"/>
        <v>1914.8571428571408</v>
      </c>
      <c r="N50" s="18">
        <f t="shared" si="3"/>
        <v>112.63865546218476</v>
      </c>
      <c r="O50" s="19">
        <f t="shared" si="4"/>
        <v>0</v>
      </c>
      <c r="P50" s="20">
        <f t="shared" si="5"/>
        <v>-5.0084033613446479</v>
      </c>
      <c r="Q50" s="519">
        <f t="shared" si="6"/>
        <v>0.95742857142857052</v>
      </c>
      <c r="R50" s="637"/>
      <c r="S50" s="40">
        <v>0.37222222222222218</v>
      </c>
      <c r="T50" s="40">
        <v>0.39652777777777776</v>
      </c>
      <c r="U50" s="520">
        <f t="shared" si="38"/>
        <v>5.9999999999999787</v>
      </c>
      <c r="V50" s="529">
        <f t="shared" si="37"/>
        <v>35.000000000000036</v>
      </c>
      <c r="W50" s="23"/>
      <c r="X50" s="23"/>
      <c r="Y50" s="26"/>
      <c r="Z50" s="26"/>
      <c r="AA50" s="632"/>
      <c r="AB50" s="632"/>
      <c r="AC50" s="25"/>
      <c r="AD50" s="25"/>
      <c r="AE50" s="19">
        <f t="shared" si="8"/>
        <v>-85.142857142859157</v>
      </c>
      <c r="AF50" s="519">
        <f t="shared" si="9"/>
        <v>0.95742857142857041</v>
      </c>
      <c r="AG50" s="637"/>
    </row>
    <row r="51" spans="1:33" ht="15.75" customHeight="1">
      <c r="A51" s="641" t="s">
        <v>2797</v>
      </c>
      <c r="B51" s="42" t="s">
        <v>92</v>
      </c>
      <c r="C51" s="625" t="s">
        <v>138</v>
      </c>
      <c r="D51" s="626"/>
      <c r="E51" s="42">
        <v>55.56</v>
      </c>
      <c r="F51" s="48">
        <v>2445</v>
      </c>
      <c r="G51" s="520">
        <f t="shared" si="35"/>
        <v>135844.20000000001</v>
      </c>
      <c r="H51" s="37" t="s">
        <v>91</v>
      </c>
      <c r="I51" s="528">
        <v>17</v>
      </c>
      <c r="J51" s="39">
        <v>2000</v>
      </c>
      <c r="K51" s="17">
        <f t="shared" si="1"/>
        <v>117.64705882352941</v>
      </c>
      <c r="L51" s="528">
        <v>17</v>
      </c>
      <c r="M51" s="18">
        <f t="shared" si="39"/>
        <v>1905.1948051948041</v>
      </c>
      <c r="N51" s="18">
        <f t="shared" si="3"/>
        <v>112.07028265851788</v>
      </c>
      <c r="O51" s="19">
        <f t="shared" si="4"/>
        <v>0</v>
      </c>
      <c r="P51" s="20">
        <f t="shared" si="5"/>
        <v>-5.5767761650115233</v>
      </c>
      <c r="Q51" s="519">
        <f t="shared" si="6"/>
        <v>0.952597402597402</v>
      </c>
      <c r="R51" s="637"/>
      <c r="S51" s="40">
        <v>0.70833333333333337</v>
      </c>
      <c r="T51" s="40">
        <v>0.76180555555555562</v>
      </c>
      <c r="U51" s="520" t="str">
        <f t="shared" si="38"/>
        <v/>
      </c>
      <c r="V51" s="529">
        <f t="shared" si="37"/>
        <v>77.000000000000043</v>
      </c>
      <c r="W51" s="23"/>
      <c r="X51" s="23"/>
      <c r="Y51" s="26"/>
      <c r="Z51" s="26"/>
      <c r="AA51" s="627"/>
      <c r="AB51" s="628"/>
      <c r="AC51" s="25"/>
      <c r="AD51" s="25"/>
      <c r="AE51" s="19">
        <f t="shared" si="8"/>
        <v>-94.805194805195924</v>
      </c>
      <c r="AF51" s="519">
        <f t="shared" si="9"/>
        <v>0.952597402597402</v>
      </c>
      <c r="AG51" s="637"/>
    </row>
    <row r="52" spans="1:33" ht="15.75" customHeight="1">
      <c r="A52" s="641" t="s">
        <v>2797</v>
      </c>
      <c r="B52" s="42" t="s">
        <v>92</v>
      </c>
      <c r="C52" s="625" t="s">
        <v>420</v>
      </c>
      <c r="D52" s="626"/>
      <c r="E52" s="42">
        <v>58.17</v>
      </c>
      <c r="F52" s="48">
        <v>2216</v>
      </c>
      <c r="G52" s="520">
        <f t="shared" si="35"/>
        <v>128904.72</v>
      </c>
      <c r="H52" s="37" t="s">
        <v>91</v>
      </c>
      <c r="I52" s="528">
        <v>13</v>
      </c>
      <c r="J52" s="39">
        <v>2000</v>
      </c>
      <c r="K52" s="17">
        <f t="shared" si="1"/>
        <v>153.84615384615384</v>
      </c>
      <c r="L52" s="528">
        <v>13</v>
      </c>
      <c r="M52" s="18">
        <f t="shared" si="39"/>
        <v>1926.9565217391282</v>
      </c>
      <c r="N52" s="18">
        <f t="shared" si="3"/>
        <v>148.2274247491637</v>
      </c>
      <c r="O52" s="19">
        <f t="shared" si="4"/>
        <v>0</v>
      </c>
      <c r="P52" s="20">
        <f t="shared" si="5"/>
        <v>-5.6187290969901369</v>
      </c>
      <c r="Q52" s="519">
        <f t="shared" si="6"/>
        <v>0.96347826086956412</v>
      </c>
      <c r="R52" s="637"/>
      <c r="S52" s="40">
        <v>0.76527777777777783</v>
      </c>
      <c r="T52" s="40">
        <v>0.81319444444444455</v>
      </c>
      <c r="U52" s="520">
        <f t="shared" si="38"/>
        <v>4.9999999999999822</v>
      </c>
      <c r="V52" s="529">
        <f t="shared" si="37"/>
        <v>69.000000000000071</v>
      </c>
      <c r="W52" s="23"/>
      <c r="X52" s="23"/>
      <c r="Y52" s="26"/>
      <c r="Z52" s="26"/>
      <c r="AA52" s="627"/>
      <c r="AB52" s="628"/>
      <c r="AC52" s="25"/>
      <c r="AD52" s="25"/>
      <c r="AE52" s="19">
        <f t="shared" si="8"/>
        <v>-73.04347826087178</v>
      </c>
      <c r="AF52" s="519">
        <f t="shared" si="9"/>
        <v>0.96347826086956412</v>
      </c>
      <c r="AG52" s="637"/>
    </row>
    <row r="53" spans="1:33" ht="15.75" customHeight="1">
      <c r="A53" s="641" t="s">
        <v>2797</v>
      </c>
      <c r="B53" s="42" t="s">
        <v>92</v>
      </c>
      <c r="C53" s="625" t="s">
        <v>113</v>
      </c>
      <c r="D53" s="626"/>
      <c r="E53" s="42">
        <v>56.43</v>
      </c>
      <c r="F53" s="48">
        <v>1221</v>
      </c>
      <c r="G53" s="520">
        <f t="shared" si="35"/>
        <v>68901.03</v>
      </c>
      <c r="H53" s="37" t="s">
        <v>91</v>
      </c>
      <c r="I53" s="528">
        <v>13</v>
      </c>
      <c r="J53" s="39">
        <v>2000</v>
      </c>
      <c r="K53" s="17">
        <f t="shared" si="1"/>
        <v>153.84615384615384</v>
      </c>
      <c r="L53" s="528">
        <v>13</v>
      </c>
      <c r="M53" s="18">
        <f t="shared" si="39"/>
        <v>1927.8947368421038</v>
      </c>
      <c r="N53" s="18">
        <f t="shared" si="3"/>
        <v>148.29959514170031</v>
      </c>
      <c r="O53" s="19">
        <f t="shared" si="4"/>
        <v>0</v>
      </c>
      <c r="P53" s="20">
        <f t="shared" si="5"/>
        <v>-5.5465587044535312</v>
      </c>
      <c r="Q53" s="519">
        <f t="shared" si="6"/>
        <v>0.963947368421052</v>
      </c>
      <c r="R53" s="637"/>
      <c r="S53" s="40">
        <v>0.81666666666666676</v>
      </c>
      <c r="T53" s="40">
        <v>0.84305555555555567</v>
      </c>
      <c r="U53" s="520">
        <f t="shared" si="38"/>
        <v>4.9999999999999822</v>
      </c>
      <c r="V53" s="529">
        <f t="shared" si="37"/>
        <v>38.000000000000028</v>
      </c>
      <c r="W53" s="23"/>
      <c r="X53" s="23"/>
      <c r="Y53" s="26"/>
      <c r="Z53" s="26"/>
      <c r="AA53" s="627"/>
      <c r="AB53" s="628"/>
      <c r="AC53" s="25"/>
      <c r="AD53" s="25"/>
      <c r="AE53" s="19">
        <f t="shared" si="8"/>
        <v>-72.105263157896161</v>
      </c>
      <c r="AF53" s="519">
        <f t="shared" si="9"/>
        <v>0.96394736842105189</v>
      </c>
      <c r="AG53" s="637"/>
    </row>
    <row r="54" spans="1:33">
      <c r="A54" s="642" t="s">
        <v>2797</v>
      </c>
      <c r="B54" s="42" t="s">
        <v>2784</v>
      </c>
      <c r="C54" s="638"/>
      <c r="D54" s="638"/>
      <c r="E54" s="521"/>
      <c r="F54" s="44"/>
      <c r="G54" s="17"/>
      <c r="H54" s="530"/>
      <c r="I54" s="29">
        <v>18.625</v>
      </c>
      <c r="J54" s="39">
        <v>2000</v>
      </c>
      <c r="K54" s="17">
        <f t="shared" si="1"/>
        <v>107.38255033557047</v>
      </c>
      <c r="L54" s="29">
        <v>18.625</v>
      </c>
      <c r="M54" s="18">
        <f>AVERAGE(M46:M53)</f>
        <v>1927.1835613514206</v>
      </c>
      <c r="N54" s="17">
        <f t="shared" si="3"/>
        <v>103.47294289135144</v>
      </c>
      <c r="O54" s="19">
        <f t="shared" si="4"/>
        <v>0</v>
      </c>
      <c r="P54" s="20">
        <f t="shared" si="5"/>
        <v>-3.9096074442190343</v>
      </c>
      <c r="Q54" s="519">
        <f t="shared" si="6"/>
        <v>0.96359178067571027</v>
      </c>
      <c r="R54" s="637"/>
      <c r="S54" s="40"/>
      <c r="T54" s="40"/>
      <c r="U54" s="520"/>
      <c r="V54" s="529"/>
      <c r="W54" s="17"/>
      <c r="X54" s="17"/>
      <c r="Y54" s="30">
        <f>SUM(Y46:Y53)</f>
        <v>0</v>
      </c>
      <c r="Z54" s="30">
        <f>SUM(Z46:Z53)</f>
        <v>0</v>
      </c>
      <c r="AA54" s="631"/>
      <c r="AB54" s="631"/>
      <c r="AC54" s="30">
        <v>8</v>
      </c>
      <c r="AD54" s="30">
        <f>SUM(AD46:AD53)</f>
        <v>0</v>
      </c>
      <c r="AE54" s="19">
        <f>M54-J54</f>
        <v>-72.816438648579378</v>
      </c>
      <c r="AF54" s="519">
        <f t="shared" si="9"/>
        <v>0.96359178067571027</v>
      </c>
      <c r="AG54" s="637"/>
    </row>
    <row r="55" spans="1:33" ht="15.75" customHeight="1">
      <c r="A55" s="639" t="s">
        <v>2798</v>
      </c>
      <c r="B55" s="530" t="s">
        <v>127</v>
      </c>
      <c r="C55" s="633" t="s">
        <v>141</v>
      </c>
      <c r="D55" s="633"/>
      <c r="E55" s="42">
        <v>35.119999999999997</v>
      </c>
      <c r="F55" s="48">
        <v>4799</v>
      </c>
      <c r="G55" s="520">
        <f t="shared" ref="G55:G59" si="40">E55*F55</f>
        <v>168540.87999999998</v>
      </c>
      <c r="H55" s="37" t="s">
        <v>91</v>
      </c>
      <c r="I55" s="528">
        <v>10</v>
      </c>
      <c r="J55" s="39">
        <v>3000</v>
      </c>
      <c r="K55" s="17">
        <f t="shared" si="1"/>
        <v>300</v>
      </c>
      <c r="L55" s="528">
        <v>10</v>
      </c>
      <c r="M55" s="18">
        <f t="shared" ref="M55:M59" si="41">F55/V55*60</f>
        <v>2850.8910891089108</v>
      </c>
      <c r="N55" s="17">
        <f t="shared" si="3"/>
        <v>285.08910891089107</v>
      </c>
      <c r="O55" s="19">
        <f t="shared" si="4"/>
        <v>0</v>
      </c>
      <c r="P55" s="20">
        <f t="shared" si="5"/>
        <v>-14.910891089108929</v>
      </c>
      <c r="Q55" s="519">
        <f t="shared" si="6"/>
        <v>0.95029702970297025</v>
      </c>
      <c r="R55" s="637">
        <f>Q60</f>
        <v>0.9567162256143803</v>
      </c>
      <c r="S55" s="40">
        <v>0.20833333333333334</v>
      </c>
      <c r="T55" s="40">
        <v>0.27847222222222223</v>
      </c>
      <c r="U55" s="520"/>
      <c r="V55" s="529">
        <f t="shared" ref="V55:V59" si="42">(T55-S55)*24*60</f>
        <v>101</v>
      </c>
      <c r="W55" s="23"/>
      <c r="X55" s="23"/>
      <c r="Y55" s="28"/>
      <c r="Z55" s="28"/>
      <c r="AA55" s="632"/>
      <c r="AB55" s="632"/>
      <c r="AC55" s="25">
        <v>5</v>
      </c>
      <c r="AD55" s="25"/>
      <c r="AE55" s="19">
        <f t="shared" ref="AE55:AE66" si="43">M55-J55</f>
        <v>-149.10891089108918</v>
      </c>
      <c r="AF55" s="519">
        <f t="shared" si="9"/>
        <v>0.95029702970297025</v>
      </c>
      <c r="AG55" s="637">
        <f>AF60</f>
        <v>0.9567162256143803</v>
      </c>
    </row>
    <row r="56" spans="1:33" ht="15.75" customHeight="1">
      <c r="A56" s="639" t="s">
        <v>2798</v>
      </c>
      <c r="B56" s="530" t="s">
        <v>127</v>
      </c>
      <c r="C56" s="633" t="s">
        <v>142</v>
      </c>
      <c r="D56" s="633"/>
      <c r="E56" s="42">
        <v>26.78</v>
      </c>
      <c r="F56" s="48">
        <v>1970</v>
      </c>
      <c r="G56" s="520">
        <f t="shared" si="40"/>
        <v>52756.600000000006</v>
      </c>
      <c r="H56" s="37" t="s">
        <v>91</v>
      </c>
      <c r="I56" s="528">
        <v>10</v>
      </c>
      <c r="J56" s="39">
        <v>3000</v>
      </c>
      <c r="K56" s="17">
        <f t="shared" si="1"/>
        <v>300</v>
      </c>
      <c r="L56" s="528">
        <v>10</v>
      </c>
      <c r="M56" s="18">
        <f t="shared" si="41"/>
        <v>2882.9268292682918</v>
      </c>
      <c r="N56" s="17">
        <f t="shared" si="3"/>
        <v>288.29268292682917</v>
      </c>
      <c r="O56" s="19">
        <f t="shared" si="4"/>
        <v>0</v>
      </c>
      <c r="P56" s="20">
        <f t="shared" si="5"/>
        <v>-11.707317073170827</v>
      </c>
      <c r="Q56" s="519">
        <f t="shared" si="6"/>
        <v>0.96097560975609719</v>
      </c>
      <c r="R56" s="637"/>
      <c r="S56" s="40">
        <v>0.28194444444444444</v>
      </c>
      <c r="T56" s="40">
        <v>0.31041666666666667</v>
      </c>
      <c r="U56" s="520">
        <f t="shared" ref="U56:U59" si="44">(S56-T55)*24*60</f>
        <v>4.9999999999999822</v>
      </c>
      <c r="V56" s="529">
        <f t="shared" si="42"/>
        <v>41.000000000000014</v>
      </c>
      <c r="W56" s="520"/>
      <c r="X56" s="520"/>
      <c r="Y56" s="520"/>
      <c r="Z56" s="520"/>
      <c r="AA56" s="632"/>
      <c r="AB56" s="632"/>
      <c r="AC56" s="25"/>
      <c r="AD56" s="25"/>
      <c r="AE56" s="19">
        <f t="shared" si="43"/>
        <v>-117.07317073170816</v>
      </c>
      <c r="AF56" s="519">
        <f t="shared" si="9"/>
        <v>0.9609756097560973</v>
      </c>
      <c r="AG56" s="637"/>
    </row>
    <row r="57" spans="1:33" ht="15.75" customHeight="1">
      <c r="A57" s="639" t="s">
        <v>2798</v>
      </c>
      <c r="B57" s="530" t="s">
        <v>127</v>
      </c>
      <c r="C57" s="633" t="s">
        <v>143</v>
      </c>
      <c r="D57" s="633"/>
      <c r="E57" s="42">
        <v>36.14</v>
      </c>
      <c r="F57" s="48">
        <v>668</v>
      </c>
      <c r="G57" s="520">
        <f t="shared" si="40"/>
        <v>24141.52</v>
      </c>
      <c r="H57" s="37" t="s">
        <v>91</v>
      </c>
      <c r="I57" s="528">
        <v>11</v>
      </c>
      <c r="J57" s="39">
        <v>3000</v>
      </c>
      <c r="K57" s="17">
        <f t="shared" si="1"/>
        <v>272.72727272727275</v>
      </c>
      <c r="L57" s="528">
        <v>11</v>
      </c>
      <c r="M57" s="18">
        <f t="shared" si="41"/>
        <v>2862.8571428571368</v>
      </c>
      <c r="N57" s="17">
        <f t="shared" si="3"/>
        <v>260.25974025973971</v>
      </c>
      <c r="O57" s="19">
        <f t="shared" si="4"/>
        <v>0</v>
      </c>
      <c r="P57" s="20">
        <f t="shared" si="5"/>
        <v>-12.467532467533033</v>
      </c>
      <c r="Q57" s="519">
        <f t="shared" si="6"/>
        <v>0.95428571428571218</v>
      </c>
      <c r="R57" s="637"/>
      <c r="S57" s="40">
        <v>0.31527777777777777</v>
      </c>
      <c r="T57" s="40">
        <v>0.32500000000000001</v>
      </c>
      <c r="U57" s="520">
        <f t="shared" si="44"/>
        <v>6.9999999999999751</v>
      </c>
      <c r="V57" s="529">
        <f t="shared" si="42"/>
        <v>14.00000000000003</v>
      </c>
      <c r="W57" s="520"/>
      <c r="X57" s="520"/>
      <c r="Y57" s="520"/>
      <c r="Z57" s="520"/>
      <c r="AA57" s="632"/>
      <c r="AB57" s="632"/>
      <c r="AC57" s="25"/>
      <c r="AD57" s="25"/>
      <c r="AE57" s="19">
        <f t="shared" si="43"/>
        <v>-137.14285714286325</v>
      </c>
      <c r="AF57" s="519">
        <f t="shared" si="9"/>
        <v>0.95428571428571229</v>
      </c>
      <c r="AG57" s="637"/>
    </row>
    <row r="58" spans="1:33" ht="15.75" customHeight="1">
      <c r="A58" s="639" t="s">
        <v>2798</v>
      </c>
      <c r="B58" s="530" t="s">
        <v>127</v>
      </c>
      <c r="C58" s="633" t="s">
        <v>130</v>
      </c>
      <c r="D58" s="633"/>
      <c r="E58" s="42">
        <v>35.869999999999997</v>
      </c>
      <c r="F58" s="48">
        <v>1102</v>
      </c>
      <c r="G58" s="520">
        <f t="shared" si="40"/>
        <v>39528.74</v>
      </c>
      <c r="H58" s="37" t="s">
        <v>91</v>
      </c>
      <c r="I58" s="528">
        <v>9</v>
      </c>
      <c r="J58" s="39">
        <v>3000</v>
      </c>
      <c r="K58" s="17">
        <f t="shared" si="1"/>
        <v>333.33333333333331</v>
      </c>
      <c r="L58" s="528">
        <v>9</v>
      </c>
      <c r="M58" s="18">
        <f t="shared" si="41"/>
        <v>2874.782608695652</v>
      </c>
      <c r="N58" s="17">
        <f t="shared" si="3"/>
        <v>319.42028985507244</v>
      </c>
      <c r="O58" s="19">
        <f t="shared" si="4"/>
        <v>0</v>
      </c>
      <c r="P58" s="20">
        <f t="shared" si="5"/>
        <v>-13.913043478260875</v>
      </c>
      <c r="Q58" s="519">
        <f t="shared" si="6"/>
        <v>0.95826086956521739</v>
      </c>
      <c r="R58" s="637"/>
      <c r="S58" s="40">
        <v>0.3298611111111111</v>
      </c>
      <c r="T58" s="40">
        <v>0.34583333333333333</v>
      </c>
      <c r="U58" s="520">
        <f t="shared" si="44"/>
        <v>6.9999999999999751</v>
      </c>
      <c r="V58" s="529">
        <f t="shared" si="42"/>
        <v>23</v>
      </c>
      <c r="W58" s="520"/>
      <c r="X58" s="520"/>
      <c r="Y58" s="520"/>
      <c r="Z58" s="520"/>
      <c r="AA58" s="632"/>
      <c r="AB58" s="632"/>
      <c r="AC58" s="25"/>
      <c r="AD58" s="25"/>
      <c r="AE58" s="19">
        <f t="shared" si="43"/>
        <v>-125.21739130434798</v>
      </c>
      <c r="AF58" s="519">
        <f t="shared" si="9"/>
        <v>0.95826086956521739</v>
      </c>
      <c r="AG58" s="637"/>
    </row>
    <row r="59" spans="1:33">
      <c r="A59" s="640" t="s">
        <v>2798</v>
      </c>
      <c r="B59" s="530" t="s">
        <v>127</v>
      </c>
      <c r="C59" s="633" t="s">
        <v>1857</v>
      </c>
      <c r="D59" s="633"/>
      <c r="E59" s="42">
        <v>33.770000000000003</v>
      </c>
      <c r="F59" s="48">
        <v>4031</v>
      </c>
      <c r="G59" s="520">
        <f t="shared" si="40"/>
        <v>136126.87000000002</v>
      </c>
      <c r="H59" s="37" t="s">
        <v>91</v>
      </c>
      <c r="I59" s="528">
        <v>12</v>
      </c>
      <c r="J59" s="39">
        <v>3000</v>
      </c>
      <c r="K59" s="17">
        <f t="shared" si="1"/>
        <v>250</v>
      </c>
      <c r="L59" s="528">
        <v>12</v>
      </c>
      <c r="M59" s="18">
        <f t="shared" si="41"/>
        <v>2879.2857142857133</v>
      </c>
      <c r="N59" s="17">
        <f t="shared" si="3"/>
        <v>239.94047619047612</v>
      </c>
      <c r="O59" s="19">
        <f t="shared" si="4"/>
        <v>0</v>
      </c>
      <c r="P59" s="20">
        <f t="shared" si="5"/>
        <v>-10.059523809523881</v>
      </c>
      <c r="Q59" s="519">
        <f t="shared" si="6"/>
        <v>0.95976190476190448</v>
      </c>
      <c r="R59" s="637"/>
      <c r="S59" s="40">
        <v>0.35138888888888886</v>
      </c>
      <c r="T59" s="40">
        <v>0.40972222222222221</v>
      </c>
      <c r="U59" s="520">
        <f t="shared" si="44"/>
        <v>7.9999999999999716</v>
      </c>
      <c r="V59" s="529">
        <f t="shared" si="42"/>
        <v>84.000000000000028</v>
      </c>
      <c r="W59" s="23"/>
      <c r="X59" s="23"/>
      <c r="Y59" s="23"/>
      <c r="Z59" s="23"/>
      <c r="AA59" s="632"/>
      <c r="AB59" s="632"/>
      <c r="AC59" s="25"/>
      <c r="AD59" s="25"/>
      <c r="AE59" s="19">
        <f t="shared" si="43"/>
        <v>-120.71428571428669</v>
      </c>
      <c r="AF59" s="519">
        <f t="shared" si="9"/>
        <v>0.95976190476190448</v>
      </c>
      <c r="AG59" s="637"/>
    </row>
    <row r="60" spans="1:33">
      <c r="A60" s="640" t="s">
        <v>2798</v>
      </c>
      <c r="B60" s="42" t="s">
        <v>2784</v>
      </c>
      <c r="C60" s="638"/>
      <c r="D60" s="638"/>
      <c r="E60" s="521"/>
      <c r="F60" s="44"/>
      <c r="G60" s="17"/>
      <c r="H60" s="530"/>
      <c r="I60" s="29">
        <v>10.4</v>
      </c>
      <c r="J60" s="39">
        <v>3000</v>
      </c>
      <c r="K60" s="17">
        <f t="shared" si="1"/>
        <v>288.46153846153845</v>
      </c>
      <c r="L60" s="29">
        <v>10.4</v>
      </c>
      <c r="M60" s="18">
        <f>AVERAGE(M55:M59)</f>
        <v>2870.1486768431409</v>
      </c>
      <c r="N60" s="17">
        <f t="shared" si="3"/>
        <v>275.97583431184046</v>
      </c>
      <c r="O60" s="19">
        <f t="shared" si="4"/>
        <v>0</v>
      </c>
      <c r="P60" s="20">
        <f t="shared" si="5"/>
        <v>-12.485704149697995</v>
      </c>
      <c r="Q60" s="519">
        <f t="shared" si="6"/>
        <v>0.9567162256143803</v>
      </c>
      <c r="R60" s="637"/>
      <c r="S60" s="40"/>
      <c r="T60" s="40"/>
      <c r="U60" s="17"/>
      <c r="V60" s="529"/>
      <c r="W60" s="17"/>
      <c r="X60" s="17"/>
      <c r="Y60" s="30">
        <f>SUM(Y55:Y59)</f>
        <v>0</v>
      </c>
      <c r="Z60" s="30">
        <f>SUM(Z55:Z59)</f>
        <v>0</v>
      </c>
      <c r="AA60" s="631"/>
      <c r="AB60" s="631"/>
      <c r="AC60" s="30">
        <v>5</v>
      </c>
      <c r="AD60" s="30">
        <f>SUM(AD55:AD59)</f>
        <v>0</v>
      </c>
      <c r="AE60" s="19">
        <f t="shared" si="43"/>
        <v>-129.85132315685905</v>
      </c>
      <c r="AF60" s="519">
        <f t="shared" si="9"/>
        <v>0.9567162256143803</v>
      </c>
      <c r="AG60" s="637"/>
    </row>
    <row r="61" spans="1:33" ht="15.75" customHeight="1">
      <c r="A61" s="634" t="s">
        <v>2799</v>
      </c>
      <c r="B61" s="530" t="s">
        <v>116</v>
      </c>
      <c r="C61" s="633" t="s">
        <v>145</v>
      </c>
      <c r="D61" s="633"/>
      <c r="E61" s="42">
        <v>19.02</v>
      </c>
      <c r="F61" s="530">
        <v>8996</v>
      </c>
      <c r="G61" s="520">
        <f t="shared" ref="G61:G65" si="45">E61*F61</f>
        <v>171103.91999999998</v>
      </c>
      <c r="H61" s="37" t="s">
        <v>91</v>
      </c>
      <c r="I61" s="528">
        <v>14</v>
      </c>
      <c r="J61" s="39">
        <v>2400</v>
      </c>
      <c r="K61" s="17">
        <f t="shared" si="1"/>
        <v>171.42857142857142</v>
      </c>
      <c r="L61" s="528">
        <v>14</v>
      </c>
      <c r="M61" s="18">
        <f t="shared" ref="M61:M65" si="46">F61/V61*60</f>
        <v>2287.1186440677966</v>
      </c>
      <c r="N61" s="17">
        <f t="shared" si="3"/>
        <v>163.36561743341403</v>
      </c>
      <c r="O61" s="19">
        <f t="shared" si="4"/>
        <v>0</v>
      </c>
      <c r="P61" s="20">
        <f t="shared" si="5"/>
        <v>-8.0629539951573861</v>
      </c>
      <c r="Q61" s="519">
        <f t="shared" si="6"/>
        <v>0.95296610169491525</v>
      </c>
      <c r="R61" s="637">
        <f>Q66</f>
        <v>0.95504406896632399</v>
      </c>
      <c r="S61" s="40">
        <v>8.3333333333333329E-2</v>
      </c>
      <c r="T61" s="40">
        <v>0.24722222222222223</v>
      </c>
      <c r="U61" s="28"/>
      <c r="V61" s="529">
        <f t="shared" ref="V61:V65" si="47">(T61-S61)*24*60</f>
        <v>236.00000000000003</v>
      </c>
      <c r="W61" s="23">
        <f>T61</f>
        <v>0.24722222222222223</v>
      </c>
      <c r="X61" s="23">
        <f>S62</f>
        <v>0.26527777777777778</v>
      </c>
      <c r="Y61" s="23"/>
      <c r="Z61" s="23"/>
      <c r="AA61" s="632"/>
      <c r="AB61" s="632"/>
      <c r="AC61" s="25">
        <v>5</v>
      </c>
      <c r="AD61" s="25"/>
      <c r="AE61" s="19">
        <f t="shared" si="43"/>
        <v>-112.88135593220341</v>
      </c>
      <c r="AF61" s="519">
        <f t="shared" si="9"/>
        <v>0.95296610169491525</v>
      </c>
      <c r="AG61" s="637">
        <f>AF66</f>
        <v>0.95504406896632399</v>
      </c>
    </row>
    <row r="62" spans="1:33" ht="15.75" customHeight="1">
      <c r="A62" s="635" t="s">
        <v>2799</v>
      </c>
      <c r="B62" s="530" t="s">
        <v>116</v>
      </c>
      <c r="C62" s="633" t="s">
        <v>146</v>
      </c>
      <c r="D62" s="633"/>
      <c r="E62" s="42">
        <v>20.36</v>
      </c>
      <c r="F62" s="530">
        <v>3221</v>
      </c>
      <c r="G62" s="520">
        <f t="shared" si="45"/>
        <v>65579.56</v>
      </c>
      <c r="H62" s="37" t="s">
        <v>91</v>
      </c>
      <c r="I62" s="528">
        <v>17</v>
      </c>
      <c r="J62" s="39">
        <v>2400</v>
      </c>
      <c r="K62" s="17">
        <f t="shared" si="1"/>
        <v>141.1764705882353</v>
      </c>
      <c r="L62" s="528">
        <v>17</v>
      </c>
      <c r="M62" s="18">
        <f t="shared" si="46"/>
        <v>2300.7142857142849</v>
      </c>
      <c r="N62" s="17">
        <f t="shared" si="3"/>
        <v>135.33613445378145</v>
      </c>
      <c r="O62" s="19">
        <f t="shared" si="4"/>
        <v>0</v>
      </c>
      <c r="P62" s="20">
        <f t="shared" si="5"/>
        <v>-5.8403361344538496</v>
      </c>
      <c r="Q62" s="519">
        <f t="shared" si="6"/>
        <v>0.95863095238095186</v>
      </c>
      <c r="R62" s="637"/>
      <c r="S62" s="40">
        <v>0.26527777777777778</v>
      </c>
      <c r="T62" s="40">
        <v>0.32361111111111113</v>
      </c>
      <c r="U62" s="520">
        <f t="shared" ref="U62:U65" si="48">(S62-T61)*24*60</f>
        <v>25.999999999999986</v>
      </c>
      <c r="V62" s="529">
        <f t="shared" si="47"/>
        <v>84.000000000000028</v>
      </c>
      <c r="W62" s="23"/>
      <c r="X62" s="23"/>
      <c r="Y62" s="23"/>
      <c r="Z62" s="23"/>
      <c r="AA62" s="632"/>
      <c r="AB62" s="632"/>
      <c r="AC62" s="25"/>
      <c r="AD62" s="25"/>
      <c r="AE62" s="19">
        <f t="shared" si="43"/>
        <v>-99.28571428571513</v>
      </c>
      <c r="AF62" s="519">
        <f t="shared" si="9"/>
        <v>0.95863095238095208</v>
      </c>
      <c r="AG62" s="637"/>
    </row>
    <row r="63" spans="1:33" ht="15.75" customHeight="1">
      <c r="A63" s="635" t="s">
        <v>2799</v>
      </c>
      <c r="B63" s="530" t="s">
        <v>116</v>
      </c>
      <c r="C63" s="633" t="s">
        <v>148</v>
      </c>
      <c r="D63" s="633"/>
      <c r="E63" s="42">
        <v>28.29</v>
      </c>
      <c r="F63" s="530">
        <v>2746</v>
      </c>
      <c r="G63" s="520">
        <f t="shared" si="45"/>
        <v>77684.34</v>
      </c>
      <c r="H63" s="37" t="s">
        <v>91</v>
      </c>
      <c r="I63" s="528">
        <v>19</v>
      </c>
      <c r="J63" s="39">
        <v>2400</v>
      </c>
      <c r="K63" s="17">
        <f t="shared" si="1"/>
        <v>126.31578947368421</v>
      </c>
      <c r="L63" s="528">
        <v>19</v>
      </c>
      <c r="M63" s="18">
        <f t="shared" si="46"/>
        <v>2288.3333333333339</v>
      </c>
      <c r="N63" s="17">
        <f t="shared" si="3"/>
        <v>120.4385964912281</v>
      </c>
      <c r="O63" s="19">
        <f t="shared" si="4"/>
        <v>0</v>
      </c>
      <c r="P63" s="20">
        <f t="shared" si="5"/>
        <v>-5.8771929824561084</v>
      </c>
      <c r="Q63" s="519">
        <f t="shared" si="6"/>
        <v>0.9534722222222225</v>
      </c>
      <c r="R63" s="637"/>
      <c r="S63" s="40">
        <v>0.32777777777777778</v>
      </c>
      <c r="T63" s="40">
        <v>0.37777777777777777</v>
      </c>
      <c r="U63" s="520">
        <f t="shared" si="48"/>
        <v>5.9999999999999787</v>
      </c>
      <c r="V63" s="529">
        <f t="shared" si="47"/>
        <v>71.999999999999986</v>
      </c>
      <c r="W63" s="23"/>
      <c r="X63" s="23"/>
      <c r="Y63" s="23"/>
      <c r="Z63" s="23"/>
      <c r="AA63" s="632"/>
      <c r="AB63" s="632"/>
      <c r="AC63" s="25"/>
      <c r="AD63" s="25"/>
      <c r="AE63" s="19">
        <f t="shared" si="43"/>
        <v>-111.66666666666606</v>
      </c>
      <c r="AF63" s="519">
        <f t="shared" si="9"/>
        <v>0.9534722222222225</v>
      </c>
      <c r="AG63" s="637"/>
    </row>
    <row r="64" spans="1:33" ht="15.75" customHeight="1">
      <c r="A64" s="635" t="s">
        <v>2799</v>
      </c>
      <c r="B64" s="530" t="s">
        <v>116</v>
      </c>
      <c r="C64" s="633" t="s">
        <v>1859</v>
      </c>
      <c r="D64" s="633"/>
      <c r="E64" s="42">
        <v>25.98</v>
      </c>
      <c r="F64" s="530">
        <v>4496</v>
      </c>
      <c r="G64" s="520">
        <f t="shared" si="45"/>
        <v>116806.08</v>
      </c>
      <c r="H64" s="37" t="s">
        <v>91</v>
      </c>
      <c r="I64" s="528">
        <v>19</v>
      </c>
      <c r="J64" s="39">
        <v>2400</v>
      </c>
      <c r="K64" s="17">
        <f t="shared" si="1"/>
        <v>126.31578947368421</v>
      </c>
      <c r="L64" s="528">
        <v>19</v>
      </c>
      <c r="M64" s="18">
        <f t="shared" si="46"/>
        <v>2286.1016949152545</v>
      </c>
      <c r="N64" s="17">
        <f t="shared" si="3"/>
        <v>120.32114183764497</v>
      </c>
      <c r="O64" s="19">
        <f t="shared" si="4"/>
        <v>0</v>
      </c>
      <c r="P64" s="20">
        <f t="shared" si="5"/>
        <v>-5.9946476360392325</v>
      </c>
      <c r="Q64" s="519">
        <f t="shared" si="6"/>
        <v>0.95254237288135613</v>
      </c>
      <c r="R64" s="637"/>
      <c r="S64" s="40">
        <v>0.3833333333333333</v>
      </c>
      <c r="T64" s="40">
        <v>0.46527777777777773</v>
      </c>
      <c r="U64" s="520">
        <f t="shared" si="48"/>
        <v>7.9999999999999716</v>
      </c>
      <c r="V64" s="529">
        <f t="shared" si="47"/>
        <v>117.99999999999999</v>
      </c>
      <c r="W64" s="23"/>
      <c r="X64" s="23"/>
      <c r="Y64" s="23"/>
      <c r="Z64" s="23"/>
      <c r="AA64" s="632"/>
      <c r="AB64" s="632"/>
      <c r="AC64" s="25"/>
      <c r="AD64" s="25"/>
      <c r="AE64" s="19">
        <f t="shared" si="43"/>
        <v>-113.89830508474552</v>
      </c>
      <c r="AF64" s="519">
        <f t="shared" si="9"/>
        <v>0.95254237288135601</v>
      </c>
      <c r="AG64" s="637"/>
    </row>
    <row r="65" spans="1:33" ht="15.75" customHeight="1">
      <c r="A65" s="635" t="s">
        <v>2799</v>
      </c>
      <c r="B65" s="530" t="s">
        <v>116</v>
      </c>
      <c r="C65" s="633" t="s">
        <v>120</v>
      </c>
      <c r="D65" s="633"/>
      <c r="E65" s="42">
        <v>25.99</v>
      </c>
      <c r="F65" s="530">
        <v>881</v>
      </c>
      <c r="G65" s="520">
        <f t="shared" si="45"/>
        <v>22897.19</v>
      </c>
      <c r="H65" s="37" t="s">
        <v>91</v>
      </c>
      <c r="I65" s="528">
        <v>18</v>
      </c>
      <c r="J65" s="39">
        <v>2400</v>
      </c>
      <c r="K65" s="17">
        <f t="shared" si="1"/>
        <v>133.33333333333334</v>
      </c>
      <c r="L65" s="528">
        <v>18</v>
      </c>
      <c r="M65" s="18">
        <f t="shared" si="46"/>
        <v>2298.260869565217</v>
      </c>
      <c r="N65" s="17">
        <f t="shared" si="3"/>
        <v>127.68115942028983</v>
      </c>
      <c r="O65" s="19">
        <f t="shared" si="4"/>
        <v>0</v>
      </c>
      <c r="P65" s="20">
        <f t="shared" si="5"/>
        <v>-5.6521739130435122</v>
      </c>
      <c r="Q65" s="519">
        <f t="shared" si="6"/>
        <v>0.95760869565217366</v>
      </c>
      <c r="R65" s="637"/>
      <c r="S65" s="40">
        <v>0.47013888888888883</v>
      </c>
      <c r="T65" s="40">
        <v>0.48611111111111105</v>
      </c>
      <c r="U65" s="520">
        <f t="shared" si="48"/>
        <v>6.9999999999999751</v>
      </c>
      <c r="V65" s="529">
        <f t="shared" si="47"/>
        <v>23</v>
      </c>
      <c r="W65" s="23"/>
      <c r="X65" s="23"/>
      <c r="Y65" s="23"/>
      <c r="Z65" s="23"/>
      <c r="AA65" s="632"/>
      <c r="AB65" s="632"/>
      <c r="AC65" s="25"/>
      <c r="AD65" s="25"/>
      <c r="AE65" s="19">
        <f t="shared" si="43"/>
        <v>-101.73913043478296</v>
      </c>
      <c r="AF65" s="519">
        <f t="shared" si="9"/>
        <v>0.95760869565217377</v>
      </c>
      <c r="AG65" s="637"/>
    </row>
    <row r="66" spans="1:33" ht="16.5" customHeight="1">
      <c r="A66" s="636" t="s">
        <v>2799</v>
      </c>
      <c r="B66" s="42" t="s">
        <v>2784</v>
      </c>
      <c r="C66" s="629"/>
      <c r="D66" s="630"/>
      <c r="E66" s="521"/>
      <c r="F66" s="44"/>
      <c r="G66" s="17"/>
      <c r="H66" s="530"/>
      <c r="I66" s="29">
        <v>17.399999999999999</v>
      </c>
      <c r="J66" s="39">
        <v>2400</v>
      </c>
      <c r="K66" s="17">
        <f t="shared" si="1"/>
        <v>137.93103448275863</v>
      </c>
      <c r="L66" s="29">
        <v>17.399999999999999</v>
      </c>
      <c r="M66" s="18">
        <f>AVERAGE(M61:M65)</f>
        <v>2292.1057655191776</v>
      </c>
      <c r="N66" s="17">
        <f t="shared" si="3"/>
        <v>131.73021640914814</v>
      </c>
      <c r="O66" s="19">
        <f t="shared" si="4"/>
        <v>0</v>
      </c>
      <c r="P66" s="20">
        <f t="shared" si="5"/>
        <v>-6.2008180736104919</v>
      </c>
      <c r="Q66" s="519">
        <f t="shared" si="6"/>
        <v>0.95504406896632399</v>
      </c>
      <c r="R66" s="637"/>
      <c r="S66" s="40"/>
      <c r="T66" s="40"/>
      <c r="U66" s="17"/>
      <c r="V66" s="529"/>
      <c r="W66" s="17"/>
      <c r="X66" s="17"/>
      <c r="Y66" s="30">
        <f>SUM(Y61:Y65)</f>
        <v>0</v>
      </c>
      <c r="Z66" s="30">
        <f>SUM(Z61:Z65)</f>
        <v>0</v>
      </c>
      <c r="AA66" s="631"/>
      <c r="AB66" s="631"/>
      <c r="AC66" s="30">
        <v>5</v>
      </c>
      <c r="AD66" s="30">
        <f>SUM(AD61:AD65)</f>
        <v>0</v>
      </c>
      <c r="AE66" s="19">
        <f t="shared" si="43"/>
        <v>-107.89423448082243</v>
      </c>
      <c r="AF66" s="519">
        <f t="shared" si="9"/>
        <v>0.95504406896632399</v>
      </c>
      <c r="AG66" s="637"/>
    </row>
    <row r="67" spans="1:33">
      <c r="D67" s="33"/>
      <c r="E67" s="33"/>
    </row>
  </sheetData>
  <mergeCells count="181">
    <mergeCell ref="A61:A66"/>
    <mergeCell ref="C61:D61"/>
    <mergeCell ref="R61:R66"/>
    <mergeCell ref="AA61:AB61"/>
    <mergeCell ref="AG61:AG66"/>
    <mergeCell ref="C62:D62"/>
    <mergeCell ref="AA62:AB62"/>
    <mergeCell ref="C63:D63"/>
    <mergeCell ref="AA63:AB63"/>
    <mergeCell ref="C64:D64"/>
    <mergeCell ref="AG55:AG60"/>
    <mergeCell ref="C56:D56"/>
    <mergeCell ref="AA56:AB56"/>
    <mergeCell ref="C57:D57"/>
    <mergeCell ref="AA57:AB57"/>
    <mergeCell ref="C58:D58"/>
    <mergeCell ref="AA58:AB58"/>
    <mergeCell ref="C59:D59"/>
    <mergeCell ref="AA59:AB59"/>
    <mergeCell ref="C60:D60"/>
    <mergeCell ref="AA64:AB64"/>
    <mergeCell ref="C65:D65"/>
    <mergeCell ref="AA65:AB65"/>
    <mergeCell ref="C66:D66"/>
    <mergeCell ref="AA66:AB66"/>
    <mergeCell ref="A55:A60"/>
    <mergeCell ref="C55:D55"/>
    <mergeCell ref="R55:R60"/>
    <mergeCell ref="AA55:AB55"/>
    <mergeCell ref="AA60:AB60"/>
    <mergeCell ref="AA50:AB50"/>
    <mergeCell ref="C51:D51"/>
    <mergeCell ref="AA51:AB51"/>
    <mergeCell ref="C52:D52"/>
    <mergeCell ref="AA52:AB52"/>
    <mergeCell ref="C53:D53"/>
    <mergeCell ref="AA53:AB53"/>
    <mergeCell ref="A46:A54"/>
    <mergeCell ref="C46:D46"/>
    <mergeCell ref="R46:R54"/>
    <mergeCell ref="AA46:AB46"/>
    <mergeCell ref="AG46:AG54"/>
    <mergeCell ref="C47:D47"/>
    <mergeCell ref="AA47:AB47"/>
    <mergeCell ref="C48:D48"/>
    <mergeCell ref="AA48:AB48"/>
    <mergeCell ref="AA49:AB49"/>
    <mergeCell ref="AG42:AG45"/>
    <mergeCell ref="C43:D43"/>
    <mergeCell ref="AA43:AB43"/>
    <mergeCell ref="C44:D44"/>
    <mergeCell ref="AA44:AB44"/>
    <mergeCell ref="C45:D45"/>
    <mergeCell ref="AA45:AB45"/>
    <mergeCell ref="C54:D54"/>
    <mergeCell ref="AA54:AB54"/>
    <mergeCell ref="A42:A45"/>
    <mergeCell ref="C42:D42"/>
    <mergeCell ref="R42:R45"/>
    <mergeCell ref="AA42:AB42"/>
    <mergeCell ref="C38:D38"/>
    <mergeCell ref="AA38:AB38"/>
    <mergeCell ref="C39:D39"/>
    <mergeCell ref="AA39:AB39"/>
    <mergeCell ref="C40:D40"/>
    <mergeCell ref="AA40:AB40"/>
    <mergeCell ref="AG35:AG41"/>
    <mergeCell ref="C36:D36"/>
    <mergeCell ref="AA36:AB36"/>
    <mergeCell ref="C37:D37"/>
    <mergeCell ref="AA37:AB37"/>
    <mergeCell ref="AG28:AG34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C41:D41"/>
    <mergeCell ref="AA41:AB41"/>
    <mergeCell ref="A28:A34"/>
    <mergeCell ref="C28:D28"/>
    <mergeCell ref="R28:R34"/>
    <mergeCell ref="AA28:AB28"/>
    <mergeCell ref="AA33:AB33"/>
    <mergeCell ref="C34:D34"/>
    <mergeCell ref="AA34:AB34"/>
    <mergeCell ref="A35:A41"/>
    <mergeCell ref="C35:D35"/>
    <mergeCell ref="R35:R41"/>
    <mergeCell ref="AA35:AB35"/>
    <mergeCell ref="AG20:AG27"/>
    <mergeCell ref="C21:D21"/>
    <mergeCell ref="AA21:AB21"/>
    <mergeCell ref="C22:D22"/>
    <mergeCell ref="AA22:AB22"/>
    <mergeCell ref="C23:D23"/>
    <mergeCell ref="AA23:AB23"/>
    <mergeCell ref="C24:D24"/>
    <mergeCell ref="AA24:AB24"/>
    <mergeCell ref="C25:D25"/>
    <mergeCell ref="C26:D26"/>
    <mergeCell ref="AA26:AB26"/>
    <mergeCell ref="C27:D27"/>
    <mergeCell ref="AA27:AB27"/>
    <mergeCell ref="A20:A27"/>
    <mergeCell ref="C20:D20"/>
    <mergeCell ref="R20:R27"/>
    <mergeCell ref="AA20:AB20"/>
    <mergeCell ref="AA25:AB25"/>
    <mergeCell ref="A12:A19"/>
    <mergeCell ref="C12:D12"/>
    <mergeCell ref="R12:R19"/>
    <mergeCell ref="AA12:AB12"/>
    <mergeCell ref="AG12:AG19"/>
    <mergeCell ref="C13:D13"/>
    <mergeCell ref="AA13:AB13"/>
    <mergeCell ref="C14:D14"/>
    <mergeCell ref="AA14:AB14"/>
    <mergeCell ref="C15:D15"/>
    <mergeCell ref="AG8:AG11"/>
    <mergeCell ref="C9:D9"/>
    <mergeCell ref="AA9:AB9"/>
    <mergeCell ref="C10:D10"/>
    <mergeCell ref="AA10:AB10"/>
    <mergeCell ref="C11:D11"/>
    <mergeCell ref="AA11:AB11"/>
    <mergeCell ref="AA15:AB15"/>
    <mergeCell ref="C16:D16"/>
    <mergeCell ref="AA16:AB16"/>
    <mergeCell ref="C19:D19"/>
    <mergeCell ref="AA19:AB19"/>
    <mergeCell ref="C7:D7"/>
    <mergeCell ref="AA7:AB7"/>
    <mergeCell ref="A8:A11"/>
    <mergeCell ref="C8:D8"/>
    <mergeCell ref="R8:R11"/>
    <mergeCell ref="AA8:AB8"/>
    <mergeCell ref="AE3:AE4"/>
    <mergeCell ref="AF3:AF4"/>
    <mergeCell ref="AG3:AG4"/>
    <mergeCell ref="A5:A7"/>
    <mergeCell ref="C5:D5"/>
    <mergeCell ref="R5:R7"/>
    <mergeCell ref="AA5:AB5"/>
    <mergeCell ref="AG5:AG7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M3:M4"/>
  </mergeCells>
  <phoneticPr fontId="3" type="noConversion"/>
  <conditionalFormatting sqref="O54:O55 O58:O66 O5:O8 O11:O13 O19:O51">
    <cfRule type="cellIs" dxfId="2019" priority="53" operator="greaterThan">
      <formula>0</formula>
    </cfRule>
  </conditionalFormatting>
  <conditionalFormatting sqref="P5:P6 P58:P59 AE58:AE59 P61:P65 P28:P33 P55 P8 P11:P13 P20:P26 P46:P51 P35:P44 AE5:AE55 AE61:AE66">
    <cfRule type="cellIs" dxfId="2018" priority="57" operator="lessThan">
      <formula>0</formula>
    </cfRule>
  </conditionalFormatting>
  <conditionalFormatting sqref="AF58:AF59 Q54:Q55 Q58:Q66 Q5:Q8 Q11:Q13 Q19:Q51 AF5:AF55 AF61:AF66">
    <cfRule type="cellIs" dxfId="2017" priority="54" operator="greaterThan">
      <formula>1</formula>
    </cfRule>
    <cfRule type="cellIs" dxfId="2016" priority="55" operator="lessThan">
      <formula>0.8</formula>
    </cfRule>
  </conditionalFormatting>
  <conditionalFormatting sqref="AG12:AG13 R12:R13 AG58 R19:R25 AG19:AG25 AG54:AG55 R54:R55 R58:R66 AG5:AG8 R5:R8 AG27:AG51 R27:R51">
    <cfRule type="cellIs" dxfId="2015" priority="59" operator="lessThan">
      <formula>0.8</formula>
    </cfRule>
  </conditionalFormatting>
  <conditionalFormatting sqref="AG42">
    <cfRule type="cellIs" dxfId="2014" priority="61" operator="lessThan">
      <formula>0.8</formula>
    </cfRule>
  </conditionalFormatting>
  <conditionalFormatting sqref="AG20:AG25">
    <cfRule type="cellIs" dxfId="2013" priority="58" operator="lessThan">
      <formula>0.8</formula>
    </cfRule>
  </conditionalFormatting>
  <conditionalFormatting sqref="AG28">
    <cfRule type="cellIs" dxfId="2012" priority="60" operator="lessThan">
      <formula>0.8</formula>
    </cfRule>
  </conditionalFormatting>
  <conditionalFormatting sqref="AG35:AG40">
    <cfRule type="cellIs" dxfId="2011" priority="56" operator="lessThan">
      <formula>0.8</formula>
    </cfRule>
  </conditionalFormatting>
  <conditionalFormatting sqref="AE60">
    <cfRule type="cellIs" dxfId="2010" priority="52" operator="lessThan">
      <formula>0</formula>
    </cfRule>
  </conditionalFormatting>
  <conditionalFormatting sqref="AF60">
    <cfRule type="cellIs" dxfId="2009" priority="50" operator="greaterThan">
      <formula>1</formula>
    </cfRule>
    <cfRule type="cellIs" dxfId="2008" priority="51" operator="lessThan">
      <formula>0.8</formula>
    </cfRule>
  </conditionalFormatting>
  <conditionalFormatting sqref="O14:O15">
    <cfRule type="cellIs" dxfId="2007" priority="45" operator="greaterThan">
      <formula>0</formula>
    </cfRule>
  </conditionalFormatting>
  <conditionalFormatting sqref="P14:P15">
    <cfRule type="cellIs" dxfId="2006" priority="48" operator="lessThan">
      <formula>0</formula>
    </cfRule>
  </conditionalFormatting>
  <conditionalFormatting sqref="Q14:Q15">
    <cfRule type="cellIs" dxfId="2005" priority="46" operator="greaterThan">
      <formula>1</formula>
    </cfRule>
    <cfRule type="cellIs" dxfId="2004" priority="47" operator="lessThan">
      <formula>0.8</formula>
    </cfRule>
  </conditionalFormatting>
  <conditionalFormatting sqref="R14:R15 AG14:AG15">
    <cfRule type="cellIs" dxfId="2003" priority="49" operator="lessThan">
      <formula>0.8</formula>
    </cfRule>
  </conditionalFormatting>
  <conditionalFormatting sqref="O9:O10">
    <cfRule type="cellIs" dxfId="2002" priority="41" operator="greaterThan">
      <formula>0</formula>
    </cfRule>
  </conditionalFormatting>
  <conditionalFormatting sqref="P9:P10">
    <cfRule type="cellIs" dxfId="2001" priority="44" operator="lessThan">
      <formula>0</formula>
    </cfRule>
  </conditionalFormatting>
  <conditionalFormatting sqref="Q9:Q10">
    <cfRule type="cellIs" dxfId="2000" priority="42" operator="greaterThan">
      <formula>1</formula>
    </cfRule>
    <cfRule type="cellIs" dxfId="1999" priority="43" operator="lessThan">
      <formula>0.8</formula>
    </cfRule>
  </conditionalFormatting>
  <conditionalFormatting sqref="O52">
    <cfRule type="cellIs" dxfId="1998" priority="36" operator="greaterThan">
      <formula>0</formula>
    </cfRule>
  </conditionalFormatting>
  <conditionalFormatting sqref="P52">
    <cfRule type="cellIs" dxfId="1997" priority="39" operator="lessThan">
      <formula>0</formula>
    </cfRule>
  </conditionalFormatting>
  <conditionalFormatting sqref="Q52">
    <cfRule type="cellIs" dxfId="1996" priority="37" operator="greaterThan">
      <formula>1</formula>
    </cfRule>
    <cfRule type="cellIs" dxfId="1995" priority="38" operator="lessThan">
      <formula>0.8</formula>
    </cfRule>
  </conditionalFormatting>
  <conditionalFormatting sqref="R52 AG52">
    <cfRule type="cellIs" dxfId="1994" priority="40" operator="lessThan">
      <formula>0.8</formula>
    </cfRule>
  </conditionalFormatting>
  <conditionalFormatting sqref="O57">
    <cfRule type="cellIs" dxfId="1993" priority="31" operator="greaterThan">
      <formula>0</formula>
    </cfRule>
  </conditionalFormatting>
  <conditionalFormatting sqref="P57 AE57">
    <cfRule type="cellIs" dxfId="1992" priority="34" operator="lessThan">
      <formula>0</formula>
    </cfRule>
  </conditionalFormatting>
  <conditionalFormatting sqref="Q57 AF57">
    <cfRule type="cellIs" dxfId="1991" priority="32" operator="greaterThan">
      <formula>1</formula>
    </cfRule>
    <cfRule type="cellIs" dxfId="1990" priority="33" operator="lessThan">
      <formula>0.8</formula>
    </cfRule>
  </conditionalFormatting>
  <conditionalFormatting sqref="R57 AG57">
    <cfRule type="cellIs" dxfId="1989" priority="35" operator="lessThan">
      <formula>0.8</formula>
    </cfRule>
  </conditionalFormatting>
  <conditionalFormatting sqref="O16:O17">
    <cfRule type="cellIs" dxfId="1988" priority="26" operator="greaterThan">
      <formula>0</formula>
    </cfRule>
  </conditionalFormatting>
  <conditionalFormatting sqref="P16:P17">
    <cfRule type="cellIs" dxfId="1987" priority="29" operator="lessThan">
      <formula>0</formula>
    </cfRule>
  </conditionalFormatting>
  <conditionalFormatting sqref="Q16:Q17">
    <cfRule type="cellIs" dxfId="1986" priority="27" operator="greaterThan">
      <formula>1</formula>
    </cfRule>
    <cfRule type="cellIs" dxfId="1985" priority="28" operator="lessThan">
      <formula>0.8</formula>
    </cfRule>
  </conditionalFormatting>
  <conditionalFormatting sqref="R16:R17 AG16:AG17">
    <cfRule type="cellIs" dxfId="1984" priority="30" operator="lessThan">
      <formula>0.8</formula>
    </cfRule>
  </conditionalFormatting>
  <conditionalFormatting sqref="O53">
    <cfRule type="cellIs" dxfId="1983" priority="21" operator="greaterThan">
      <formula>0</formula>
    </cfRule>
  </conditionalFormatting>
  <conditionalFormatting sqref="P53">
    <cfRule type="cellIs" dxfId="1982" priority="24" operator="lessThan">
      <formula>0</formula>
    </cfRule>
  </conditionalFormatting>
  <conditionalFormatting sqref="Q53">
    <cfRule type="cellIs" dxfId="1981" priority="22" operator="greaterThan">
      <formula>1</formula>
    </cfRule>
    <cfRule type="cellIs" dxfId="1980" priority="23" operator="lessThan">
      <formula>0.8</formula>
    </cfRule>
  </conditionalFormatting>
  <conditionalFormatting sqref="AG53 R53">
    <cfRule type="cellIs" dxfId="1979" priority="25" operator="lessThan">
      <formula>0.8</formula>
    </cfRule>
  </conditionalFormatting>
  <conditionalFormatting sqref="R26 AG26">
    <cfRule type="cellIs" dxfId="1978" priority="20" operator="lessThan">
      <formula>0.8</formula>
    </cfRule>
  </conditionalFormatting>
  <conditionalFormatting sqref="AG26">
    <cfRule type="cellIs" dxfId="1977" priority="19" operator="lessThan">
      <formula>0.8</formula>
    </cfRule>
  </conditionalFormatting>
  <conditionalFormatting sqref="O56">
    <cfRule type="cellIs" dxfId="1976" priority="14" operator="greaterThan">
      <formula>0</formula>
    </cfRule>
  </conditionalFormatting>
  <conditionalFormatting sqref="P56 AE56">
    <cfRule type="cellIs" dxfId="1975" priority="17" operator="lessThan">
      <formula>0</formula>
    </cfRule>
  </conditionalFormatting>
  <conditionalFormatting sqref="Q56 AF56">
    <cfRule type="cellIs" dxfId="1974" priority="15" operator="greaterThan">
      <formula>1</formula>
    </cfRule>
    <cfRule type="cellIs" dxfId="1973" priority="16" operator="lessThan">
      <formula>0.8</formula>
    </cfRule>
  </conditionalFormatting>
  <conditionalFormatting sqref="R56 AG56">
    <cfRule type="cellIs" dxfId="1972" priority="18" operator="lessThan">
      <formula>0.8</formula>
    </cfRule>
  </conditionalFormatting>
  <conditionalFormatting sqref="O18">
    <cfRule type="cellIs" dxfId="1971" priority="9" operator="greaterThan">
      <formula>0</formula>
    </cfRule>
  </conditionalFormatting>
  <conditionalFormatting sqref="P18">
    <cfRule type="cellIs" dxfId="1970" priority="12" operator="lessThan">
      <formula>0</formula>
    </cfRule>
  </conditionalFormatting>
  <conditionalFormatting sqref="Q18">
    <cfRule type="cellIs" dxfId="1969" priority="10" operator="greaterThan">
      <formula>1</formula>
    </cfRule>
    <cfRule type="cellIs" dxfId="1968" priority="11" operator="lessThan">
      <formula>0.8</formula>
    </cfRule>
  </conditionalFormatting>
  <conditionalFormatting sqref="AG18 R18">
    <cfRule type="cellIs" dxfId="1967" priority="13" operator="lessThan">
      <formula>0.8</formula>
    </cfRule>
  </conditionalFormatting>
  <conditionalFormatting sqref="P7">
    <cfRule type="cellIs" dxfId="1966" priority="8" operator="lessThan">
      <formula>0</formula>
    </cfRule>
  </conditionalFormatting>
  <conditionalFormatting sqref="P19">
    <cfRule type="cellIs" dxfId="1965" priority="7" operator="lessThan">
      <formula>0</formula>
    </cfRule>
  </conditionalFormatting>
  <conditionalFormatting sqref="P27">
    <cfRule type="cellIs" dxfId="1964" priority="6" operator="lessThan">
      <formula>0</formula>
    </cfRule>
  </conditionalFormatting>
  <conditionalFormatting sqref="P34">
    <cfRule type="cellIs" dxfId="1963" priority="5" operator="lessThan">
      <formula>0</formula>
    </cfRule>
  </conditionalFormatting>
  <conditionalFormatting sqref="P45">
    <cfRule type="cellIs" dxfId="1962" priority="4" operator="lessThan">
      <formula>0</formula>
    </cfRule>
  </conditionalFormatting>
  <conditionalFormatting sqref="P54">
    <cfRule type="cellIs" dxfId="1961" priority="3" operator="lessThan">
      <formula>0</formula>
    </cfRule>
  </conditionalFormatting>
  <conditionalFormatting sqref="P60">
    <cfRule type="cellIs" dxfId="1960" priority="2" operator="lessThan">
      <formula>0</formula>
    </cfRule>
  </conditionalFormatting>
  <conditionalFormatting sqref="P66">
    <cfRule type="cellIs" dxfId="1959" priority="1" operator="lessThan">
      <formula>0</formula>
    </cfRule>
  </conditionalFormatting>
  <dataValidations count="1">
    <dataValidation type="list" allowBlank="1" showInputMessage="1" showErrorMessage="1" sqref="AB7 AA5:AB6 AB59 AA7:AA59 AB9:AB55 AA60:AB66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D10" sqref="D10:J10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612" t="s">
        <v>2618</v>
      </c>
      <c r="C1" s="612"/>
      <c r="D1" s="612"/>
      <c r="E1" s="612"/>
      <c r="F1" s="612"/>
      <c r="G1" s="612"/>
      <c r="H1" s="612"/>
      <c r="I1" s="612"/>
      <c r="J1" s="612"/>
      <c r="K1" s="51"/>
      <c r="L1" s="51"/>
      <c r="M1" s="51"/>
      <c r="N1" s="51"/>
      <c r="O1" s="51"/>
      <c r="P1" s="51"/>
    </row>
    <row r="2" spans="2:17" ht="27.75" customHeight="1">
      <c r="B2" s="613"/>
      <c r="C2" s="613"/>
      <c r="D2" s="613"/>
      <c r="E2" s="613"/>
      <c r="F2" s="613"/>
      <c r="G2" s="613"/>
      <c r="H2" s="613"/>
      <c r="I2" s="613"/>
      <c r="J2" s="613"/>
      <c r="K2" s="53"/>
      <c r="L2" s="53"/>
      <c r="M2" s="53"/>
      <c r="N2" s="51"/>
      <c r="O2" s="51"/>
      <c r="P2" s="51"/>
    </row>
    <row r="3" spans="2:17" ht="46.5" customHeight="1">
      <c r="B3" s="54" t="s">
        <v>2619</v>
      </c>
      <c r="C3" s="614" t="str">
        <f>TEXT('0828 4度C'!A2,"yyyy.mm.ddaaaa")</f>
        <v>2026.08.28星期五</v>
      </c>
      <c r="D3" s="615"/>
      <c r="E3" s="54" t="s">
        <v>2620</v>
      </c>
      <c r="F3" s="616">
        <f>'0828 4度C'!D1</f>
        <v>128423</v>
      </c>
      <c r="G3" s="617"/>
      <c r="H3" s="54" t="s">
        <v>2621</v>
      </c>
      <c r="I3" s="618">
        <f>'0828 4度C'!F1</f>
        <v>4524698.1500000004</v>
      </c>
      <c r="J3" s="619"/>
      <c r="K3" s="55"/>
      <c r="L3" s="56"/>
      <c r="M3" s="57"/>
      <c r="N3" s="57"/>
    </row>
    <row r="4" spans="2:17" ht="28.5" customHeight="1">
      <c r="B4" s="620" t="s">
        <v>2622</v>
      </c>
      <c r="C4" s="606" t="s">
        <v>2623</v>
      </c>
      <c r="D4" s="607"/>
      <c r="E4" s="623" t="s">
        <v>157</v>
      </c>
      <c r="F4" s="624"/>
      <c r="G4" s="623" t="s">
        <v>2624</v>
      </c>
      <c r="H4" s="624"/>
      <c r="I4" s="623" t="s">
        <v>2625</v>
      </c>
      <c r="J4" s="624"/>
      <c r="K4" s="604" t="s">
        <v>160</v>
      </c>
      <c r="L4" s="605"/>
      <c r="M4" s="605" t="s">
        <v>2626</v>
      </c>
      <c r="N4" s="605"/>
    </row>
    <row r="5" spans="2:17" ht="28.5" customHeight="1">
      <c r="B5" s="621"/>
      <c r="C5" s="606" t="s">
        <v>162</v>
      </c>
      <c r="D5" s="607"/>
      <c r="E5" s="606" t="s">
        <v>2627</v>
      </c>
      <c r="F5" s="607"/>
      <c r="G5" s="608" t="s">
        <v>2628</v>
      </c>
      <c r="H5" s="609"/>
      <c r="I5" s="610" t="s">
        <v>165</v>
      </c>
      <c r="J5" s="611"/>
      <c r="K5" s="58" t="s">
        <v>2629</v>
      </c>
      <c r="L5" s="59" t="s">
        <v>2630</v>
      </c>
      <c r="M5" s="58" t="s">
        <v>2629</v>
      </c>
      <c r="N5" s="59" t="s">
        <v>2631</v>
      </c>
    </row>
    <row r="6" spans="2:17" ht="28.5" customHeight="1">
      <c r="B6" s="621"/>
      <c r="C6" s="606" t="s">
        <v>169</v>
      </c>
      <c r="D6" s="607"/>
      <c r="E6" s="598">
        <f>AVERAGE(D13:M13)</f>
        <v>155.67514449901273</v>
      </c>
      <c r="F6" s="599">
        <f>AVERAGE(D31:O31,D13:J13)</f>
        <v>162.54473399428545</v>
      </c>
      <c r="G6" s="600">
        <f>AVERAGE(D13:J13)</f>
        <v>162.54473399428545</v>
      </c>
      <c r="H6" s="601"/>
      <c r="I6" s="600">
        <f>AVERAGE(K13:M13)</f>
        <v>139.64610234337638</v>
      </c>
      <c r="J6" s="601"/>
      <c r="K6" s="602">
        <f>'0828 4度C'!Y2</f>
        <v>0</v>
      </c>
      <c r="L6" s="587">
        <f>'0828 4度C'!Z2</f>
        <v>0</v>
      </c>
      <c r="M6" s="603">
        <f>'0828 4度C'!AC2</f>
        <v>50</v>
      </c>
      <c r="N6" s="587">
        <f>'0828 4度C'!AD2</f>
        <v>0</v>
      </c>
    </row>
    <row r="7" spans="2:17" ht="28.5" customHeight="1">
      <c r="B7" s="621"/>
      <c r="C7" s="588" t="s">
        <v>170</v>
      </c>
      <c r="D7" s="589"/>
      <c r="E7" s="590">
        <f>AVERAGE(D14:M14)</f>
        <v>149.11419593653972</v>
      </c>
      <c r="F7" s="591">
        <f>AVERAGE(D32:O32,D14:J14)</f>
        <v>155.62541580026161</v>
      </c>
      <c r="G7" s="592">
        <f>AVERAGE(D14:J14)</f>
        <v>155.62541580026161</v>
      </c>
      <c r="H7" s="593"/>
      <c r="I7" s="592">
        <f>AVERAGE(K14:M14)</f>
        <v>133.92134958785536</v>
      </c>
      <c r="J7" s="593"/>
      <c r="K7" s="602"/>
      <c r="L7" s="587"/>
      <c r="M7" s="603"/>
      <c r="N7" s="587"/>
    </row>
    <row r="8" spans="2:17" ht="28.5" customHeight="1">
      <c r="B8" s="622"/>
      <c r="C8" s="588" t="s">
        <v>171</v>
      </c>
      <c r="D8" s="589"/>
      <c r="E8" s="594">
        <f>AVERAGE(D15:M15)</f>
        <v>0.95835524438455566</v>
      </c>
      <c r="F8" s="595">
        <f>AVERAGE(D15:J15,D33:O33)</f>
        <v>0.95808415888559761</v>
      </c>
      <c r="G8" s="596">
        <f>AVERAGE(D15:J15)</f>
        <v>0.95808415888559761</v>
      </c>
      <c r="H8" s="597"/>
      <c r="I8" s="596">
        <f>AVERAGE(K15:M15)</f>
        <v>0.95898777721545747</v>
      </c>
      <c r="J8" s="597"/>
      <c r="K8" s="602"/>
      <c r="L8" s="587"/>
      <c r="M8" s="603"/>
      <c r="N8" s="587"/>
    </row>
    <row r="9" spans="2:17" ht="28.5" customHeight="1" thickBot="1">
      <c r="H9" s="61"/>
      <c r="K9" s="62" t="s">
        <v>2632</v>
      </c>
      <c r="N9" s="57"/>
      <c r="O9" s="57"/>
      <c r="P9" s="57"/>
      <c r="Q9" s="57"/>
    </row>
    <row r="10" spans="2:17" ht="30" customHeight="1">
      <c r="B10" s="570" t="s">
        <v>2633</v>
      </c>
      <c r="C10" s="571"/>
      <c r="D10" s="572" t="s">
        <v>174</v>
      </c>
      <c r="E10" s="573"/>
      <c r="F10" s="573"/>
      <c r="G10" s="573"/>
      <c r="H10" s="573"/>
      <c r="I10" s="573"/>
      <c r="J10" s="574"/>
      <c r="K10" s="575" t="s">
        <v>2634</v>
      </c>
      <c r="L10" s="576"/>
      <c r="M10" s="577"/>
      <c r="P10" s="63"/>
      <c r="Q10" s="63"/>
    </row>
    <row r="11" spans="2:17" ht="17.25" customHeight="1">
      <c r="B11" s="578" t="s">
        <v>2635</v>
      </c>
      <c r="C11" s="579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80"/>
      <c r="C12" s="581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582" t="s">
        <v>2636</v>
      </c>
      <c r="C13" s="70" t="s">
        <v>2637</v>
      </c>
      <c r="D13" s="71">
        <f>SUMIFS('0828 4度C'!$K:$K,'0828 4度C'!$A:$A,"新豐6線",'0828 4度C'!$B:$B,"平均")</f>
        <v>130.43478260869566</v>
      </c>
      <c r="E13" s="72">
        <f>SUMIFS('0828 4度C'!$K:$K,'0828 4度C'!$A:$A,"新豐2線",'0828 4度C'!$B:$B,"平均")</f>
        <v>88.235294117647058</v>
      </c>
      <c r="F13" s="73">
        <f>SUMIFS('0828 4度C'!$K:$K,'0828 4度C'!$A:$A,"新豐5線",'0828 4度C'!$B:$B,"平均")</f>
        <v>96.899224806201559</v>
      </c>
      <c r="G13" s="73">
        <f>SUMIFS('0828 4度C'!$K:$K,'0828 4度C'!$A:$A,"新豐7線",'0828 4度C'!$B:$B,"平均")</f>
        <v>130.84112149532709</v>
      </c>
      <c r="H13" s="73">
        <f>SUMIFS('0828 4度C'!$K:$K,'0828 4度C'!$A:$A,"新豐3線",'0828 4度C'!$B:$B,"平均")</f>
        <v>300</v>
      </c>
      <c r="I13" s="73">
        <f>SUMIFS('0828 4度C'!$K:$K,'0828 4度C'!$A:$A,"新豐1線",'0828 4度C'!$B:$B,"平均")</f>
        <v>102.94117647058825</v>
      </c>
      <c r="J13" s="74">
        <f>SUMIFS('0828 4度C'!$K:$K,'0828 4度C'!$A:$A,"新豐10線",'0828 4度C'!$B:$B,"平均")</f>
        <v>288.46153846153845</v>
      </c>
      <c r="K13" s="75">
        <f>SUMIFS('0828 4度C'!$K:$K,'0828 4度C'!$A:$A,"新豐8線",'0828 4度C'!$B:$B,"平均")</f>
        <v>141.1764705882353</v>
      </c>
      <c r="L13" s="76">
        <f>SUMIFS('0828 4度C'!$K:$K,'0828 4度C'!$A:$A,"新豐9線",'0828 4度C'!$B:$B,"平均")</f>
        <v>136.58536585365854</v>
      </c>
      <c r="M13" s="74">
        <f>SUMIFS('0828 4度C'!$K:$K,'0828 4度C'!$A:$A,"新豐4線",'0828 4度C'!$B:$B,"平均")</f>
        <v>141.1764705882353</v>
      </c>
    </row>
    <row r="14" spans="2:17" ht="39.6" customHeight="1">
      <c r="B14" s="583"/>
      <c r="C14" s="77" t="s">
        <v>2638</v>
      </c>
      <c r="D14" s="78">
        <f>SUMIFS('0828 4度C'!$N:$N,'0828 4度C'!$A:$A,"新豐6線",'0828 4度C'!$B:$B,"平均")</f>
        <v>125.16411815278809</v>
      </c>
      <c r="E14" s="79">
        <f>SUMIFS('0828 4度C'!$N:$N,'0828 4度C'!$A:$A,"新豐2線",'0828 4度C'!$B:$B,"平均")</f>
        <v>84.17652507212307</v>
      </c>
      <c r="F14" s="79">
        <f>SUMIFS('0828 4度C'!$N:$N,'0828 4度C'!$A:$A,"新豐5線",'0828 4度C'!$B:$B,"平均")</f>
        <v>93.218230472394808</v>
      </c>
      <c r="G14" s="79">
        <f>SUMIFS('0828 4度C'!$N:$N,'0828 4度C'!$A:$A,"新豐7線",'0828 4度C'!$B:$B,"平均")</f>
        <v>125.74532579074568</v>
      </c>
      <c r="H14" s="79">
        <f>SUMIFS('0828 4度C'!$N:$N,'0828 4度C'!$A:$A,"新豐3線",'0828 4度C'!$B:$B,"平均")</f>
        <v>286.4742344589979</v>
      </c>
      <c r="I14" s="79">
        <f>SUMIFS('0828 4度C'!$N:$N,'0828 4度C'!$A:$A,"新豐1線",'0828 4度C'!$B:$B,"平均")</f>
        <v>98.662479850828007</v>
      </c>
      <c r="J14" s="80">
        <f>SUMIFS('0828 4度C'!$N:$N,'0828 4度C'!$A:$A,"新豐10線",'0828 4度C'!$B:$B,"平均")</f>
        <v>275.93699680395372</v>
      </c>
      <c r="K14" s="81">
        <f>SUMIFS('0828 4度C'!$N:$N,'0828 4度C'!$A:$A,"新豐8線",'0828 4度C'!$B:$B,"平均")</f>
        <v>135.83912762804545</v>
      </c>
      <c r="L14" s="82">
        <f>SUMIFS('0828 4度C'!$N:$N,'0828 4度C'!$A:$A,"新豐9線",'0828 4度C'!$B:$B,"平均")</f>
        <v>130.76554219867427</v>
      </c>
      <c r="M14" s="80">
        <f>SUMIFS('0828 4度C'!$N:$N,'0828 4度C'!$A:$A,"新豐4線",'0828 4度C'!$B:$B,"平均")</f>
        <v>135.15937893684634</v>
      </c>
    </row>
    <row r="15" spans="2:17" ht="40.15" customHeight="1">
      <c r="B15" s="584"/>
      <c r="C15" s="83" t="s">
        <v>2639</v>
      </c>
      <c r="D15" s="84">
        <f t="shared" ref="D15:M15" si="0">D14/D13</f>
        <v>0.95959157250470872</v>
      </c>
      <c r="E15" s="85">
        <f t="shared" si="0"/>
        <v>0.95400061748406151</v>
      </c>
      <c r="F15" s="85">
        <f t="shared" si="0"/>
        <v>0.96201213847511435</v>
      </c>
      <c r="G15" s="85">
        <f t="shared" si="0"/>
        <v>0.96105356140069931</v>
      </c>
      <c r="H15" s="85">
        <f t="shared" si="0"/>
        <v>0.95491411486332634</v>
      </c>
      <c r="I15" s="85">
        <f t="shared" si="0"/>
        <v>0.95843551855090059</v>
      </c>
      <c r="J15" s="86">
        <f t="shared" si="0"/>
        <v>0.95658158892037293</v>
      </c>
      <c r="K15" s="84">
        <f t="shared" si="0"/>
        <v>0.96219382069865522</v>
      </c>
      <c r="L15" s="85">
        <f t="shared" si="0"/>
        <v>0.95739057681172224</v>
      </c>
      <c r="M15" s="86">
        <f t="shared" si="0"/>
        <v>0.95737893413599484</v>
      </c>
    </row>
    <row r="16" spans="2:17" ht="17.25" customHeight="1">
      <c r="B16" s="585" t="s">
        <v>2640</v>
      </c>
      <c r="C16" s="87" t="s">
        <v>2641</v>
      </c>
      <c r="D16" s="88">
        <f>VLOOKUP("新豐6線",'0828 4度C'!$A:$T,19,0)</f>
        <v>0.70833333333333337</v>
      </c>
      <c r="E16" s="89">
        <f>VLOOKUP("新豐2線",'0828 4度C'!$A:$T,19,0)</f>
        <v>8.3333333333333329E-2</v>
      </c>
      <c r="F16" s="89">
        <f>VLOOKUP("新豐5線",'0828 4度C'!$A:$T,19,0)</f>
        <v>0.20833333333333334</v>
      </c>
      <c r="G16" s="89">
        <f>VLOOKUP("新豐7線",'0828 4度C'!$A:$T,19,0)</f>
        <v>0.20833333333333334</v>
      </c>
      <c r="H16" s="89">
        <f>VLOOKUP("新豐3線",'0828 4度C'!$A:$T,19,0)</f>
        <v>0.20833333333333334</v>
      </c>
      <c r="I16" s="89">
        <f>VLOOKUP("新豐1線",'0828 4度C'!$A:$T,19,0)</f>
        <v>0.20833333333333334</v>
      </c>
      <c r="J16" s="90">
        <f>VLOOKUP("新豐10線",'0828 4度C'!$A:$T,19,0)</f>
        <v>0.20833333333333334</v>
      </c>
      <c r="K16" s="91">
        <f>VLOOKUP("新豐8線",'0828 4度C'!$A:$T,19,0)</f>
        <v>8.3333333333333329E-2</v>
      </c>
      <c r="L16" s="92">
        <f>VLOOKUP("新豐9線",'0828 4度C'!$A:$T,19,0)</f>
        <v>8.3333333333333329E-2</v>
      </c>
      <c r="M16" s="93">
        <f>VLOOKUP("新豐4線",'0828 4度C'!$A:$T,19,0)</f>
        <v>8.3333333333333329E-2</v>
      </c>
    </row>
    <row r="17" spans="2:13" ht="17.25" customHeight="1">
      <c r="B17" s="586"/>
      <c r="C17" s="87" t="s">
        <v>2642</v>
      </c>
      <c r="D17" s="91">
        <f>LOOKUP(2,1/(('0828 4度C'!$A:$A="新豐6線")*('0828 4度C'!$T:$T&lt;&gt;"")),'0828 4度C'!$T:$T)</f>
        <v>0.82847222222222217</v>
      </c>
      <c r="E17" s="89">
        <f>LOOKUP(2,1/(('0828 4度C'!$A:$A="新豐2線")*('0828 4度C'!$T:$T&lt;&gt;"")),'0828 4度C'!$T:$T)</f>
        <v>0.41874999999999996</v>
      </c>
      <c r="F17" s="89">
        <f>LOOKUP(2,1/(('0828 4度C'!$A:$A="新豐5線")*('0828 4度C'!$T:$T&lt;&gt;"")),'0828 4度C'!$T:$T)</f>
        <v>0.80555555555555558</v>
      </c>
      <c r="G17" s="89">
        <f>LOOKUP(2,1/(('0828 4度C'!$A:$A="新豐7線")*('0828 4度C'!$T:$T&lt;&gt;"")),'0828 4度C'!$T:$T)</f>
        <v>0.81388888888888899</v>
      </c>
      <c r="H17" s="89">
        <f>LOOKUP(2,1/(('0828 4度C'!$A:$A="新豐3線")*('0828 4度C'!$T:$T&lt;&gt;"")),'0828 4度C'!$T:$T)</f>
        <v>0.3743055555555555</v>
      </c>
      <c r="I17" s="89">
        <f>LOOKUP(2,1/(('0828 4度C'!$A:$A="新豐1線")*('0828 4度C'!$T:$T&lt;&gt;"")),'0828 4度C'!$T:$T)</f>
        <v>0.79027777777777775</v>
      </c>
      <c r="J17" s="90">
        <f>LOOKUP(2,1/(('0828 4度C'!$A:$A="新豐10線")*('0828 4度C'!$T:$T&lt;&gt;"")),'0828 4度C'!$T:$T)</f>
        <v>0.39791666666666659</v>
      </c>
      <c r="K17" s="88">
        <f>LOOKUP(2,1/(('0828 4度C'!$A:$A="新豐8線")*('0828 4度C'!$T:$T&lt;&gt;"")),'0828 4度C'!$T:$T)</f>
        <v>0.45972222222222214</v>
      </c>
      <c r="L17" s="89">
        <f>LOOKUP(2,1/(('0828 4度C'!$A:$A="新豐9線")*('0828 4度C'!$T:$T&lt;&gt;"")),'0828 4度C'!$T:$T)</f>
        <v>0.52222222222222214</v>
      </c>
      <c r="M17" s="90">
        <f>LOOKUP(2,1/(('0828 4度C'!$A:$A="新豐4線")*('0828 4度C'!$T:$T&lt;&gt;"")),'0828 4度C'!$T:$T)</f>
        <v>0.46249999999999991</v>
      </c>
    </row>
    <row r="18" spans="2:13" ht="17.25" customHeight="1">
      <c r="B18" s="564" t="s">
        <v>2643</v>
      </c>
      <c r="C18" s="94" t="s">
        <v>2644</v>
      </c>
      <c r="D18" s="95">
        <f>SUMIFS('0828 4度C'!$Y:$Y,'0828 4度C'!$A:$A,"新豐6線",'0828 4度C'!$B:$B,"平均")</f>
        <v>0</v>
      </c>
      <c r="E18" s="96">
        <f>SUMIFS('0828 4度C'!$Y:$Y,'0828 4度C'!$A:$A,"新豐2線",'0828 4度C'!$B:$B,"平均")</f>
        <v>0</v>
      </c>
      <c r="F18" s="96">
        <f>SUMIFS('0828 4度C'!$Y:$Y,'0828 4度C'!$A:$A,"新豐5線",'0828 4度C'!$B:$B,"平均")</f>
        <v>0</v>
      </c>
      <c r="G18" s="96">
        <f>SUMIFS('0828 4度C'!$Y:$Y,'0828 4度C'!$A:$A,"新豐7線",'0828 4度C'!$B:$B,"平均")</f>
        <v>0</v>
      </c>
      <c r="H18" s="96">
        <f>SUMIFS('0828 4度C'!$Y:$Y,'0828 4度C'!$A:$A,"新豐3線",'0828 4度C'!$B:$B,"平均")</f>
        <v>0</v>
      </c>
      <c r="I18" s="96">
        <f>SUMIFS('0828 4度C'!$Y:$Y,'0828 4度C'!$A:$A,"新豐1線",'0828 4度C'!$B:$B,"平均")</f>
        <v>0</v>
      </c>
      <c r="J18" s="97">
        <f>SUMIFS('0828 4度C'!$Y:$Y,'0828 4度C'!$A:$A,"新豐10線",'0828 4度C'!$B:$B,"平均")</f>
        <v>0</v>
      </c>
      <c r="K18" s="98">
        <f>SUMIFS('0828 4度C'!$Y:$Y,'0828 4度C'!$A:$A,"新豐8線",'0828 4度C'!$B:$B,"平均")</f>
        <v>0</v>
      </c>
      <c r="L18" s="96">
        <f>SUMIFS('0828 4度C'!$Y:$Y,'0828 4度C'!$A:$A,"新豐9線",'0828 4度C'!$B:$B,"平均")</f>
        <v>0</v>
      </c>
      <c r="M18" s="97">
        <f>SUMIFS('0828 4度C'!$Y:$Y,'0828 4度C'!$A:$A,"新豐4線",'0828 4度C'!$B:$B,"平均")</f>
        <v>0</v>
      </c>
    </row>
    <row r="19" spans="2:13" ht="17.25" customHeight="1">
      <c r="B19" s="565"/>
      <c r="C19" s="94" t="s">
        <v>2645</v>
      </c>
      <c r="D19" s="95">
        <f>SUMIFS('0828 4度C'!$Z:$Z,'0828 4度C'!$A:$A,"新豐6線",'0828 4度C'!$B:$B,"平均")</f>
        <v>0</v>
      </c>
      <c r="E19" s="96">
        <f>SUMIFS('0828 4度C'!$Z:$Z,'0828 4度C'!$A:$A,"新豐2線",'0828 4度C'!$B:$B,"平均")</f>
        <v>0</v>
      </c>
      <c r="F19" s="96">
        <f>SUMIFS('0828 4度C'!$Z:$Z,'0828 4度C'!$A:$A,"新豐5線",'0828 4度C'!$B:$B,"平均")</f>
        <v>0</v>
      </c>
      <c r="G19" s="96">
        <f>SUMIFS('0828 4度C'!$Z:$Z,'0828 4度C'!$A:$A,"新豐7線",'0828 4度C'!$B:$B,"平均")</f>
        <v>0</v>
      </c>
      <c r="H19" s="96">
        <f>SUMIFS('0828 4度C'!$Z:$Z,'0828 4度C'!$A:$A,"新豐3線",'0828 4度C'!$B:$B,"平均")</f>
        <v>0</v>
      </c>
      <c r="I19" s="96">
        <f>SUMIFS('0828 4度C'!$Z:$Z,'0828 4度C'!$A:$A,"新豐1線",'0828 4度C'!$B:$B,"平均")</f>
        <v>0</v>
      </c>
      <c r="J19" s="97">
        <f>SUMIFS('0828 4度C'!$Z:$Z,'0828 4度C'!$A:$A,"新豐10線",'0828 4度C'!$B:$B,"平均")</f>
        <v>0</v>
      </c>
      <c r="K19" s="98">
        <f>SUMIFS('0828 4度C'!$Z:$Z,'0828 4度C'!$A:$A,"新豐8線",'0828 4度C'!$B:$B,"平均")</f>
        <v>0</v>
      </c>
      <c r="L19" s="96">
        <f>SUMIFS('0828 4度C'!$Z:$Z,'0828 4度C'!$A:$A,"新豐9線",'0828 4度C'!$B:$B,"平均")</f>
        <v>0</v>
      </c>
      <c r="M19" s="97">
        <f>SUMIFS('0828 4度C'!$Z:$Z,'0828 4度C'!$A:$A,"新豐4線",'0828 4度C'!$B:$B,"平均")</f>
        <v>0</v>
      </c>
    </row>
    <row r="20" spans="2:13" ht="17.25" customHeight="1">
      <c r="B20" s="564" t="s">
        <v>2646</v>
      </c>
      <c r="C20" s="94" t="s">
        <v>2644</v>
      </c>
      <c r="D20" s="95">
        <f>SUMIFS('0828 4度C'!$AC:$AC,'0828 4度C'!$A:$A,"新豐6線",'0828 4度C'!$B:$B,"平均")</f>
        <v>3</v>
      </c>
      <c r="E20" s="96">
        <f>SUMIFS('0828 4度C'!$AC:$AC,'0828 4度C'!$A:$A,"新豐2線",'0828 4度C'!$B:$B,"平均")</f>
        <v>3</v>
      </c>
      <c r="F20" s="96">
        <f>SUMIFS('0828 4度C'!$AC:$AC,'0828 4度C'!$A:$A,"新豐5線",'0828 4度C'!$B:$B,"平均")</f>
        <v>7</v>
      </c>
      <c r="G20" s="96">
        <f>SUMIFS('0828 4度C'!$AC:$AC,'0828 4度C'!$A:$A,"新豐7線",'0828 4度C'!$B:$B,"平均")</f>
        <v>7</v>
      </c>
      <c r="H20" s="96">
        <f>SUMIFS('0828 4度C'!$AC:$AC,'0828 4度C'!$A:$A,"新豐3線",'0828 4度C'!$B:$B,"平均")</f>
        <v>3</v>
      </c>
      <c r="I20" s="96">
        <f>SUMIFS('0828 4度C'!$AC:$AC,'0828 4度C'!$A:$A,"新豐1線",'0828 4度C'!$B:$B,"平均")</f>
        <v>7</v>
      </c>
      <c r="J20" s="97">
        <f>SUMIFS('0828 4度C'!$AC:$AC,'0828 4度C'!$A:$A,"新豐10線",'0828 4度C'!$B:$B,"平均")</f>
        <v>5</v>
      </c>
      <c r="K20" s="98">
        <f>SUMIFS('0828 4度C'!$AC:$AC,'0828 4度C'!$A:$A,"新豐8線",'0828 4度C'!$B:$B,"平均")</f>
        <v>5</v>
      </c>
      <c r="L20" s="96">
        <f>SUMIFS('0828 4度C'!$AC:$AC,'0828 4度C'!$A:$A,"新豐9線",'0828 4度C'!$B:$B,"平均")</f>
        <v>5</v>
      </c>
      <c r="M20" s="97">
        <f>SUMIFS('0828 4度C'!$AC:$AC,'0828 4度C'!$A:$A,"新豐4線",'0828 4度C'!$B:$B,"平均")</f>
        <v>5</v>
      </c>
    </row>
    <row r="21" spans="2:13" ht="17.25" customHeight="1">
      <c r="B21" s="565"/>
      <c r="C21" s="94" t="s">
        <v>2647</v>
      </c>
      <c r="D21" s="95">
        <f>SUMIFS('0828 4度C'!$AD:$AD,'0828 4度C'!$A:$A,"新豐6線",'0828 4度C'!$B:$B,"平均")</f>
        <v>0</v>
      </c>
      <c r="E21" s="96">
        <f>SUMIFS('0828 4度C'!$AD:$AD,'0828 4度C'!$A:$A,"新豐2線",'0828 4度C'!$B:$B,"平均")</f>
        <v>0</v>
      </c>
      <c r="F21" s="96">
        <f>SUMIFS('0828 4度C'!$AD:$AD,'0828 4度C'!$A:$A,"新豐5線",'0828 4度C'!$B:$B,"平均")</f>
        <v>0</v>
      </c>
      <c r="G21" s="96">
        <f>SUMIFS('0828 4度C'!$AD:$AD,'0828 4度C'!$A:$A,"新豐7線",'0828 4度C'!$B:$B,"平均")</f>
        <v>0</v>
      </c>
      <c r="H21" s="96">
        <f>SUMIFS('0828 4度C'!$AD:$AD,'0828 4度C'!$A:$A,"新豐3線",'0828 4度C'!$B:$B,"平均")</f>
        <v>0</v>
      </c>
      <c r="I21" s="96">
        <f>SUMIFS('0828 4度C'!$AD:$AD,'0828 4度C'!$A:$A,"新豐1線",'0828 4度C'!$B:$B,"平均")</f>
        <v>0</v>
      </c>
      <c r="J21" s="97">
        <f>SUMIFS('0828 4度C'!$AD:$AD,'0828 4度C'!$A:$A,"新豐10線",'0828 4度C'!$B:$B,"平均")</f>
        <v>0</v>
      </c>
      <c r="K21" s="98">
        <f>SUMIFS('0828 4度C'!$AD:$AD,'0828 4度C'!$A:$A,"新豐8線",'0828 4度C'!$B:$B,"平均")</f>
        <v>0</v>
      </c>
      <c r="L21" s="96">
        <f>SUMIFS('0828 4度C'!$AD:$AD,'0828 4度C'!$A:$A,"新豐9線",'0828 4度C'!$B:$B,"平均")</f>
        <v>0</v>
      </c>
      <c r="M21" s="97">
        <f>SUMIFS('0828 4度C'!$AD:$AD,'0828 4度C'!$A:$A,"新豐4線",'0828 4度C'!$B:$B,"平均")</f>
        <v>0</v>
      </c>
    </row>
    <row r="22" spans="2:13" ht="17.25" customHeight="1">
      <c r="B22" s="566" t="s">
        <v>2648</v>
      </c>
      <c r="C22" s="567"/>
      <c r="D22" s="99">
        <f>SUMIFS('0828 4度C'!$I:$I,'0828 4度C'!$A:$A,"新豐6線",'0828 4度C'!$B:$B,"平均")</f>
        <v>15.333333333333334</v>
      </c>
      <c r="E22" s="100">
        <f>SUMIFS('0828 4度C'!$I:$I,'0828 4度C'!$A:$A,"新豐2線",'0828 4度C'!$B:$B,"平均")</f>
        <v>17</v>
      </c>
      <c r="F22" s="100">
        <f>SUMIFS('0828 4度C'!$I:$I,'0828 4度C'!$A:$A,"新豐5線",'0828 4度C'!$B:$B,"平均")</f>
        <v>18.428571428571427</v>
      </c>
      <c r="G22" s="100">
        <f>SUMIFS('0828 4度C'!$I:$I,'0828 4度C'!$A:$A,"新豐7線",'0828 4度C'!$B:$B,"平均")</f>
        <v>15.285714285714286</v>
      </c>
      <c r="H22" s="100">
        <f>SUMIFS('0828 4度C'!$I:$I,'0828 4度C'!$A:$A,"新豐3線",'0828 4度C'!$B:$B,"平均")</f>
        <v>10</v>
      </c>
      <c r="I22" s="100">
        <f>SUMIFS('0828 4度C'!$I:$I,'0828 4度C'!$A:$A,"新豐1線",'0828 4度C'!$B:$B,"平均")</f>
        <v>19.428571428571427</v>
      </c>
      <c r="J22" s="101">
        <f>SUMIFS('0828 4度C'!$I:$I,'0828 4度C'!$A:$A,"新豐10線",'0828 4度C'!$B:$B,"平均")</f>
        <v>10.4</v>
      </c>
      <c r="K22" s="99">
        <f>SUMIFS('0828 4度C'!$I:$I,'0828 4度C'!$A:$A,"新豐8線",'0828 4度C'!$B:$B,"平均")</f>
        <v>17</v>
      </c>
      <c r="L22" s="100">
        <f>SUMIFS('0828 4度C'!$I:$I,'0828 4度C'!$A:$A,"新豐9線",'0828 4度C'!$B:$B,"平均")</f>
        <v>16.399999999999999</v>
      </c>
      <c r="M22" s="101">
        <f>SUMIFS('0828 4度C'!$I:$I,'0828 4度C'!$A:$A,"新豐4線",'0828 4度C'!$B:$B,"平均")</f>
        <v>17</v>
      </c>
    </row>
    <row r="23" spans="2:13" ht="17.25" customHeight="1">
      <c r="B23" s="566" t="s">
        <v>2649</v>
      </c>
      <c r="C23" s="567"/>
      <c r="D23" s="102" t="s">
        <v>202</v>
      </c>
      <c r="E23" s="103" t="s">
        <v>203</v>
      </c>
      <c r="F23" s="103" t="s">
        <v>2650</v>
      </c>
      <c r="G23" s="103" t="s">
        <v>2650</v>
      </c>
      <c r="H23" s="103" t="s">
        <v>205</v>
      </c>
      <c r="I23" s="103" t="s">
        <v>202</v>
      </c>
      <c r="J23" s="104" t="s">
        <v>205</v>
      </c>
      <c r="K23" s="102" t="s">
        <v>2651</v>
      </c>
      <c r="L23" s="103" t="s">
        <v>2651</v>
      </c>
      <c r="M23" s="104" t="s">
        <v>2651</v>
      </c>
    </row>
    <row r="24" spans="2:13" ht="17.25" customHeight="1">
      <c r="B24" s="566" t="s">
        <v>2652</v>
      </c>
      <c r="C24" s="567"/>
      <c r="D24" s="102"/>
      <c r="E24" s="103"/>
      <c r="F24" s="103" t="s">
        <v>2653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68" t="s">
        <v>2654</v>
      </c>
      <c r="C25" s="569"/>
      <c r="D25" s="105"/>
      <c r="E25" s="106" t="s">
        <v>2655</v>
      </c>
      <c r="F25" s="562" t="s">
        <v>2656</v>
      </c>
      <c r="G25" s="563"/>
      <c r="H25" s="106" t="s">
        <v>2657</v>
      </c>
      <c r="I25" s="106" t="s">
        <v>2658</v>
      </c>
      <c r="J25" s="107" t="s">
        <v>2657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958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65"/>
  <sheetViews>
    <sheetView topLeftCell="I1" zoomScale="80" zoomScaleNormal="80" workbookViewId="0">
      <pane ySplit="4" topLeftCell="A32" activePane="bottomLeft" state="frozen"/>
      <selection pane="bottomLeft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41" customWidth="1"/>
    <col min="20" max="20" width="7.625" style="41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29" width="15.125" style="41" customWidth="1"/>
    <col min="30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265</v>
      </c>
      <c r="B1" s="1"/>
      <c r="C1" s="2" t="s">
        <v>266</v>
      </c>
      <c r="D1" s="3">
        <f>SUM(F5:F64)</f>
        <v>128423</v>
      </c>
      <c r="E1" s="502" t="s">
        <v>267</v>
      </c>
      <c r="F1" s="1">
        <f>SUM(G5:G64)</f>
        <v>4524698.1500000004</v>
      </c>
      <c r="G1" s="1" t="s">
        <v>268</v>
      </c>
      <c r="H1" s="5">
        <f>L8+L12+L44+L52+L20+L58+L34+L40+L28+L64</f>
        <v>156.27619047619046</v>
      </c>
      <c r="I1" s="676" t="s">
        <v>269</v>
      </c>
      <c r="J1" s="676"/>
      <c r="K1" s="676"/>
      <c r="L1" s="676" t="s">
        <v>270</v>
      </c>
      <c r="M1" s="676"/>
      <c r="N1" s="676"/>
      <c r="O1" s="676" t="s">
        <v>2659</v>
      </c>
      <c r="P1" s="676"/>
      <c r="Q1" s="676"/>
      <c r="R1" s="676"/>
      <c r="S1" s="676" t="s">
        <v>2660</v>
      </c>
      <c r="T1" s="676"/>
      <c r="U1" s="676"/>
      <c r="V1" s="676"/>
      <c r="W1" s="676"/>
      <c r="X1" s="676"/>
      <c r="Y1" s="6" t="s">
        <v>273</v>
      </c>
      <c r="Z1" s="7" t="s">
        <v>274</v>
      </c>
      <c r="AA1" s="677" t="s">
        <v>2661</v>
      </c>
      <c r="AB1" s="677"/>
      <c r="AC1" s="199" t="s">
        <v>273</v>
      </c>
      <c r="AD1" s="7" t="s">
        <v>2662</v>
      </c>
      <c r="AE1" s="676" t="s">
        <v>277</v>
      </c>
      <c r="AF1" s="678"/>
      <c r="AG1" s="678"/>
    </row>
    <row r="2" spans="1:33" ht="26.25" customHeight="1">
      <c r="A2" s="35">
        <v>46262</v>
      </c>
      <c r="B2" s="36" t="s">
        <v>780</v>
      </c>
      <c r="C2" s="2" t="s">
        <v>187</v>
      </c>
      <c r="D2" s="10">
        <f>AVERAGE(N8,N12,N44,N52,N20,N58,N28,N34,N40,N64)</f>
        <v>149.11419593653972</v>
      </c>
      <c r="E2" s="11" t="s">
        <v>14</v>
      </c>
      <c r="F2" s="12">
        <f>F1/D1</f>
        <v>35.232770998964362</v>
      </c>
      <c r="G2" s="1" t="s">
        <v>280</v>
      </c>
      <c r="H2" s="516">
        <f>COUNT(H5:H64)</f>
        <v>0</v>
      </c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14">
        <f>SUM(Y8+Y12+Y20+Y28+Y34+Y40+Y44+Y52+Y58+Y64)</f>
        <v>0</v>
      </c>
      <c r="Z2" s="14">
        <f>SUM(Z8+Z12+Z20+Z28+Z34+Z40+Z44+Z52+Z58+Z64)</f>
        <v>0</v>
      </c>
      <c r="AA2" s="677"/>
      <c r="AB2" s="677"/>
      <c r="AC2" s="200">
        <v>50</v>
      </c>
      <c r="AD2" s="14">
        <f>SUM(AD8+AD12+AD20+AD28+AD34+AD40+AD44+AD52+AD58+AD64)</f>
        <v>0</v>
      </c>
      <c r="AE2" s="678"/>
      <c r="AF2" s="678"/>
      <c r="AG2" s="678"/>
    </row>
    <row r="3" spans="1:33" ht="40.5" customHeight="1">
      <c r="A3" s="632" t="s">
        <v>281</v>
      </c>
      <c r="B3" s="632" t="s">
        <v>282</v>
      </c>
      <c r="C3" s="632" t="s">
        <v>283</v>
      </c>
      <c r="D3" s="632"/>
      <c r="E3" s="674" t="s">
        <v>2663</v>
      </c>
      <c r="F3" s="632" t="s">
        <v>20</v>
      </c>
      <c r="G3" s="674" t="s">
        <v>286</v>
      </c>
      <c r="H3" s="667" t="s">
        <v>287</v>
      </c>
      <c r="I3" s="665" t="s">
        <v>2664</v>
      </c>
      <c r="J3" s="662" t="s">
        <v>2665</v>
      </c>
      <c r="K3" s="672" t="s">
        <v>2636</v>
      </c>
      <c r="L3" s="665" t="s">
        <v>288</v>
      </c>
      <c r="M3" s="662" t="s">
        <v>2665</v>
      </c>
      <c r="N3" s="672" t="s">
        <v>2636</v>
      </c>
      <c r="O3" s="665" t="s">
        <v>288</v>
      </c>
      <c r="P3" s="672" t="s">
        <v>187</v>
      </c>
      <c r="Q3" s="663" t="s">
        <v>2666</v>
      </c>
      <c r="R3" s="641" t="s">
        <v>2667</v>
      </c>
      <c r="S3" s="673" t="s">
        <v>29</v>
      </c>
      <c r="T3" s="673"/>
      <c r="U3" s="667" t="s">
        <v>30</v>
      </c>
      <c r="V3" s="667" t="s">
        <v>2668</v>
      </c>
      <c r="W3" s="632" t="s">
        <v>2669</v>
      </c>
      <c r="X3" s="632"/>
      <c r="Y3" s="668" t="s">
        <v>2670</v>
      </c>
      <c r="Z3" s="631"/>
      <c r="AA3" s="669" t="s">
        <v>2671</v>
      </c>
      <c r="AB3" s="670"/>
      <c r="AC3" s="668" t="s">
        <v>296</v>
      </c>
      <c r="AD3" s="631"/>
      <c r="AE3" s="662" t="s">
        <v>289</v>
      </c>
      <c r="AF3" s="663" t="s">
        <v>2666</v>
      </c>
      <c r="AG3" s="641" t="s">
        <v>291</v>
      </c>
    </row>
    <row r="4" spans="1:33" ht="15.75" customHeight="1">
      <c r="A4" s="632"/>
      <c r="B4" s="632"/>
      <c r="C4" s="632"/>
      <c r="D4" s="632"/>
      <c r="E4" s="675"/>
      <c r="F4" s="632"/>
      <c r="G4" s="675"/>
      <c r="H4" s="667"/>
      <c r="I4" s="665"/>
      <c r="J4" s="662"/>
      <c r="K4" s="672"/>
      <c r="L4" s="665"/>
      <c r="M4" s="662"/>
      <c r="N4" s="672"/>
      <c r="O4" s="665"/>
      <c r="P4" s="672"/>
      <c r="Q4" s="663"/>
      <c r="R4" s="641"/>
      <c r="S4" s="515" t="s">
        <v>39</v>
      </c>
      <c r="T4" s="515" t="s">
        <v>40</v>
      </c>
      <c r="U4" s="667"/>
      <c r="V4" s="667"/>
      <c r="W4" s="502" t="s">
        <v>297</v>
      </c>
      <c r="X4" s="502" t="s">
        <v>298</v>
      </c>
      <c r="Y4" s="504" t="s">
        <v>2644</v>
      </c>
      <c r="Z4" s="504" t="s">
        <v>2672</v>
      </c>
      <c r="AA4" s="671"/>
      <c r="AB4" s="670"/>
      <c r="AC4" s="504" t="s">
        <v>2673</v>
      </c>
      <c r="AD4" s="504" t="s">
        <v>2674</v>
      </c>
      <c r="AE4" s="662"/>
      <c r="AF4" s="663"/>
      <c r="AG4" s="641"/>
    </row>
    <row r="5" spans="1:33">
      <c r="A5" s="664" t="s">
        <v>303</v>
      </c>
      <c r="B5" s="42" t="s">
        <v>92</v>
      </c>
      <c r="C5" s="666" t="s">
        <v>93</v>
      </c>
      <c r="D5" s="666"/>
      <c r="E5" s="42">
        <v>50.92</v>
      </c>
      <c r="F5" s="515">
        <v>1731</v>
      </c>
      <c r="G5" s="502">
        <f t="shared" ref="G5:G7" si="0">E5*F5</f>
        <v>88142.52</v>
      </c>
      <c r="H5" s="37" t="s">
        <v>91</v>
      </c>
      <c r="I5" s="513">
        <v>15</v>
      </c>
      <c r="J5" s="39">
        <v>2000</v>
      </c>
      <c r="K5" s="17">
        <f t="shared" ref="K5:K64" si="1">J5/I5</f>
        <v>133.33333333333334</v>
      </c>
      <c r="L5" s="513">
        <v>15</v>
      </c>
      <c r="M5" s="18">
        <f t="shared" ref="M5:M7" si="2">F5/V5*60</f>
        <v>1923.3333333333344</v>
      </c>
      <c r="N5" s="17">
        <f t="shared" ref="N5:N64" si="3">M5/L5</f>
        <v>128.22222222222229</v>
      </c>
      <c r="O5" s="19">
        <f t="shared" ref="O5:O64" si="4">L5-I5</f>
        <v>0</v>
      </c>
      <c r="P5" s="20">
        <f t="shared" ref="P5:P64" si="5">N5-K5</f>
        <v>-5.1111111111110574</v>
      </c>
      <c r="Q5" s="505">
        <f t="shared" ref="Q5:Q64" si="6">N5/K5</f>
        <v>0.96166666666666711</v>
      </c>
      <c r="R5" s="637">
        <f>Q8</f>
        <v>0.95959157250470872</v>
      </c>
      <c r="S5" s="40">
        <v>0.70833333333333337</v>
      </c>
      <c r="T5" s="40">
        <v>0.74583333333333335</v>
      </c>
      <c r="U5" s="502"/>
      <c r="V5" s="514">
        <f t="shared" ref="V5:V7" si="7">(T5-S5)*24*60</f>
        <v>53.999999999999972</v>
      </c>
      <c r="W5" s="23"/>
      <c r="X5" s="23"/>
      <c r="Y5" s="24"/>
      <c r="Z5" s="24"/>
      <c r="AA5" s="632"/>
      <c r="AB5" s="632"/>
      <c r="AC5" s="135">
        <v>3</v>
      </c>
      <c r="AD5" s="25"/>
      <c r="AE5" s="19">
        <f t="shared" ref="AE5:AE51" si="8">M5-J5</f>
        <v>-76.666666666665606</v>
      </c>
      <c r="AF5" s="505">
        <f t="shared" ref="AF5:AF64" si="9">M5/J5</f>
        <v>0.96166666666666722</v>
      </c>
      <c r="AG5" s="637">
        <f>AF8</f>
        <v>0.95959157250470883</v>
      </c>
    </row>
    <row r="6" spans="1:33">
      <c r="A6" s="665" t="s">
        <v>2675</v>
      </c>
      <c r="B6" s="42" t="s">
        <v>92</v>
      </c>
      <c r="C6" s="666" t="s">
        <v>94</v>
      </c>
      <c r="D6" s="666"/>
      <c r="E6" s="42">
        <v>50.98</v>
      </c>
      <c r="F6" s="515">
        <v>1886</v>
      </c>
      <c r="G6" s="502">
        <f t="shared" si="0"/>
        <v>96148.28</v>
      </c>
      <c r="H6" s="37" t="s">
        <v>91</v>
      </c>
      <c r="I6" s="513">
        <v>16</v>
      </c>
      <c r="J6" s="39">
        <v>2000</v>
      </c>
      <c r="K6" s="17">
        <f t="shared" si="1"/>
        <v>125</v>
      </c>
      <c r="L6" s="513">
        <v>16</v>
      </c>
      <c r="M6" s="18">
        <f t="shared" si="2"/>
        <v>1917.9661016949169</v>
      </c>
      <c r="N6" s="17">
        <f t="shared" si="3"/>
        <v>119.87288135593231</v>
      </c>
      <c r="O6" s="19">
        <f t="shared" si="4"/>
        <v>0</v>
      </c>
      <c r="P6" s="20">
        <f t="shared" si="5"/>
        <v>-5.1271186440676928</v>
      </c>
      <c r="Q6" s="505">
        <f t="shared" si="6"/>
        <v>0.9589830508474585</v>
      </c>
      <c r="R6" s="637"/>
      <c r="S6" s="40">
        <v>0.74930555555555556</v>
      </c>
      <c r="T6" s="40">
        <v>0.79027777777777775</v>
      </c>
      <c r="U6" s="502">
        <f t="shared" ref="U6:U7" si="10">IF(S6=TIME(17,0,0),"",(S6-T5)*24*60)</f>
        <v>4.9999999999999822</v>
      </c>
      <c r="V6" s="514">
        <f t="shared" si="7"/>
        <v>58.99999999999995</v>
      </c>
      <c r="W6" s="23"/>
      <c r="X6" s="23"/>
      <c r="Y6" s="23"/>
      <c r="Z6" s="23"/>
      <c r="AA6" s="632"/>
      <c r="AB6" s="632"/>
      <c r="AC6" s="135"/>
      <c r="AD6" s="25"/>
      <c r="AE6" s="19">
        <f t="shared" si="8"/>
        <v>-82.033898305083085</v>
      </c>
      <c r="AF6" s="505">
        <f t="shared" si="9"/>
        <v>0.9589830508474585</v>
      </c>
      <c r="AG6" s="637"/>
    </row>
    <row r="7" spans="1:33">
      <c r="A7" s="665" t="s">
        <v>2676</v>
      </c>
      <c r="B7" s="42" t="s">
        <v>92</v>
      </c>
      <c r="C7" s="660" t="s">
        <v>109</v>
      </c>
      <c r="D7" s="661"/>
      <c r="E7" s="42">
        <v>50.49</v>
      </c>
      <c r="F7" s="515">
        <v>1533</v>
      </c>
      <c r="G7" s="502">
        <f t="shared" si="0"/>
        <v>77401.17</v>
      </c>
      <c r="H7" s="37" t="s">
        <v>91</v>
      </c>
      <c r="I7" s="513">
        <v>15</v>
      </c>
      <c r="J7" s="39">
        <v>2000</v>
      </c>
      <c r="K7" s="17">
        <f t="shared" si="1"/>
        <v>133.33333333333334</v>
      </c>
      <c r="L7" s="513">
        <v>15</v>
      </c>
      <c r="M7" s="18">
        <f t="shared" si="2"/>
        <v>1916.2500000000007</v>
      </c>
      <c r="N7" s="17">
        <f t="shared" si="3"/>
        <v>127.75000000000004</v>
      </c>
      <c r="O7" s="19">
        <f t="shared" si="4"/>
        <v>0</v>
      </c>
      <c r="P7" s="20">
        <f t="shared" si="5"/>
        <v>-5.5833333333333002</v>
      </c>
      <c r="Q7" s="505">
        <f t="shared" si="6"/>
        <v>0.95812500000000023</v>
      </c>
      <c r="R7" s="637"/>
      <c r="S7" s="40">
        <v>0.79513888888888884</v>
      </c>
      <c r="T7" s="40">
        <v>0.82847222222222217</v>
      </c>
      <c r="U7" s="502">
        <f t="shared" si="10"/>
        <v>6.9999999999999751</v>
      </c>
      <c r="V7" s="514">
        <f t="shared" si="7"/>
        <v>47.999999999999986</v>
      </c>
      <c r="W7" s="23"/>
      <c r="X7" s="23"/>
      <c r="Y7" s="26"/>
      <c r="Z7" s="26"/>
      <c r="AA7" s="627"/>
      <c r="AB7" s="628"/>
      <c r="AC7" s="135"/>
      <c r="AD7" s="27"/>
      <c r="AE7" s="19">
        <f t="shared" si="8"/>
        <v>-83.749999999999318</v>
      </c>
      <c r="AF7" s="505">
        <f t="shared" si="9"/>
        <v>0.95812500000000034</v>
      </c>
      <c r="AG7" s="637"/>
    </row>
    <row r="8" spans="1:33">
      <c r="A8" s="665" t="s">
        <v>2675</v>
      </c>
      <c r="B8" s="42" t="s">
        <v>2677</v>
      </c>
      <c r="C8" s="638"/>
      <c r="D8" s="638"/>
      <c r="E8" s="506"/>
      <c r="F8" s="44"/>
      <c r="G8" s="17"/>
      <c r="H8" s="515"/>
      <c r="I8" s="29">
        <v>15.333333333333334</v>
      </c>
      <c r="J8" s="39">
        <v>2000</v>
      </c>
      <c r="K8" s="17">
        <f t="shared" si="1"/>
        <v>130.43478260869566</v>
      </c>
      <c r="L8" s="29">
        <v>15.333333333333334</v>
      </c>
      <c r="M8" s="18">
        <f>AVERAGE(M5:M7)</f>
        <v>1919.1831450094176</v>
      </c>
      <c r="N8" s="17">
        <f t="shared" si="3"/>
        <v>125.16411815278809</v>
      </c>
      <c r="O8" s="19">
        <f t="shared" si="4"/>
        <v>0</v>
      </c>
      <c r="P8" s="20">
        <f t="shared" si="5"/>
        <v>-5.2706644559075642</v>
      </c>
      <c r="Q8" s="505">
        <f t="shared" si="6"/>
        <v>0.95959157250470872</v>
      </c>
      <c r="R8" s="637"/>
      <c r="S8" s="40"/>
      <c r="T8" s="40"/>
      <c r="U8" s="502"/>
      <c r="V8" s="514"/>
      <c r="W8" s="17"/>
      <c r="X8" s="17"/>
      <c r="Y8" s="30">
        <f>SUM(Y5:Y7)</f>
        <v>0</v>
      </c>
      <c r="Z8" s="30">
        <f>SUM(Z5:Z7)</f>
        <v>0</v>
      </c>
      <c r="AA8" s="631"/>
      <c r="AB8" s="631"/>
      <c r="AC8" s="30">
        <v>3</v>
      </c>
      <c r="AD8" s="30">
        <f>SUM(AD5:AD7)</f>
        <v>0</v>
      </c>
      <c r="AE8" s="19">
        <f t="shared" si="8"/>
        <v>-80.816854990582442</v>
      </c>
      <c r="AF8" s="505">
        <f t="shared" si="9"/>
        <v>0.95959157250470883</v>
      </c>
      <c r="AG8" s="637"/>
    </row>
    <row r="9" spans="1:33" ht="15.75" customHeight="1">
      <c r="A9" s="659" t="s">
        <v>2678</v>
      </c>
      <c r="B9" s="42" t="s">
        <v>96</v>
      </c>
      <c r="C9" s="660" t="s">
        <v>100</v>
      </c>
      <c r="D9" s="661"/>
      <c r="E9" s="42">
        <v>39.619999999999997</v>
      </c>
      <c r="F9" s="515">
        <v>3605</v>
      </c>
      <c r="G9" s="502">
        <f t="shared" ref="G9:G11" si="11">E9*F9</f>
        <v>142830.09999999998</v>
      </c>
      <c r="H9" s="37" t="s">
        <v>91</v>
      </c>
      <c r="I9" s="513">
        <v>19</v>
      </c>
      <c r="J9" s="39">
        <v>1500</v>
      </c>
      <c r="K9" s="17">
        <f t="shared" si="1"/>
        <v>78.94736842105263</v>
      </c>
      <c r="L9" s="513">
        <v>19</v>
      </c>
      <c r="M9" s="18">
        <f t="shared" ref="M9:M11" si="12">F9/V9*60</f>
        <v>1432.4503311258279</v>
      </c>
      <c r="N9" s="17">
        <f t="shared" si="3"/>
        <v>75.392122690833048</v>
      </c>
      <c r="O9" s="19">
        <f t="shared" si="4"/>
        <v>0</v>
      </c>
      <c r="P9" s="20">
        <f t="shared" si="5"/>
        <v>-3.5552457302195819</v>
      </c>
      <c r="Q9" s="505">
        <f t="shared" si="6"/>
        <v>0.95496688741721858</v>
      </c>
      <c r="R9" s="637">
        <f>Q12</f>
        <v>0.95400061748406151</v>
      </c>
      <c r="S9" s="40">
        <v>8.3333333333333329E-2</v>
      </c>
      <c r="T9" s="40">
        <v>0.18819444444444444</v>
      </c>
      <c r="U9" s="502"/>
      <c r="V9" s="514">
        <f t="shared" ref="V9:V11" si="13">(T9-S9)*24*60</f>
        <v>151</v>
      </c>
      <c r="W9" s="23">
        <f>T9</f>
        <v>0.18819444444444444</v>
      </c>
      <c r="X9" s="23">
        <f>S10</f>
        <v>0.20833333333333334</v>
      </c>
      <c r="Y9" s="23"/>
      <c r="Z9" s="23"/>
      <c r="AA9" s="632"/>
      <c r="AB9" s="632"/>
      <c r="AC9" s="135">
        <v>3</v>
      </c>
      <c r="AD9" s="25"/>
      <c r="AE9" s="19">
        <f t="shared" si="8"/>
        <v>-67.549668874172085</v>
      </c>
      <c r="AF9" s="505">
        <f t="shared" si="9"/>
        <v>0.95496688741721858</v>
      </c>
      <c r="AG9" s="637">
        <f>AF12</f>
        <v>0.9540006174840614</v>
      </c>
    </row>
    <row r="10" spans="1:33" ht="15.75" customHeight="1">
      <c r="A10" s="659" t="s">
        <v>306</v>
      </c>
      <c r="B10" s="42" t="s">
        <v>96</v>
      </c>
      <c r="C10" s="660" t="s">
        <v>97</v>
      </c>
      <c r="D10" s="661"/>
      <c r="E10" s="42">
        <v>39.799999999999997</v>
      </c>
      <c r="F10" s="515">
        <v>5251</v>
      </c>
      <c r="G10" s="502">
        <f t="shared" si="11"/>
        <v>208989.8</v>
      </c>
      <c r="H10" s="37" t="s">
        <v>91</v>
      </c>
      <c r="I10" s="513">
        <v>17</v>
      </c>
      <c r="J10" s="39">
        <v>1500</v>
      </c>
      <c r="K10" s="17">
        <f t="shared" si="1"/>
        <v>88.235294117647058</v>
      </c>
      <c r="L10" s="513">
        <v>17</v>
      </c>
      <c r="M10" s="18">
        <f t="shared" si="12"/>
        <v>1432.0909090909092</v>
      </c>
      <c r="N10" s="17">
        <f t="shared" si="3"/>
        <v>84.240641711229955</v>
      </c>
      <c r="O10" s="19">
        <f t="shared" si="4"/>
        <v>0</v>
      </c>
      <c r="P10" s="20">
        <f t="shared" si="5"/>
        <v>-3.994652406417103</v>
      </c>
      <c r="Q10" s="505">
        <f t="shared" si="6"/>
        <v>0.95472727272727287</v>
      </c>
      <c r="R10" s="637"/>
      <c r="S10" s="40">
        <v>0.20833333333333334</v>
      </c>
      <c r="T10" s="40">
        <v>0.3611111111111111</v>
      </c>
      <c r="U10" s="502">
        <f t="shared" ref="U10:U11" si="14">IF(S10=TIME(17,0,0),"",(S10-T9)*24*60)</f>
        <v>29.000000000000018</v>
      </c>
      <c r="V10" s="514">
        <f t="shared" si="13"/>
        <v>219.99999999999997</v>
      </c>
      <c r="W10" s="23"/>
      <c r="X10" s="23"/>
      <c r="Y10" s="23"/>
      <c r="Z10" s="23"/>
      <c r="AA10" s="632"/>
      <c r="AB10" s="632"/>
      <c r="AC10" s="135"/>
      <c r="AD10" s="25"/>
      <c r="AE10" s="19">
        <f t="shared" si="8"/>
        <v>-67.909090909090764</v>
      </c>
      <c r="AF10" s="505">
        <f t="shared" si="9"/>
        <v>0.95472727272727287</v>
      </c>
      <c r="AG10" s="637"/>
    </row>
    <row r="11" spans="1:33" ht="15.75" customHeight="1">
      <c r="A11" s="659" t="s">
        <v>2679</v>
      </c>
      <c r="B11" s="42" t="s">
        <v>96</v>
      </c>
      <c r="C11" s="660" t="s">
        <v>98</v>
      </c>
      <c r="D11" s="661"/>
      <c r="E11" s="42">
        <v>39.46</v>
      </c>
      <c r="F11" s="515">
        <v>1857</v>
      </c>
      <c r="G11" s="502">
        <f t="shared" si="11"/>
        <v>73277.22</v>
      </c>
      <c r="H11" s="37" t="s">
        <v>91</v>
      </c>
      <c r="I11" s="513">
        <v>15</v>
      </c>
      <c r="J11" s="39">
        <v>1500</v>
      </c>
      <c r="K11" s="17">
        <f t="shared" si="1"/>
        <v>100</v>
      </c>
      <c r="L11" s="513">
        <v>15</v>
      </c>
      <c r="M11" s="18">
        <f t="shared" si="12"/>
        <v>1428.4615384615392</v>
      </c>
      <c r="N11" s="17">
        <f t="shared" si="3"/>
        <v>95.230769230769283</v>
      </c>
      <c r="O11" s="19">
        <f t="shared" si="4"/>
        <v>0</v>
      </c>
      <c r="P11" s="20">
        <f t="shared" si="5"/>
        <v>-4.7692307692307168</v>
      </c>
      <c r="Q11" s="505">
        <f t="shared" si="6"/>
        <v>0.95230769230769285</v>
      </c>
      <c r="R11" s="637"/>
      <c r="S11" s="40">
        <v>0.36458333333333331</v>
      </c>
      <c r="T11" s="40">
        <v>0.41874999999999996</v>
      </c>
      <c r="U11" s="502">
        <f t="shared" si="14"/>
        <v>4.9999999999999822</v>
      </c>
      <c r="V11" s="514">
        <f t="shared" si="13"/>
        <v>77.999999999999957</v>
      </c>
      <c r="W11" s="23"/>
      <c r="X11" s="23"/>
      <c r="Y11" s="23"/>
      <c r="Z11" s="23"/>
      <c r="AA11" s="632"/>
      <c r="AB11" s="632"/>
      <c r="AC11" s="135"/>
      <c r="AD11" s="25"/>
      <c r="AE11" s="19">
        <f t="shared" si="8"/>
        <v>-71.538461538460751</v>
      </c>
      <c r="AF11" s="505">
        <f t="shared" si="9"/>
        <v>0.95230769230769285</v>
      </c>
      <c r="AG11" s="637"/>
    </row>
    <row r="12" spans="1:33" ht="16.5" customHeight="1">
      <c r="A12" s="659" t="s">
        <v>2679</v>
      </c>
      <c r="B12" s="42" t="s">
        <v>2680</v>
      </c>
      <c r="C12" s="638"/>
      <c r="D12" s="638"/>
      <c r="E12" s="506"/>
      <c r="F12" s="39"/>
      <c r="G12" s="18"/>
      <c r="H12" s="515"/>
      <c r="I12" s="29">
        <v>17</v>
      </c>
      <c r="J12" s="39">
        <v>1500</v>
      </c>
      <c r="K12" s="17">
        <f t="shared" si="1"/>
        <v>88.235294117647058</v>
      </c>
      <c r="L12" s="29">
        <v>17</v>
      </c>
      <c r="M12" s="18">
        <f>AVERAGE(M9:M11)</f>
        <v>1431.0009262260921</v>
      </c>
      <c r="N12" s="17">
        <f t="shared" si="3"/>
        <v>84.17652507212307</v>
      </c>
      <c r="O12" s="19">
        <f t="shared" si="4"/>
        <v>0</v>
      </c>
      <c r="P12" s="20">
        <f t="shared" si="5"/>
        <v>-4.058769045523988</v>
      </c>
      <c r="Q12" s="505">
        <f t="shared" si="6"/>
        <v>0.95400061748406151</v>
      </c>
      <c r="R12" s="637"/>
      <c r="S12" s="40"/>
      <c r="T12" s="40"/>
      <c r="U12" s="17"/>
      <c r="V12" s="514"/>
      <c r="W12" s="17"/>
      <c r="X12" s="17"/>
      <c r="Y12" s="30">
        <f>SUM(Y9:Y11)</f>
        <v>0</v>
      </c>
      <c r="Z12" s="30">
        <f>SUM(Z9:Z11)</f>
        <v>0</v>
      </c>
      <c r="AA12" s="631"/>
      <c r="AB12" s="631"/>
      <c r="AC12" s="30">
        <v>3</v>
      </c>
      <c r="AD12" s="30">
        <f>SUM(AD9:AD11)</f>
        <v>0</v>
      </c>
      <c r="AE12" s="19">
        <f t="shared" si="8"/>
        <v>-68.999073773907867</v>
      </c>
      <c r="AF12" s="505">
        <f t="shared" si="9"/>
        <v>0.9540006174840614</v>
      </c>
      <c r="AG12" s="637"/>
    </row>
    <row r="13" spans="1:33" ht="16.5" customHeight="1">
      <c r="A13" s="657" t="s">
        <v>2681</v>
      </c>
      <c r="B13" s="515" t="s">
        <v>101</v>
      </c>
      <c r="C13" s="653" t="s">
        <v>102</v>
      </c>
      <c r="D13" s="653"/>
      <c r="E13" s="42">
        <v>31.11</v>
      </c>
      <c r="F13" s="515">
        <v>2614</v>
      </c>
      <c r="G13" s="502">
        <f t="shared" ref="G13:G19" si="15">E13*F13</f>
        <v>81321.539999999994</v>
      </c>
      <c r="H13" s="37" t="s">
        <v>91</v>
      </c>
      <c r="I13" s="513">
        <v>14</v>
      </c>
      <c r="J13" s="39">
        <v>2000</v>
      </c>
      <c r="K13" s="17">
        <f t="shared" si="1"/>
        <v>142.85714285714286</v>
      </c>
      <c r="L13" s="513">
        <v>14</v>
      </c>
      <c r="M13" s="18">
        <f t="shared" ref="M13:M19" si="16">F13/V13*60</f>
        <v>1912.6829268292686</v>
      </c>
      <c r="N13" s="17">
        <f t="shared" si="3"/>
        <v>136.62020905923347</v>
      </c>
      <c r="O13" s="19">
        <f t="shared" si="4"/>
        <v>0</v>
      </c>
      <c r="P13" s="20">
        <f t="shared" si="5"/>
        <v>-6.2369337979093871</v>
      </c>
      <c r="Q13" s="505">
        <f t="shared" si="6"/>
        <v>0.95634146341463433</v>
      </c>
      <c r="R13" s="637">
        <f>Q20</f>
        <v>0.96201213847511435</v>
      </c>
      <c r="S13" s="40">
        <v>0.20833333333333334</v>
      </c>
      <c r="T13" s="40">
        <v>0.26527777777777778</v>
      </c>
      <c r="U13" s="502"/>
      <c r="V13" s="514">
        <f t="shared" ref="V13:V19" si="17">(T13-S13)*24*60</f>
        <v>81.999999999999986</v>
      </c>
      <c r="W13" s="23"/>
      <c r="X13" s="23"/>
      <c r="Y13" s="28"/>
      <c r="Z13" s="28"/>
      <c r="AA13" s="632"/>
      <c r="AB13" s="632"/>
      <c r="AC13" s="135">
        <v>7</v>
      </c>
      <c r="AD13" s="25"/>
      <c r="AE13" s="19">
        <f t="shared" si="8"/>
        <v>-87.317073170731419</v>
      </c>
      <c r="AF13" s="505">
        <f t="shared" si="9"/>
        <v>0.95634146341463433</v>
      </c>
      <c r="AG13" s="637">
        <f>AF20</f>
        <v>0.96201213847511435</v>
      </c>
    </row>
    <row r="14" spans="1:33" ht="16.5" customHeight="1">
      <c r="A14" s="658" t="s">
        <v>308</v>
      </c>
      <c r="B14" s="515" t="s">
        <v>103</v>
      </c>
      <c r="C14" s="653" t="s">
        <v>105</v>
      </c>
      <c r="D14" s="653"/>
      <c r="E14" s="42">
        <v>41</v>
      </c>
      <c r="F14" s="515">
        <v>1346</v>
      </c>
      <c r="G14" s="502">
        <f t="shared" si="15"/>
        <v>55186</v>
      </c>
      <c r="H14" s="37" t="s">
        <v>91</v>
      </c>
      <c r="I14" s="513">
        <v>26</v>
      </c>
      <c r="J14" s="39">
        <v>1500</v>
      </c>
      <c r="K14" s="17">
        <f t="shared" si="1"/>
        <v>57.692307692307693</v>
      </c>
      <c r="L14" s="513">
        <v>26</v>
      </c>
      <c r="M14" s="18">
        <f t="shared" si="16"/>
        <v>1442.142857142856</v>
      </c>
      <c r="N14" s="17">
        <f t="shared" si="3"/>
        <v>55.467032967032921</v>
      </c>
      <c r="O14" s="19">
        <f t="shared" si="4"/>
        <v>0</v>
      </c>
      <c r="P14" s="20">
        <f t="shared" si="5"/>
        <v>-2.2252747252747724</v>
      </c>
      <c r="Q14" s="505">
        <f t="shared" si="6"/>
        <v>0.96142857142857063</v>
      </c>
      <c r="R14" s="637"/>
      <c r="S14" s="40">
        <v>0.27083333333333331</v>
      </c>
      <c r="T14" s="40">
        <v>0.30972222222222223</v>
      </c>
      <c r="U14" s="502">
        <f t="shared" ref="U14:U19" si="18">IF(S14=TIME(17,0,0),"",(S14-T13)*24*60)</f>
        <v>7.9999999999999716</v>
      </c>
      <c r="V14" s="514">
        <f t="shared" si="17"/>
        <v>56.000000000000043</v>
      </c>
      <c r="W14" s="23"/>
      <c r="X14" s="23"/>
      <c r="Y14" s="23"/>
      <c r="Z14" s="23"/>
      <c r="AA14" s="632"/>
      <c r="AB14" s="632"/>
      <c r="AC14" s="135"/>
      <c r="AD14" s="25"/>
      <c r="AE14" s="19">
        <f t="shared" si="8"/>
        <v>-57.857142857144026</v>
      </c>
      <c r="AF14" s="505">
        <f t="shared" si="9"/>
        <v>0.96142857142857063</v>
      </c>
      <c r="AG14" s="637"/>
    </row>
    <row r="15" spans="1:33" ht="16.5" customHeight="1">
      <c r="A15" s="658" t="s">
        <v>2681</v>
      </c>
      <c r="B15" s="515" t="s">
        <v>101</v>
      </c>
      <c r="C15" s="653" t="s">
        <v>2402</v>
      </c>
      <c r="D15" s="653"/>
      <c r="E15" s="42">
        <v>68.88</v>
      </c>
      <c r="F15" s="515">
        <v>1481</v>
      </c>
      <c r="G15" s="502">
        <f t="shared" si="15"/>
        <v>102011.28</v>
      </c>
      <c r="H15" s="37" t="s">
        <v>91</v>
      </c>
      <c r="I15" s="513">
        <v>16</v>
      </c>
      <c r="J15" s="39">
        <v>2000</v>
      </c>
      <c r="K15" s="17">
        <f t="shared" si="1"/>
        <v>125</v>
      </c>
      <c r="L15" s="513">
        <v>16</v>
      </c>
      <c r="M15" s="18">
        <f t="shared" si="16"/>
        <v>1931.7391304347827</v>
      </c>
      <c r="N15" s="17">
        <f t="shared" si="3"/>
        <v>120.73369565217392</v>
      </c>
      <c r="O15" s="19">
        <f t="shared" si="4"/>
        <v>0</v>
      </c>
      <c r="P15" s="20">
        <f t="shared" si="5"/>
        <v>-4.2663043478260789</v>
      </c>
      <c r="Q15" s="505">
        <f t="shared" si="6"/>
        <v>0.96586956521739142</v>
      </c>
      <c r="R15" s="637"/>
      <c r="S15" s="40">
        <v>0.31458333333333333</v>
      </c>
      <c r="T15" s="40">
        <v>0.34652777777777777</v>
      </c>
      <c r="U15" s="502">
        <f t="shared" si="18"/>
        <v>6.9999999999999751</v>
      </c>
      <c r="V15" s="514">
        <f t="shared" si="17"/>
        <v>46</v>
      </c>
      <c r="W15" s="23"/>
      <c r="X15" s="23"/>
      <c r="Y15" s="23"/>
      <c r="Z15" s="23"/>
      <c r="AA15" s="632"/>
      <c r="AB15" s="632"/>
      <c r="AC15" s="135"/>
      <c r="AD15" s="25"/>
      <c r="AE15" s="19">
        <f t="shared" si="8"/>
        <v>-68.260869565217263</v>
      </c>
      <c r="AF15" s="505">
        <f t="shared" si="9"/>
        <v>0.96586956521739142</v>
      </c>
      <c r="AG15" s="637"/>
    </row>
    <row r="16" spans="1:33" ht="16.5" customHeight="1">
      <c r="A16" s="658" t="s">
        <v>308</v>
      </c>
      <c r="B16" s="515" t="s">
        <v>96</v>
      </c>
      <c r="C16" s="653" t="s">
        <v>99</v>
      </c>
      <c r="D16" s="653"/>
      <c r="E16" s="42">
        <v>39.520000000000003</v>
      </c>
      <c r="F16" s="515">
        <v>1756</v>
      </c>
      <c r="G16" s="502">
        <f t="shared" si="15"/>
        <v>69397.12000000001</v>
      </c>
      <c r="H16" s="37" t="s">
        <v>91</v>
      </c>
      <c r="I16" s="513">
        <v>19</v>
      </c>
      <c r="J16" s="39">
        <v>1500</v>
      </c>
      <c r="K16" s="17">
        <f t="shared" si="1"/>
        <v>78.94736842105263</v>
      </c>
      <c r="L16" s="513">
        <v>19</v>
      </c>
      <c r="M16" s="18">
        <f t="shared" si="16"/>
        <v>1443.2876712328771</v>
      </c>
      <c r="N16" s="17">
        <f t="shared" si="3"/>
        <v>75.962509012256689</v>
      </c>
      <c r="O16" s="19">
        <f t="shared" si="4"/>
        <v>0</v>
      </c>
      <c r="P16" s="20">
        <f t="shared" si="5"/>
        <v>-2.9848594087959412</v>
      </c>
      <c r="Q16" s="505">
        <f t="shared" si="6"/>
        <v>0.96219178082191803</v>
      </c>
      <c r="R16" s="637"/>
      <c r="S16" s="40">
        <v>0.35</v>
      </c>
      <c r="T16" s="40">
        <v>0.40069444444444441</v>
      </c>
      <c r="U16" s="502">
        <f t="shared" si="18"/>
        <v>4.9999999999999822</v>
      </c>
      <c r="V16" s="514">
        <f t="shared" si="17"/>
        <v>72.999999999999986</v>
      </c>
      <c r="W16" s="23"/>
      <c r="X16" s="23"/>
      <c r="Y16" s="23"/>
      <c r="Z16" s="23"/>
      <c r="AA16" s="632"/>
      <c r="AB16" s="632"/>
      <c r="AC16" s="135"/>
      <c r="AD16" s="25"/>
      <c r="AE16" s="19">
        <f t="shared" si="8"/>
        <v>-56.712328767122926</v>
      </c>
      <c r="AF16" s="505">
        <f t="shared" si="9"/>
        <v>0.96219178082191803</v>
      </c>
      <c r="AG16" s="637"/>
    </row>
    <row r="17" spans="1:33" ht="16.5" customHeight="1">
      <c r="A17" s="658" t="s">
        <v>2237</v>
      </c>
      <c r="B17" s="515" t="s">
        <v>92</v>
      </c>
      <c r="C17" s="653" t="s">
        <v>108</v>
      </c>
      <c r="D17" s="653"/>
      <c r="E17" s="42">
        <v>54.5</v>
      </c>
      <c r="F17" s="515">
        <v>868</v>
      </c>
      <c r="G17" s="502">
        <f t="shared" si="15"/>
        <v>47306</v>
      </c>
      <c r="H17" s="37" t="s">
        <v>91</v>
      </c>
      <c r="I17" s="513">
        <v>19</v>
      </c>
      <c r="J17" s="39">
        <v>1500</v>
      </c>
      <c r="K17" s="17">
        <f t="shared" si="1"/>
        <v>78.94736842105263</v>
      </c>
      <c r="L17" s="513">
        <v>19</v>
      </c>
      <c r="M17" s="18">
        <f t="shared" si="16"/>
        <v>1446.6666666666656</v>
      </c>
      <c r="N17" s="17">
        <f t="shared" si="3"/>
        <v>76.14035087719293</v>
      </c>
      <c r="O17" s="19">
        <f t="shared" si="4"/>
        <v>0</v>
      </c>
      <c r="P17" s="20">
        <f t="shared" si="5"/>
        <v>-2.8070175438597005</v>
      </c>
      <c r="Q17" s="505">
        <f t="shared" si="6"/>
        <v>0.96444444444444377</v>
      </c>
      <c r="R17" s="637"/>
      <c r="S17" s="40">
        <v>0.70833333333333337</v>
      </c>
      <c r="T17" s="40">
        <v>0.73333333333333339</v>
      </c>
      <c r="U17" s="502" t="str">
        <f t="shared" si="18"/>
        <v/>
      </c>
      <c r="V17" s="514">
        <f t="shared" si="17"/>
        <v>36.000000000000028</v>
      </c>
      <c r="W17" s="23"/>
      <c r="X17" s="23"/>
      <c r="Y17" s="23"/>
      <c r="Z17" s="23"/>
      <c r="AA17" s="632"/>
      <c r="AB17" s="632"/>
      <c r="AC17" s="135"/>
      <c r="AD17" s="25"/>
      <c r="AE17" s="19">
        <f t="shared" si="8"/>
        <v>-53.333333333334394</v>
      </c>
      <c r="AF17" s="505">
        <f t="shared" si="9"/>
        <v>0.96444444444444377</v>
      </c>
      <c r="AG17" s="637"/>
    </row>
    <row r="18" spans="1:33" ht="16.5" customHeight="1">
      <c r="A18" s="658" t="s">
        <v>308</v>
      </c>
      <c r="B18" s="515" t="s">
        <v>92</v>
      </c>
      <c r="C18" s="511" t="s">
        <v>107</v>
      </c>
      <c r="D18" s="512"/>
      <c r="E18" s="42">
        <v>50.67</v>
      </c>
      <c r="F18" s="515">
        <v>1250</v>
      </c>
      <c r="G18" s="502">
        <f t="shared" si="15"/>
        <v>63337.5</v>
      </c>
      <c r="H18" s="37" t="s">
        <v>91</v>
      </c>
      <c r="I18" s="513">
        <v>17</v>
      </c>
      <c r="J18" s="39">
        <v>2000</v>
      </c>
      <c r="K18" s="17">
        <f t="shared" si="1"/>
        <v>117.64705882352941</v>
      </c>
      <c r="L18" s="513">
        <v>17</v>
      </c>
      <c r="M18" s="18">
        <f t="shared" si="16"/>
        <v>1923.0769230769222</v>
      </c>
      <c r="N18" s="17">
        <f t="shared" si="3"/>
        <v>113.12217194570131</v>
      </c>
      <c r="O18" s="19">
        <f t="shared" si="4"/>
        <v>0</v>
      </c>
      <c r="P18" s="20">
        <f t="shared" si="5"/>
        <v>-4.5248868778280951</v>
      </c>
      <c r="Q18" s="505">
        <f t="shared" si="6"/>
        <v>0.96153846153846123</v>
      </c>
      <c r="R18" s="637"/>
      <c r="S18" s="40">
        <v>0.7368055555555556</v>
      </c>
      <c r="T18" s="40">
        <v>0.76388888888888895</v>
      </c>
      <c r="U18" s="502">
        <f t="shared" si="18"/>
        <v>4.9999999999999822</v>
      </c>
      <c r="V18" s="514">
        <f t="shared" si="17"/>
        <v>39.000000000000021</v>
      </c>
      <c r="W18" s="23"/>
      <c r="X18" s="23"/>
      <c r="Y18" s="26"/>
      <c r="Z18" s="26"/>
      <c r="AA18" s="509"/>
      <c r="AB18" s="510"/>
      <c r="AC18" s="135"/>
      <c r="AD18" s="25"/>
      <c r="AE18" s="19">
        <f t="shared" si="8"/>
        <v>-76.923076923077815</v>
      </c>
      <c r="AF18" s="505">
        <f t="shared" si="9"/>
        <v>0.96153846153846112</v>
      </c>
      <c r="AG18" s="637"/>
    </row>
    <row r="19" spans="1:33" ht="16.5" customHeight="1">
      <c r="A19" s="658" t="s">
        <v>2237</v>
      </c>
      <c r="B19" s="515" t="s">
        <v>92</v>
      </c>
      <c r="C19" s="511" t="s">
        <v>114</v>
      </c>
      <c r="D19" s="512"/>
      <c r="E19" s="42">
        <v>54.09</v>
      </c>
      <c r="F19" s="515">
        <v>1733</v>
      </c>
      <c r="G19" s="502">
        <f t="shared" si="15"/>
        <v>93737.97</v>
      </c>
      <c r="H19" s="37" t="s">
        <v>91</v>
      </c>
      <c r="I19" s="513">
        <v>18</v>
      </c>
      <c r="J19" s="39">
        <v>2000</v>
      </c>
      <c r="K19" s="17">
        <f t="shared" si="1"/>
        <v>111.11111111111111</v>
      </c>
      <c r="L19" s="513">
        <v>18</v>
      </c>
      <c r="M19" s="18">
        <f t="shared" si="16"/>
        <v>1925.5555555555566</v>
      </c>
      <c r="N19" s="17">
        <f t="shared" si="3"/>
        <v>106.97530864197536</v>
      </c>
      <c r="O19" s="19">
        <f t="shared" si="4"/>
        <v>0</v>
      </c>
      <c r="P19" s="20">
        <f t="shared" si="5"/>
        <v>-4.1358024691357542</v>
      </c>
      <c r="Q19" s="505">
        <f t="shared" si="6"/>
        <v>0.96277777777777818</v>
      </c>
      <c r="R19" s="637"/>
      <c r="S19" s="40">
        <v>0.7680555555555556</v>
      </c>
      <c r="T19" s="40">
        <v>0.80555555555555558</v>
      </c>
      <c r="U19" s="502">
        <f t="shared" si="18"/>
        <v>5.9999999999999787</v>
      </c>
      <c r="V19" s="514">
        <f t="shared" si="17"/>
        <v>53.999999999999972</v>
      </c>
      <c r="W19" s="23"/>
      <c r="X19" s="23"/>
      <c r="Y19" s="26"/>
      <c r="Z19" s="26"/>
      <c r="AA19" s="509"/>
      <c r="AB19" s="510"/>
      <c r="AC19" s="135"/>
      <c r="AD19" s="25"/>
      <c r="AE19" s="19">
        <f t="shared" si="8"/>
        <v>-74.444444444443434</v>
      </c>
      <c r="AF19" s="505">
        <f t="shared" si="9"/>
        <v>0.96277777777777829</v>
      </c>
      <c r="AG19" s="637"/>
    </row>
    <row r="20" spans="1:33" ht="16.5" customHeight="1">
      <c r="A20" s="658" t="s">
        <v>308</v>
      </c>
      <c r="B20" s="42" t="s">
        <v>305</v>
      </c>
      <c r="C20" s="638"/>
      <c r="D20" s="638"/>
      <c r="E20" s="506"/>
      <c r="F20" s="44"/>
      <c r="G20" s="17"/>
      <c r="H20" s="515"/>
      <c r="I20" s="29">
        <v>18.428571428571427</v>
      </c>
      <c r="J20" s="39">
        <v>1785.7142857142858</v>
      </c>
      <c r="K20" s="17">
        <f t="shared" si="1"/>
        <v>96.899224806201559</v>
      </c>
      <c r="L20" s="29">
        <v>18.428571428571427</v>
      </c>
      <c r="M20" s="18">
        <f>AVERAGE(M13:M19)</f>
        <v>1717.8788187055613</v>
      </c>
      <c r="N20" s="17">
        <f t="shared" si="3"/>
        <v>93.218230472394808</v>
      </c>
      <c r="O20" s="19">
        <f t="shared" si="4"/>
        <v>0</v>
      </c>
      <c r="P20" s="20">
        <f t="shared" si="5"/>
        <v>-3.6809943338067512</v>
      </c>
      <c r="Q20" s="505">
        <f t="shared" si="6"/>
        <v>0.96201213847511435</v>
      </c>
      <c r="R20" s="637"/>
      <c r="S20" s="40"/>
      <c r="T20" s="40"/>
      <c r="U20" s="502"/>
      <c r="V20" s="514"/>
      <c r="W20" s="17"/>
      <c r="X20" s="17"/>
      <c r="Y20" s="30">
        <f>SUM(Y13:Y19)</f>
        <v>0</v>
      </c>
      <c r="Z20" s="30">
        <f>SUM(Z13:Z19)</f>
        <v>0</v>
      </c>
      <c r="AA20" s="631"/>
      <c r="AB20" s="631"/>
      <c r="AC20" s="30">
        <v>7</v>
      </c>
      <c r="AD20" s="30">
        <f>SUM(AD13:AD19)</f>
        <v>0</v>
      </c>
      <c r="AE20" s="19">
        <f t="shared" si="8"/>
        <v>-67.835467008724436</v>
      </c>
      <c r="AF20" s="505">
        <f t="shared" si="9"/>
        <v>0.96201213847511435</v>
      </c>
      <c r="AG20" s="637"/>
    </row>
    <row r="21" spans="1:33" ht="15.75" customHeight="1">
      <c r="A21" s="655" t="s">
        <v>2682</v>
      </c>
      <c r="B21" s="42" t="s">
        <v>92</v>
      </c>
      <c r="C21" s="653" t="s">
        <v>110</v>
      </c>
      <c r="D21" s="653"/>
      <c r="E21" s="42">
        <v>50.67</v>
      </c>
      <c r="F21" s="515">
        <v>1210</v>
      </c>
      <c r="G21" s="502">
        <f t="shared" ref="G21:G27" si="19">E21*F21</f>
        <v>61310.700000000004</v>
      </c>
      <c r="H21" s="37" t="s">
        <v>91</v>
      </c>
      <c r="I21" s="513">
        <v>17</v>
      </c>
      <c r="J21" s="39">
        <v>2000</v>
      </c>
      <c r="K21" s="17">
        <f t="shared" si="1"/>
        <v>117.64705882352941</v>
      </c>
      <c r="L21" s="513">
        <v>17</v>
      </c>
      <c r="M21" s="18">
        <f t="shared" ref="M21:M27" si="20">F21/V21*60</f>
        <v>1910.5263157894744</v>
      </c>
      <c r="N21" s="17">
        <f t="shared" si="3"/>
        <v>112.38390092879261</v>
      </c>
      <c r="O21" s="19">
        <f t="shared" si="4"/>
        <v>0</v>
      </c>
      <c r="P21" s="20">
        <f t="shared" si="5"/>
        <v>-5.2631578947367927</v>
      </c>
      <c r="Q21" s="505">
        <f t="shared" si="6"/>
        <v>0.95526315789473726</v>
      </c>
      <c r="R21" s="637">
        <f>Q28</f>
        <v>0.96105356140069931</v>
      </c>
      <c r="S21" s="40">
        <v>0.20833333333333334</v>
      </c>
      <c r="T21" s="40">
        <v>0.23472222222222222</v>
      </c>
      <c r="U21" s="502"/>
      <c r="V21" s="514">
        <f t="shared" ref="V21:V27" si="21">(T21-S21)*24*60</f>
        <v>37.999999999999986</v>
      </c>
      <c r="W21" s="23"/>
      <c r="X21" s="23"/>
      <c r="Y21" s="28"/>
      <c r="Z21" s="28"/>
      <c r="AA21" s="632"/>
      <c r="AB21" s="632"/>
      <c r="AC21" s="135">
        <v>7</v>
      </c>
      <c r="AD21" s="25"/>
      <c r="AE21" s="19">
        <f t="shared" si="8"/>
        <v>-89.473684210525562</v>
      </c>
      <c r="AF21" s="505">
        <f t="shared" si="9"/>
        <v>0.95526315789473726</v>
      </c>
      <c r="AG21" s="637">
        <f>AF28</f>
        <v>0.9610535614006992</v>
      </c>
    </row>
    <row r="22" spans="1:33" ht="15.75" customHeight="1">
      <c r="A22" s="656" t="s">
        <v>309</v>
      </c>
      <c r="B22" s="42" t="s">
        <v>92</v>
      </c>
      <c r="C22" s="653" t="s">
        <v>111</v>
      </c>
      <c r="D22" s="653"/>
      <c r="E22" s="42">
        <v>57.73</v>
      </c>
      <c r="F22" s="515">
        <v>2000</v>
      </c>
      <c r="G22" s="502">
        <f t="shared" si="19"/>
        <v>115460</v>
      </c>
      <c r="H22" s="37" t="s">
        <v>91</v>
      </c>
      <c r="I22" s="513">
        <v>14</v>
      </c>
      <c r="J22" s="39">
        <v>2000</v>
      </c>
      <c r="K22" s="17">
        <f t="shared" si="1"/>
        <v>142.85714285714286</v>
      </c>
      <c r="L22" s="513">
        <v>14</v>
      </c>
      <c r="M22" s="18">
        <f t="shared" si="20"/>
        <v>1904.7619047619055</v>
      </c>
      <c r="N22" s="17">
        <f t="shared" si="3"/>
        <v>136.05442176870753</v>
      </c>
      <c r="O22" s="19">
        <f t="shared" si="4"/>
        <v>0</v>
      </c>
      <c r="P22" s="20">
        <f t="shared" si="5"/>
        <v>-6.8027210884353337</v>
      </c>
      <c r="Q22" s="505">
        <f t="shared" si="6"/>
        <v>0.95238095238095266</v>
      </c>
      <c r="R22" s="637"/>
      <c r="S22" s="40">
        <v>0.24027777777777778</v>
      </c>
      <c r="T22" s="40">
        <v>0.28402777777777777</v>
      </c>
      <c r="U22" s="502">
        <f t="shared" ref="U22:U27" si="22">IF(S22=TIME(17,0,0),"",(S22-T21)*24*60)</f>
        <v>8.0000000000000107</v>
      </c>
      <c r="V22" s="514">
        <f t="shared" si="21"/>
        <v>62.999999999999979</v>
      </c>
      <c r="W22" s="23"/>
      <c r="X22" s="502"/>
      <c r="Y22" s="502"/>
      <c r="Z22" s="502"/>
      <c r="AA22" s="632"/>
      <c r="AB22" s="632"/>
      <c r="AC22" s="135"/>
      <c r="AD22" s="25"/>
      <c r="AE22" s="19">
        <f t="shared" si="8"/>
        <v>-95.238095238094502</v>
      </c>
      <c r="AF22" s="505">
        <f t="shared" si="9"/>
        <v>0.95238095238095277</v>
      </c>
      <c r="AG22" s="637"/>
    </row>
    <row r="23" spans="1:33" ht="15.75" customHeight="1">
      <c r="A23" s="656" t="s">
        <v>309</v>
      </c>
      <c r="B23" s="42" t="s">
        <v>92</v>
      </c>
      <c r="C23" s="653" t="s">
        <v>112</v>
      </c>
      <c r="D23" s="653"/>
      <c r="E23" s="42">
        <v>53.27</v>
      </c>
      <c r="F23" s="515">
        <v>1002</v>
      </c>
      <c r="G23" s="502">
        <f t="shared" si="19"/>
        <v>53376.54</v>
      </c>
      <c r="H23" s="37" t="s">
        <v>91</v>
      </c>
      <c r="I23" s="513">
        <v>16</v>
      </c>
      <c r="J23" s="39">
        <v>2000</v>
      </c>
      <c r="K23" s="17">
        <f t="shared" si="1"/>
        <v>125</v>
      </c>
      <c r="L23" s="513">
        <v>16</v>
      </c>
      <c r="M23" s="18">
        <f t="shared" si="20"/>
        <v>1939.3548387096789</v>
      </c>
      <c r="N23" s="17">
        <f t="shared" si="3"/>
        <v>121.20967741935493</v>
      </c>
      <c r="O23" s="19">
        <f t="shared" si="4"/>
        <v>0</v>
      </c>
      <c r="P23" s="20">
        <f t="shared" si="5"/>
        <v>-3.7903225806450678</v>
      </c>
      <c r="Q23" s="505">
        <f t="shared" si="6"/>
        <v>0.96967741935483942</v>
      </c>
      <c r="R23" s="637"/>
      <c r="S23" s="40">
        <v>0.2895833333333333</v>
      </c>
      <c r="T23" s="40">
        <v>0.31111111111111106</v>
      </c>
      <c r="U23" s="502">
        <f t="shared" si="22"/>
        <v>7.9999999999999716</v>
      </c>
      <c r="V23" s="514">
        <f t="shared" si="21"/>
        <v>30.999999999999972</v>
      </c>
      <c r="W23" s="23"/>
      <c r="X23" s="502"/>
      <c r="Y23" s="502"/>
      <c r="Z23" s="502"/>
      <c r="AA23" s="632"/>
      <c r="AB23" s="632"/>
      <c r="AC23" s="135"/>
      <c r="AD23" s="25"/>
      <c r="AE23" s="19">
        <f t="shared" si="8"/>
        <v>-60.645161290321084</v>
      </c>
      <c r="AF23" s="505">
        <f t="shared" si="9"/>
        <v>0.96967741935483942</v>
      </c>
      <c r="AG23" s="637"/>
    </row>
    <row r="24" spans="1:33" ht="15.75" customHeight="1">
      <c r="A24" s="656" t="s">
        <v>309</v>
      </c>
      <c r="B24" s="42" t="s">
        <v>92</v>
      </c>
      <c r="C24" s="653" t="s">
        <v>133</v>
      </c>
      <c r="D24" s="653"/>
      <c r="E24" s="42">
        <v>59.04</v>
      </c>
      <c r="F24" s="515">
        <v>998</v>
      </c>
      <c r="G24" s="502">
        <f t="shared" si="19"/>
        <v>58921.919999999998</v>
      </c>
      <c r="H24" s="37" t="s">
        <v>91</v>
      </c>
      <c r="I24" s="513">
        <v>19</v>
      </c>
      <c r="J24" s="39">
        <v>2000</v>
      </c>
      <c r="K24" s="17">
        <f t="shared" si="1"/>
        <v>105.26315789473684</v>
      </c>
      <c r="L24" s="513">
        <v>19</v>
      </c>
      <c r="M24" s="18">
        <f t="shared" si="20"/>
        <v>1931.6129032258082</v>
      </c>
      <c r="N24" s="17">
        <f t="shared" si="3"/>
        <v>101.66383701188464</v>
      </c>
      <c r="O24" s="19">
        <f t="shared" si="4"/>
        <v>0</v>
      </c>
      <c r="P24" s="20">
        <f t="shared" si="5"/>
        <v>-3.5993208828521972</v>
      </c>
      <c r="Q24" s="505">
        <f t="shared" si="6"/>
        <v>0.96580645161290413</v>
      </c>
      <c r="R24" s="637"/>
      <c r="S24" s="40">
        <v>0.3166666666666666</v>
      </c>
      <c r="T24" s="40">
        <v>0.33819444444444435</v>
      </c>
      <c r="U24" s="502">
        <f t="shared" si="22"/>
        <v>7.9999999999999716</v>
      </c>
      <c r="V24" s="514">
        <f t="shared" si="21"/>
        <v>30.999999999999972</v>
      </c>
      <c r="W24" s="23"/>
      <c r="X24" s="502"/>
      <c r="Y24" s="502"/>
      <c r="Z24" s="502"/>
      <c r="AA24" s="632"/>
      <c r="AB24" s="632"/>
      <c r="AC24" s="135"/>
      <c r="AD24" s="25"/>
      <c r="AE24" s="19">
        <f t="shared" si="8"/>
        <v>-68.387096774191832</v>
      </c>
      <c r="AF24" s="505">
        <f t="shared" si="9"/>
        <v>0.96580645161290413</v>
      </c>
      <c r="AG24" s="637"/>
    </row>
    <row r="25" spans="1:33" ht="15.75" customHeight="1">
      <c r="A25" s="656" t="s">
        <v>2683</v>
      </c>
      <c r="B25" s="42" t="s">
        <v>92</v>
      </c>
      <c r="C25" s="653" t="s">
        <v>113</v>
      </c>
      <c r="D25" s="653"/>
      <c r="E25" s="42">
        <v>56.43</v>
      </c>
      <c r="F25" s="515">
        <v>1028</v>
      </c>
      <c r="G25" s="502">
        <f t="shared" si="19"/>
        <v>58010.04</v>
      </c>
      <c r="H25" s="37" t="s">
        <v>91</v>
      </c>
      <c r="I25" s="513">
        <v>13</v>
      </c>
      <c r="J25" s="39">
        <v>2000</v>
      </c>
      <c r="K25" s="17">
        <f t="shared" si="1"/>
        <v>153.84615384615384</v>
      </c>
      <c r="L25" s="513">
        <v>13</v>
      </c>
      <c r="M25" s="18">
        <f t="shared" si="20"/>
        <v>1927.4999999999975</v>
      </c>
      <c r="N25" s="17">
        <f t="shared" si="3"/>
        <v>148.26923076923057</v>
      </c>
      <c r="O25" s="19">
        <f t="shared" si="4"/>
        <v>0</v>
      </c>
      <c r="P25" s="20">
        <f t="shared" si="5"/>
        <v>-5.5769230769232649</v>
      </c>
      <c r="Q25" s="505">
        <f t="shared" si="6"/>
        <v>0.96374999999999877</v>
      </c>
      <c r="R25" s="637"/>
      <c r="S25" s="40">
        <v>0.70833333333333337</v>
      </c>
      <c r="T25" s="40">
        <v>0.73055555555555562</v>
      </c>
      <c r="U25" s="502" t="str">
        <f t="shared" si="22"/>
        <v/>
      </c>
      <c r="V25" s="514">
        <f t="shared" si="21"/>
        <v>32.000000000000043</v>
      </c>
      <c r="W25" s="23"/>
      <c r="X25" s="23"/>
      <c r="Y25" s="502"/>
      <c r="Z25" s="502"/>
      <c r="AA25" s="632"/>
      <c r="AB25" s="632"/>
      <c r="AC25" s="135"/>
      <c r="AD25" s="25"/>
      <c r="AE25" s="19">
        <f t="shared" si="8"/>
        <v>-72.500000000002501</v>
      </c>
      <c r="AF25" s="505">
        <f t="shared" si="9"/>
        <v>0.96374999999999877</v>
      </c>
      <c r="AG25" s="637"/>
    </row>
    <row r="26" spans="1:33" ht="15.75" customHeight="1">
      <c r="A26" s="656" t="s">
        <v>2683</v>
      </c>
      <c r="B26" s="42" t="s">
        <v>92</v>
      </c>
      <c r="C26" s="653" t="s">
        <v>95</v>
      </c>
      <c r="D26" s="653"/>
      <c r="E26" s="42">
        <v>50.67</v>
      </c>
      <c r="F26" s="515">
        <v>990</v>
      </c>
      <c r="G26" s="502">
        <f t="shared" si="19"/>
        <v>50163.3</v>
      </c>
      <c r="H26" s="37" t="s">
        <v>91</v>
      </c>
      <c r="I26" s="513">
        <v>15</v>
      </c>
      <c r="J26" s="39">
        <v>2000</v>
      </c>
      <c r="K26" s="17">
        <f t="shared" si="1"/>
        <v>133.33333333333334</v>
      </c>
      <c r="L26" s="513">
        <v>15</v>
      </c>
      <c r="M26" s="18">
        <f t="shared" si="20"/>
        <v>1916.1290322580614</v>
      </c>
      <c r="N26" s="17">
        <f t="shared" si="3"/>
        <v>127.74193548387076</v>
      </c>
      <c r="O26" s="19">
        <f t="shared" si="4"/>
        <v>0</v>
      </c>
      <c r="P26" s="20">
        <f t="shared" si="5"/>
        <v>-5.5913978494625809</v>
      </c>
      <c r="Q26" s="505">
        <f t="shared" si="6"/>
        <v>0.95806451612903065</v>
      </c>
      <c r="R26" s="637"/>
      <c r="S26" s="40">
        <v>0.73611111111111116</v>
      </c>
      <c r="T26" s="40">
        <v>0.75763888888888897</v>
      </c>
      <c r="U26" s="502">
        <f t="shared" si="22"/>
        <v>7.9999999999999716</v>
      </c>
      <c r="V26" s="514">
        <f t="shared" si="21"/>
        <v>31.00000000000005</v>
      </c>
      <c r="W26" s="23"/>
      <c r="X26" s="28"/>
      <c r="Y26" s="28"/>
      <c r="Z26" s="28"/>
      <c r="AA26" s="632"/>
      <c r="AB26" s="632"/>
      <c r="AC26" s="135"/>
      <c r="AD26" s="25"/>
      <c r="AE26" s="19">
        <f t="shared" si="8"/>
        <v>-83.870967741938557</v>
      </c>
      <c r="AF26" s="505">
        <f t="shared" si="9"/>
        <v>0.95806451612903076</v>
      </c>
      <c r="AG26" s="637"/>
    </row>
    <row r="27" spans="1:33" ht="15.75" customHeight="1">
      <c r="A27" s="656" t="s">
        <v>2683</v>
      </c>
      <c r="B27" s="42" t="s">
        <v>92</v>
      </c>
      <c r="C27" s="679" t="s">
        <v>140</v>
      </c>
      <c r="D27" s="680"/>
      <c r="E27" s="42">
        <v>51.06</v>
      </c>
      <c r="F27" s="515">
        <v>2374</v>
      </c>
      <c r="G27" s="502">
        <f t="shared" si="19"/>
        <v>121216.44</v>
      </c>
      <c r="H27" s="37" t="s">
        <v>91</v>
      </c>
      <c r="I27" s="513">
        <v>13</v>
      </c>
      <c r="J27" s="39">
        <v>2000</v>
      </c>
      <c r="K27" s="17">
        <f t="shared" si="1"/>
        <v>153.84615384615384</v>
      </c>
      <c r="L27" s="513">
        <v>13</v>
      </c>
      <c r="M27" s="18">
        <f t="shared" si="20"/>
        <v>1924.8648648648636</v>
      </c>
      <c r="N27" s="17">
        <f t="shared" si="3"/>
        <v>148.06652806652798</v>
      </c>
      <c r="O27" s="19">
        <f t="shared" si="4"/>
        <v>0</v>
      </c>
      <c r="P27" s="20">
        <f t="shared" si="5"/>
        <v>-5.7796257796258601</v>
      </c>
      <c r="Q27" s="505">
        <f t="shared" si="6"/>
        <v>0.96243243243243193</v>
      </c>
      <c r="R27" s="637"/>
      <c r="S27" s="40">
        <v>0.76250000000000007</v>
      </c>
      <c r="T27" s="40">
        <v>0.81388888888888899</v>
      </c>
      <c r="U27" s="502">
        <f t="shared" si="22"/>
        <v>6.9999999999999751</v>
      </c>
      <c r="V27" s="514">
        <f t="shared" si="21"/>
        <v>74.000000000000057</v>
      </c>
      <c r="W27" s="23"/>
      <c r="X27" s="28"/>
      <c r="Y27" s="136"/>
      <c r="Z27" s="136"/>
      <c r="AA27" s="627"/>
      <c r="AB27" s="628"/>
      <c r="AC27" s="135"/>
      <c r="AD27" s="25"/>
      <c r="AE27" s="19">
        <f t="shared" si="8"/>
        <v>-75.135135135136352</v>
      </c>
      <c r="AF27" s="505">
        <f t="shared" si="9"/>
        <v>0.96243243243243182</v>
      </c>
      <c r="AG27" s="637"/>
    </row>
    <row r="28" spans="1:33" ht="15.75" customHeight="1">
      <c r="A28" s="656" t="s">
        <v>2683</v>
      </c>
      <c r="B28" s="42" t="s">
        <v>2684</v>
      </c>
      <c r="C28" s="638"/>
      <c r="D28" s="638"/>
      <c r="E28" s="506"/>
      <c r="F28" s="515"/>
      <c r="G28" s="502"/>
      <c r="H28" s="515"/>
      <c r="I28" s="29">
        <v>15.285714285714286</v>
      </c>
      <c r="J28" s="39">
        <v>2000</v>
      </c>
      <c r="K28" s="17">
        <f t="shared" si="1"/>
        <v>130.84112149532709</v>
      </c>
      <c r="L28" s="29">
        <v>15.285714285714286</v>
      </c>
      <c r="M28" s="18">
        <f>AVERAGE(M21:M27)</f>
        <v>1922.1071228013984</v>
      </c>
      <c r="N28" s="17">
        <f t="shared" si="3"/>
        <v>125.74532579074568</v>
      </c>
      <c r="O28" s="19">
        <f t="shared" si="4"/>
        <v>0</v>
      </c>
      <c r="P28" s="20">
        <f t="shared" si="5"/>
        <v>-5.0957957045814055</v>
      </c>
      <c r="Q28" s="505">
        <f t="shared" si="6"/>
        <v>0.96105356140069931</v>
      </c>
      <c r="R28" s="637"/>
      <c r="S28" s="40"/>
      <c r="T28" s="40"/>
      <c r="U28" s="17"/>
      <c r="V28" s="514"/>
      <c r="W28" s="17"/>
      <c r="X28" s="17"/>
      <c r="Y28" s="30">
        <f>SUM(Y21:Y27)</f>
        <v>0</v>
      </c>
      <c r="Z28" s="30">
        <f>SUM(Z21:Z27)</f>
        <v>0</v>
      </c>
      <c r="AA28" s="631"/>
      <c r="AB28" s="631"/>
      <c r="AC28" s="30">
        <v>7</v>
      </c>
      <c r="AD28" s="30">
        <f>SUM(AD21:AD27)</f>
        <v>0</v>
      </c>
      <c r="AE28" s="19">
        <f t="shared" si="8"/>
        <v>-77.892877198601582</v>
      </c>
      <c r="AF28" s="505">
        <f t="shared" si="9"/>
        <v>0.9610535614006992</v>
      </c>
      <c r="AG28" s="637"/>
    </row>
    <row r="29" spans="1:33" ht="15.75" customHeight="1">
      <c r="A29" s="654" t="s">
        <v>2685</v>
      </c>
      <c r="B29" s="42" t="s">
        <v>116</v>
      </c>
      <c r="C29" s="653" t="s">
        <v>117</v>
      </c>
      <c r="D29" s="653"/>
      <c r="E29" s="42">
        <v>31.29</v>
      </c>
      <c r="F29" s="515">
        <v>6354</v>
      </c>
      <c r="G29" s="502">
        <f t="shared" ref="G29:G33" si="23">E29*F29</f>
        <v>198816.66</v>
      </c>
      <c r="H29" s="37" t="s">
        <v>91</v>
      </c>
      <c r="I29" s="513">
        <v>18</v>
      </c>
      <c r="J29" s="39">
        <v>2400</v>
      </c>
      <c r="K29" s="17">
        <f t="shared" si="1"/>
        <v>133.33333333333334</v>
      </c>
      <c r="L29" s="513">
        <v>18</v>
      </c>
      <c r="M29" s="18">
        <f t="shared" ref="M29:M33" si="24">F29/V29*60</f>
        <v>2296.6265060240962</v>
      </c>
      <c r="N29" s="17">
        <f t="shared" si="3"/>
        <v>127.59036144578312</v>
      </c>
      <c r="O29" s="19">
        <f t="shared" si="4"/>
        <v>0</v>
      </c>
      <c r="P29" s="20">
        <f t="shared" si="5"/>
        <v>-5.742971887550226</v>
      </c>
      <c r="Q29" s="505">
        <f t="shared" si="6"/>
        <v>0.95692771084337336</v>
      </c>
      <c r="R29" s="637">
        <f>Q34</f>
        <v>0.96219382069865522</v>
      </c>
      <c r="S29" s="40">
        <v>8.3333333333333329E-2</v>
      </c>
      <c r="T29" s="40">
        <v>0.1986111111111111</v>
      </c>
      <c r="U29" s="502"/>
      <c r="V29" s="514">
        <f t="shared" ref="V29:V33" si="25">(T29-S29)*24*60</f>
        <v>166</v>
      </c>
      <c r="W29" s="23">
        <f>T29</f>
        <v>0.1986111111111111</v>
      </c>
      <c r="X29" s="23">
        <f>S30</f>
        <v>0.21597222222222218</v>
      </c>
      <c r="Y29" s="23"/>
      <c r="Z29" s="23"/>
      <c r="AA29" s="632"/>
      <c r="AB29" s="632"/>
      <c r="AC29" s="135">
        <v>5</v>
      </c>
      <c r="AD29" s="25"/>
      <c r="AE29" s="19">
        <f t="shared" si="8"/>
        <v>-103.37349397590378</v>
      </c>
      <c r="AF29" s="505">
        <f t="shared" si="9"/>
        <v>0.95692771084337347</v>
      </c>
      <c r="AG29" s="637">
        <f>AF34</f>
        <v>0.96219382069865522</v>
      </c>
    </row>
    <row r="30" spans="1:33" ht="15.75" customHeight="1">
      <c r="A30" s="654" t="s">
        <v>2685</v>
      </c>
      <c r="B30" s="42" t="s">
        <v>116</v>
      </c>
      <c r="C30" s="653" t="s">
        <v>118</v>
      </c>
      <c r="D30" s="653"/>
      <c r="E30" s="42">
        <v>26.37</v>
      </c>
      <c r="F30" s="515">
        <v>4791</v>
      </c>
      <c r="G30" s="502">
        <f t="shared" si="23"/>
        <v>126338.67</v>
      </c>
      <c r="H30" s="37" t="s">
        <v>91</v>
      </c>
      <c r="I30" s="513">
        <v>18</v>
      </c>
      <c r="J30" s="39">
        <v>2400</v>
      </c>
      <c r="K30" s="17">
        <f t="shared" si="1"/>
        <v>133.33333333333334</v>
      </c>
      <c r="L30" s="513">
        <v>18</v>
      </c>
      <c r="M30" s="18">
        <f t="shared" si="24"/>
        <v>2299.6799999999994</v>
      </c>
      <c r="N30" s="17">
        <f t="shared" si="3"/>
        <v>127.75999999999996</v>
      </c>
      <c r="O30" s="19">
        <f t="shared" si="4"/>
        <v>0</v>
      </c>
      <c r="P30" s="20">
        <f t="shared" si="5"/>
        <v>-5.5733333333333803</v>
      </c>
      <c r="Q30" s="505">
        <f t="shared" si="6"/>
        <v>0.95819999999999961</v>
      </c>
      <c r="R30" s="637"/>
      <c r="S30" s="40">
        <v>0.21597222222222218</v>
      </c>
      <c r="T30" s="40">
        <v>0.30277777777777776</v>
      </c>
      <c r="U30" s="502">
        <f t="shared" ref="U30:U33" si="26">(S30-T29)*24*60</f>
        <v>24.99999999999995</v>
      </c>
      <c r="V30" s="514">
        <f t="shared" si="25"/>
        <v>125.00000000000003</v>
      </c>
      <c r="W30" s="23"/>
      <c r="X30" s="23"/>
      <c r="Y30" s="23"/>
      <c r="Z30" s="23"/>
      <c r="AA30" s="632"/>
      <c r="AB30" s="632"/>
      <c r="AC30" s="135"/>
      <c r="AD30" s="25"/>
      <c r="AE30" s="19">
        <f t="shared" si="8"/>
        <v>-100.32000000000062</v>
      </c>
      <c r="AF30" s="505">
        <f t="shared" si="9"/>
        <v>0.95819999999999972</v>
      </c>
      <c r="AG30" s="637"/>
    </row>
    <row r="31" spans="1:33" ht="15.75" customHeight="1">
      <c r="A31" s="654" t="s">
        <v>2686</v>
      </c>
      <c r="B31" s="42" t="s">
        <v>116</v>
      </c>
      <c r="C31" s="653" t="s">
        <v>124</v>
      </c>
      <c r="D31" s="653"/>
      <c r="E31" s="42">
        <v>24.43</v>
      </c>
      <c r="F31" s="515">
        <v>5373</v>
      </c>
      <c r="G31" s="502">
        <f t="shared" si="23"/>
        <v>131262.38999999998</v>
      </c>
      <c r="H31" s="37" t="s">
        <v>91</v>
      </c>
      <c r="I31" s="513">
        <v>14</v>
      </c>
      <c r="J31" s="39">
        <v>2400</v>
      </c>
      <c r="K31" s="17">
        <f t="shared" si="1"/>
        <v>171.42857142857142</v>
      </c>
      <c r="L31" s="513">
        <v>14</v>
      </c>
      <c r="M31" s="18">
        <f t="shared" si="24"/>
        <v>2286.3829787234044</v>
      </c>
      <c r="N31" s="17">
        <f t="shared" si="3"/>
        <v>163.31306990881461</v>
      </c>
      <c r="O31" s="19">
        <f t="shared" si="4"/>
        <v>0</v>
      </c>
      <c r="P31" s="20">
        <f t="shared" si="5"/>
        <v>-8.1155015197568048</v>
      </c>
      <c r="Q31" s="505">
        <f t="shared" si="6"/>
        <v>0.95265957446808536</v>
      </c>
      <c r="R31" s="637"/>
      <c r="S31" s="40">
        <v>0.30763888888888885</v>
      </c>
      <c r="T31" s="40">
        <v>0.4055555555555555</v>
      </c>
      <c r="U31" s="502">
        <f t="shared" si="26"/>
        <v>6.9999999999999751</v>
      </c>
      <c r="V31" s="514">
        <f t="shared" si="25"/>
        <v>140.99999999999997</v>
      </c>
      <c r="W31" s="23"/>
      <c r="X31" s="23"/>
      <c r="Y31" s="23"/>
      <c r="Z31" s="23"/>
      <c r="AA31" s="632"/>
      <c r="AB31" s="632"/>
      <c r="AC31" s="135"/>
      <c r="AD31" s="25"/>
      <c r="AE31" s="19">
        <f t="shared" si="8"/>
        <v>-113.61702127659555</v>
      </c>
      <c r="AF31" s="505">
        <f t="shared" si="9"/>
        <v>0.95265957446808514</v>
      </c>
      <c r="AG31" s="637"/>
    </row>
    <row r="32" spans="1:33" ht="15.75" customHeight="1">
      <c r="A32" s="654" t="s">
        <v>2686</v>
      </c>
      <c r="B32" s="42" t="s">
        <v>116</v>
      </c>
      <c r="C32" s="653" t="s">
        <v>147</v>
      </c>
      <c r="D32" s="653"/>
      <c r="E32" s="42">
        <v>25.98</v>
      </c>
      <c r="F32" s="515">
        <v>1680</v>
      </c>
      <c r="G32" s="502">
        <f t="shared" si="23"/>
        <v>43646.400000000001</v>
      </c>
      <c r="H32" s="37" t="s">
        <v>91</v>
      </c>
      <c r="I32" s="513">
        <v>17</v>
      </c>
      <c r="J32" s="39">
        <v>2400</v>
      </c>
      <c r="K32" s="17">
        <f t="shared" si="1"/>
        <v>141.1764705882353</v>
      </c>
      <c r="L32" s="513">
        <v>17</v>
      </c>
      <c r="M32" s="18">
        <f t="shared" si="24"/>
        <v>2290.909090909091</v>
      </c>
      <c r="N32" s="17">
        <f t="shared" si="3"/>
        <v>134.75935828877004</v>
      </c>
      <c r="O32" s="19">
        <f t="shared" si="4"/>
        <v>0</v>
      </c>
      <c r="P32" s="20">
        <f t="shared" si="5"/>
        <v>-6.4171122994652592</v>
      </c>
      <c r="Q32" s="505">
        <f t="shared" si="6"/>
        <v>0.95454545454545436</v>
      </c>
      <c r="R32" s="637"/>
      <c r="S32" s="40">
        <v>0.4104166666666666</v>
      </c>
      <c r="T32" s="40">
        <v>0.44097222222222215</v>
      </c>
      <c r="U32" s="502">
        <f t="shared" si="26"/>
        <v>6.9999999999999751</v>
      </c>
      <c r="V32" s="514">
        <f t="shared" si="25"/>
        <v>44</v>
      </c>
      <c r="W32" s="23"/>
      <c r="X32" s="23"/>
      <c r="Y32" s="23"/>
      <c r="Z32" s="23"/>
      <c r="AA32" s="632"/>
      <c r="AB32" s="632"/>
      <c r="AC32" s="135"/>
      <c r="AD32" s="25"/>
      <c r="AE32" s="19">
        <f t="shared" si="8"/>
        <v>-109.09090909090901</v>
      </c>
      <c r="AF32" s="505">
        <f t="shared" si="9"/>
        <v>0.95454545454545459</v>
      </c>
      <c r="AG32" s="637"/>
    </row>
    <row r="33" spans="1:33" ht="15.75" customHeight="1">
      <c r="A33" s="654" t="s">
        <v>2686</v>
      </c>
      <c r="B33" s="42" t="s">
        <v>116</v>
      </c>
      <c r="C33" s="653" t="s">
        <v>120</v>
      </c>
      <c r="D33" s="653"/>
      <c r="E33" s="42">
        <v>25.99</v>
      </c>
      <c r="F33" s="515">
        <v>870</v>
      </c>
      <c r="G33" s="502">
        <f t="shared" si="23"/>
        <v>22611.3</v>
      </c>
      <c r="H33" s="37" t="s">
        <v>91</v>
      </c>
      <c r="I33" s="513">
        <v>18</v>
      </c>
      <c r="J33" s="39">
        <v>2400</v>
      </c>
      <c r="K33" s="17">
        <f t="shared" si="1"/>
        <v>133.33333333333334</v>
      </c>
      <c r="L33" s="513">
        <v>18</v>
      </c>
      <c r="M33" s="18">
        <f t="shared" si="24"/>
        <v>2372.727272727273</v>
      </c>
      <c r="N33" s="17">
        <f t="shared" si="3"/>
        <v>131.81818181818184</v>
      </c>
      <c r="O33" s="19">
        <f t="shared" si="4"/>
        <v>0</v>
      </c>
      <c r="P33" s="20">
        <f t="shared" si="5"/>
        <v>-1.5151515151515014</v>
      </c>
      <c r="Q33" s="505">
        <f t="shared" si="6"/>
        <v>0.98863636363636376</v>
      </c>
      <c r="R33" s="637"/>
      <c r="S33" s="40">
        <v>0.44444444444444436</v>
      </c>
      <c r="T33" s="40">
        <v>0.45972222222222214</v>
      </c>
      <c r="U33" s="502">
        <f t="shared" si="26"/>
        <v>4.9999999999999822</v>
      </c>
      <c r="V33" s="514">
        <f t="shared" si="25"/>
        <v>22</v>
      </c>
      <c r="W33" s="23"/>
      <c r="X33" s="23"/>
      <c r="Y33" s="23"/>
      <c r="Z33" s="23"/>
      <c r="AA33" s="632"/>
      <c r="AB33" s="632"/>
      <c r="AC33" s="135"/>
      <c r="AD33" s="25"/>
      <c r="AE33" s="19">
        <f t="shared" si="8"/>
        <v>-27.272727272727025</v>
      </c>
      <c r="AF33" s="505">
        <f t="shared" si="9"/>
        <v>0.98863636363636376</v>
      </c>
      <c r="AG33" s="637"/>
    </row>
    <row r="34" spans="1:33" ht="15.75" customHeight="1">
      <c r="A34" s="654" t="s">
        <v>2685</v>
      </c>
      <c r="B34" s="42" t="s">
        <v>2687</v>
      </c>
      <c r="C34" s="638"/>
      <c r="D34" s="638"/>
      <c r="E34" s="506"/>
      <c r="F34" s="515"/>
      <c r="G34" s="502"/>
      <c r="H34" s="515"/>
      <c r="I34" s="29">
        <v>17</v>
      </c>
      <c r="J34" s="39">
        <v>2400</v>
      </c>
      <c r="K34" s="17">
        <f t="shared" si="1"/>
        <v>141.1764705882353</v>
      </c>
      <c r="L34" s="29">
        <v>17</v>
      </c>
      <c r="M34" s="18">
        <f>AVERAGE(M29:M33)</f>
        <v>2309.2651696767725</v>
      </c>
      <c r="N34" s="17">
        <f t="shared" si="3"/>
        <v>135.83912762804545</v>
      </c>
      <c r="O34" s="19">
        <f t="shared" si="4"/>
        <v>0</v>
      </c>
      <c r="P34" s="20">
        <f t="shared" si="5"/>
        <v>-5.3373429601898579</v>
      </c>
      <c r="Q34" s="505">
        <f t="shared" si="6"/>
        <v>0.96219382069865522</v>
      </c>
      <c r="R34" s="637"/>
      <c r="S34" s="40"/>
      <c r="T34" s="40"/>
      <c r="U34" s="502"/>
      <c r="V34" s="514"/>
      <c r="W34" s="502"/>
      <c r="X34" s="502"/>
      <c r="Y34" s="30">
        <f>SUM(Y29:Y33)</f>
        <v>0</v>
      </c>
      <c r="Z34" s="30">
        <f>SUM(Z29:Z33)</f>
        <v>0</v>
      </c>
      <c r="AA34" s="631"/>
      <c r="AB34" s="631"/>
      <c r="AC34" s="30">
        <v>5</v>
      </c>
      <c r="AD34" s="30">
        <f>SUM(AD29:AD33)</f>
        <v>0</v>
      </c>
      <c r="AE34" s="19">
        <f t="shared" si="8"/>
        <v>-90.73483032322747</v>
      </c>
      <c r="AF34" s="505">
        <f t="shared" si="9"/>
        <v>0.96219382069865522</v>
      </c>
      <c r="AG34" s="637"/>
    </row>
    <row r="35" spans="1:33" ht="15.75" customHeight="1">
      <c r="A35" s="651" t="s">
        <v>2688</v>
      </c>
      <c r="B35" s="42" t="s">
        <v>116</v>
      </c>
      <c r="C35" s="633" t="s">
        <v>123</v>
      </c>
      <c r="D35" s="633"/>
      <c r="E35" s="42">
        <v>26.18</v>
      </c>
      <c r="F35" s="515">
        <v>4519</v>
      </c>
      <c r="G35" s="502">
        <f t="shared" ref="G35:G39" si="27">E35*F35</f>
        <v>118307.42</v>
      </c>
      <c r="H35" s="37" t="s">
        <v>91</v>
      </c>
      <c r="I35" s="513">
        <v>20</v>
      </c>
      <c r="J35" s="39">
        <v>2400</v>
      </c>
      <c r="K35" s="17">
        <f t="shared" si="1"/>
        <v>120</v>
      </c>
      <c r="L35" s="513">
        <v>20</v>
      </c>
      <c r="M35" s="18">
        <f t="shared" ref="M35:M39" si="28">F35/V35*60</f>
        <v>2297.7966101694915</v>
      </c>
      <c r="N35" s="17">
        <f t="shared" si="3"/>
        <v>114.88983050847457</v>
      </c>
      <c r="O35" s="19">
        <f t="shared" si="4"/>
        <v>0</v>
      </c>
      <c r="P35" s="20">
        <f t="shared" si="5"/>
        <v>-5.1101694915254257</v>
      </c>
      <c r="Q35" s="505">
        <f t="shared" si="6"/>
        <v>0.95741525423728813</v>
      </c>
      <c r="R35" s="637">
        <f>Q40</f>
        <v>0.95739057681172224</v>
      </c>
      <c r="S35" s="40">
        <v>8.3333333333333329E-2</v>
      </c>
      <c r="T35" s="40">
        <v>0.16527777777777777</v>
      </c>
      <c r="U35" s="502"/>
      <c r="V35" s="514">
        <f t="shared" ref="V35:V39" si="29">(T35-S35)*24*60</f>
        <v>118</v>
      </c>
      <c r="W35" s="28">
        <f>T35</f>
        <v>0.16527777777777777</v>
      </c>
      <c r="X35" s="28">
        <f>S36</f>
        <v>0.18611111111111112</v>
      </c>
      <c r="Y35" s="28"/>
      <c r="Z35" s="28"/>
      <c r="AA35" s="632"/>
      <c r="AB35" s="632"/>
      <c r="AC35" s="135">
        <v>5</v>
      </c>
      <c r="AD35" s="25"/>
      <c r="AE35" s="19">
        <f t="shared" si="8"/>
        <v>-102.20338983050851</v>
      </c>
      <c r="AF35" s="505">
        <f t="shared" si="9"/>
        <v>0.95741525423728813</v>
      </c>
      <c r="AG35" s="637">
        <f>AF40</f>
        <v>0.95739057681172224</v>
      </c>
    </row>
    <row r="36" spans="1:33" ht="15.75" customHeight="1">
      <c r="A36" s="651" t="s">
        <v>2689</v>
      </c>
      <c r="B36" s="42" t="s">
        <v>116</v>
      </c>
      <c r="C36" s="633" t="s">
        <v>150</v>
      </c>
      <c r="D36" s="633"/>
      <c r="E36" s="42">
        <v>23.89</v>
      </c>
      <c r="F36" s="515">
        <v>1159</v>
      </c>
      <c r="G36" s="502">
        <f t="shared" si="27"/>
        <v>27688.510000000002</v>
      </c>
      <c r="H36" s="37" t="s">
        <v>91</v>
      </c>
      <c r="I36" s="513">
        <v>13</v>
      </c>
      <c r="J36" s="39">
        <v>2400</v>
      </c>
      <c r="K36" s="17">
        <f t="shared" si="1"/>
        <v>184.61538461538461</v>
      </c>
      <c r="L36" s="513">
        <v>13</v>
      </c>
      <c r="M36" s="18">
        <f t="shared" si="28"/>
        <v>2317.9999999999986</v>
      </c>
      <c r="N36" s="17">
        <f t="shared" si="3"/>
        <v>178.30769230769221</v>
      </c>
      <c r="O36" s="19">
        <f t="shared" si="4"/>
        <v>0</v>
      </c>
      <c r="P36" s="20">
        <f t="shared" si="5"/>
        <v>-6.3076923076924061</v>
      </c>
      <c r="Q36" s="505">
        <f t="shared" si="6"/>
        <v>0.96583333333333277</v>
      </c>
      <c r="R36" s="637"/>
      <c r="S36" s="40">
        <v>0.18611111111111112</v>
      </c>
      <c r="T36" s="40">
        <v>0.20694444444444446</v>
      </c>
      <c r="U36" s="502">
        <f t="shared" ref="U36:U39" si="30">(S36-T35)*24*60</f>
        <v>30.000000000000014</v>
      </c>
      <c r="V36" s="514">
        <f t="shared" si="29"/>
        <v>30.000000000000014</v>
      </c>
      <c r="W36" s="502"/>
      <c r="X36" s="502"/>
      <c r="Y36" s="502"/>
      <c r="Z36" s="502"/>
      <c r="AA36" s="632"/>
      <c r="AB36" s="632"/>
      <c r="AC36" s="135"/>
      <c r="AD36" s="25"/>
      <c r="AE36" s="19">
        <f t="shared" si="8"/>
        <v>-82.000000000001364</v>
      </c>
      <c r="AF36" s="505">
        <f t="shared" si="9"/>
        <v>0.96583333333333277</v>
      </c>
      <c r="AG36" s="637"/>
    </row>
    <row r="37" spans="1:33">
      <c r="A37" s="652" t="s">
        <v>2688</v>
      </c>
      <c r="B37" s="42" t="s">
        <v>116</v>
      </c>
      <c r="C37" s="633" t="s">
        <v>119</v>
      </c>
      <c r="D37" s="633"/>
      <c r="E37" s="42">
        <v>26.18</v>
      </c>
      <c r="F37" s="515">
        <v>6256</v>
      </c>
      <c r="G37" s="502">
        <f t="shared" si="27"/>
        <v>163782.07999999999</v>
      </c>
      <c r="H37" s="37" t="s">
        <v>91</v>
      </c>
      <c r="I37" s="513">
        <v>18</v>
      </c>
      <c r="J37" s="39">
        <v>2400</v>
      </c>
      <c r="K37" s="17">
        <f t="shared" si="1"/>
        <v>133.33333333333334</v>
      </c>
      <c r="L37" s="513">
        <v>18</v>
      </c>
      <c r="M37" s="18">
        <f t="shared" si="28"/>
        <v>2288.7804878048787</v>
      </c>
      <c r="N37" s="17">
        <f t="shared" si="3"/>
        <v>127.15447154471548</v>
      </c>
      <c r="O37" s="19">
        <f t="shared" si="4"/>
        <v>0</v>
      </c>
      <c r="P37" s="20">
        <f t="shared" si="5"/>
        <v>-6.1788617886178656</v>
      </c>
      <c r="Q37" s="505">
        <f t="shared" si="6"/>
        <v>0.95365853658536603</v>
      </c>
      <c r="R37" s="637"/>
      <c r="S37" s="40">
        <v>0.21250000000000002</v>
      </c>
      <c r="T37" s="40">
        <v>0.3263888888888889</v>
      </c>
      <c r="U37" s="502">
        <f t="shared" si="30"/>
        <v>8.0000000000000107</v>
      </c>
      <c r="V37" s="514">
        <f t="shared" si="29"/>
        <v>163.99999999999997</v>
      </c>
      <c r="W37" s="502"/>
      <c r="X37" s="502"/>
      <c r="Y37" s="502"/>
      <c r="Z37" s="502"/>
      <c r="AA37" s="632"/>
      <c r="AB37" s="632"/>
      <c r="AC37" s="135"/>
      <c r="AD37" s="25"/>
      <c r="AE37" s="19">
        <f t="shared" si="8"/>
        <v>-111.2195121951213</v>
      </c>
      <c r="AF37" s="505">
        <f t="shared" si="9"/>
        <v>0.95365853658536615</v>
      </c>
      <c r="AG37" s="637"/>
    </row>
    <row r="38" spans="1:33">
      <c r="A38" s="652" t="s">
        <v>2690</v>
      </c>
      <c r="B38" s="42" t="s">
        <v>116</v>
      </c>
      <c r="C38" s="633" t="s">
        <v>121</v>
      </c>
      <c r="D38" s="633"/>
      <c r="E38" s="42">
        <v>25.99</v>
      </c>
      <c r="F38" s="515">
        <v>3013</v>
      </c>
      <c r="G38" s="502">
        <f t="shared" si="27"/>
        <v>78307.87</v>
      </c>
      <c r="H38" s="37" t="s">
        <v>91</v>
      </c>
      <c r="I38" s="513">
        <v>14</v>
      </c>
      <c r="J38" s="39">
        <v>2400</v>
      </c>
      <c r="K38" s="17">
        <f t="shared" si="1"/>
        <v>171.42857142857142</v>
      </c>
      <c r="L38" s="513">
        <v>14</v>
      </c>
      <c r="M38" s="18">
        <f t="shared" si="28"/>
        <v>2288.3544303797485</v>
      </c>
      <c r="N38" s="17">
        <f t="shared" si="3"/>
        <v>163.45388788426774</v>
      </c>
      <c r="O38" s="19">
        <f t="shared" si="4"/>
        <v>0</v>
      </c>
      <c r="P38" s="20">
        <f t="shared" si="5"/>
        <v>-7.974683544303673</v>
      </c>
      <c r="Q38" s="505">
        <f t="shared" si="6"/>
        <v>0.9534810126582286</v>
      </c>
      <c r="R38" s="637"/>
      <c r="S38" s="40">
        <v>0.3298611111111111</v>
      </c>
      <c r="T38" s="40">
        <v>0.38472222222222219</v>
      </c>
      <c r="U38" s="502">
        <f t="shared" si="30"/>
        <v>4.9999999999999822</v>
      </c>
      <c r="V38" s="514">
        <f t="shared" si="29"/>
        <v>78.999999999999957</v>
      </c>
      <c r="W38" s="23"/>
      <c r="X38" s="23"/>
      <c r="Y38" s="23"/>
      <c r="Z38" s="23"/>
      <c r="AA38" s="632"/>
      <c r="AB38" s="632"/>
      <c r="AC38" s="135"/>
      <c r="AD38" s="25"/>
      <c r="AE38" s="19">
        <f t="shared" si="8"/>
        <v>-111.64556962025154</v>
      </c>
      <c r="AF38" s="505">
        <f t="shared" si="9"/>
        <v>0.95348101265822849</v>
      </c>
      <c r="AG38" s="637"/>
    </row>
    <row r="39" spans="1:33">
      <c r="A39" s="652" t="s">
        <v>311</v>
      </c>
      <c r="B39" s="42" t="s">
        <v>116</v>
      </c>
      <c r="C39" s="633" t="s">
        <v>126</v>
      </c>
      <c r="D39" s="633"/>
      <c r="E39" s="42">
        <v>34.1</v>
      </c>
      <c r="F39" s="515">
        <v>4870</v>
      </c>
      <c r="G39" s="502">
        <f t="shared" si="27"/>
        <v>166067</v>
      </c>
      <c r="H39" s="37" t="s">
        <v>91</v>
      </c>
      <c r="I39" s="513">
        <v>17</v>
      </c>
      <c r="J39" s="39">
        <v>1600</v>
      </c>
      <c r="K39" s="17">
        <f t="shared" si="1"/>
        <v>94.117647058823536</v>
      </c>
      <c r="L39" s="513">
        <v>17</v>
      </c>
      <c r="M39" s="18">
        <f t="shared" si="28"/>
        <v>1529.842931937173</v>
      </c>
      <c r="N39" s="17">
        <f t="shared" si="3"/>
        <v>89.990760702186648</v>
      </c>
      <c r="O39" s="19">
        <f t="shared" si="4"/>
        <v>0</v>
      </c>
      <c r="P39" s="20">
        <f t="shared" si="5"/>
        <v>-4.1268863566368879</v>
      </c>
      <c r="Q39" s="505">
        <f t="shared" si="6"/>
        <v>0.9561518324607331</v>
      </c>
      <c r="R39" s="637"/>
      <c r="S39" s="40">
        <v>0.38958333333333328</v>
      </c>
      <c r="T39" s="40">
        <v>0.52222222222222214</v>
      </c>
      <c r="U39" s="502">
        <f t="shared" si="30"/>
        <v>6.9999999999999751</v>
      </c>
      <c r="V39" s="514">
        <f t="shared" si="29"/>
        <v>190.99999999999997</v>
      </c>
      <c r="W39" s="23"/>
      <c r="X39" s="23"/>
      <c r="Y39" s="23"/>
      <c r="Z39" s="23"/>
      <c r="AA39" s="632"/>
      <c r="AB39" s="632"/>
      <c r="AC39" s="135"/>
      <c r="AD39" s="25"/>
      <c r="AE39" s="19">
        <f t="shared" si="8"/>
        <v>-70.157068062826966</v>
      </c>
      <c r="AF39" s="505">
        <f t="shared" si="9"/>
        <v>0.9561518324607331</v>
      </c>
      <c r="AG39" s="637"/>
    </row>
    <row r="40" spans="1:33">
      <c r="A40" s="652" t="s">
        <v>2688</v>
      </c>
      <c r="B40" s="44" t="s">
        <v>305</v>
      </c>
      <c r="C40" s="638"/>
      <c r="D40" s="638"/>
      <c r="E40" s="506"/>
      <c r="F40" s="44"/>
      <c r="G40" s="17"/>
      <c r="H40" s="515"/>
      <c r="I40" s="29">
        <v>16.399999999999999</v>
      </c>
      <c r="J40" s="39">
        <v>2240</v>
      </c>
      <c r="K40" s="17">
        <f t="shared" si="1"/>
        <v>136.58536585365854</v>
      </c>
      <c r="L40" s="29">
        <v>16.399999999999999</v>
      </c>
      <c r="M40" s="18">
        <f>AVERAGE(M35:M39)</f>
        <v>2144.5548920582578</v>
      </c>
      <c r="N40" s="17">
        <f t="shared" si="3"/>
        <v>130.76554219867427</v>
      </c>
      <c r="O40" s="19">
        <f t="shared" si="4"/>
        <v>0</v>
      </c>
      <c r="P40" s="20">
        <f t="shared" si="5"/>
        <v>-5.8198236549842761</v>
      </c>
      <c r="Q40" s="505">
        <f t="shared" si="6"/>
        <v>0.95739057681172224</v>
      </c>
      <c r="R40" s="637"/>
      <c r="S40" s="40"/>
      <c r="T40" s="40"/>
      <c r="U40" s="17"/>
      <c r="V40" s="514"/>
      <c r="W40" s="17"/>
      <c r="X40" s="17"/>
      <c r="Y40" s="30">
        <f>SUM(Y35:Y39)</f>
        <v>0</v>
      </c>
      <c r="Z40" s="30">
        <f>SUM(Z35:Z39)</f>
        <v>0</v>
      </c>
      <c r="AA40" s="631"/>
      <c r="AB40" s="631"/>
      <c r="AC40" s="30">
        <v>5</v>
      </c>
      <c r="AD40" s="30">
        <f>SUM(AD35:AD39)</f>
        <v>0</v>
      </c>
      <c r="AE40" s="19">
        <f t="shared" si="8"/>
        <v>-95.445107941742208</v>
      </c>
      <c r="AF40" s="505">
        <f t="shared" si="9"/>
        <v>0.95739057681172224</v>
      </c>
      <c r="AG40" s="637"/>
    </row>
    <row r="41" spans="1:33" ht="15.75" customHeight="1">
      <c r="A41" s="648" t="s">
        <v>312</v>
      </c>
      <c r="B41" s="42" t="s">
        <v>127</v>
      </c>
      <c r="C41" s="625" t="s">
        <v>128</v>
      </c>
      <c r="D41" s="626"/>
      <c r="E41" s="42">
        <v>21.13</v>
      </c>
      <c r="F41" s="515">
        <v>4158</v>
      </c>
      <c r="G41" s="502">
        <f t="shared" ref="G41:G43" si="31">E41*F41</f>
        <v>87858.54</v>
      </c>
      <c r="H41" s="37" t="s">
        <v>91</v>
      </c>
      <c r="I41" s="513">
        <v>10</v>
      </c>
      <c r="J41" s="39">
        <v>3000</v>
      </c>
      <c r="K41" s="17">
        <f t="shared" si="1"/>
        <v>300</v>
      </c>
      <c r="L41" s="513">
        <v>10</v>
      </c>
      <c r="M41" s="18">
        <f t="shared" ref="M41:M43" si="32">F41/V41*60</f>
        <v>2867.5862068965525</v>
      </c>
      <c r="N41" s="18">
        <f t="shared" si="3"/>
        <v>286.75862068965523</v>
      </c>
      <c r="O41" s="19">
        <f t="shared" si="4"/>
        <v>0</v>
      </c>
      <c r="P41" s="20">
        <f t="shared" si="5"/>
        <v>-13.241379310344769</v>
      </c>
      <c r="Q41" s="505">
        <f t="shared" si="6"/>
        <v>0.9558620689655174</v>
      </c>
      <c r="R41" s="643">
        <f>Q44</f>
        <v>0.95491411486332634</v>
      </c>
      <c r="S41" s="40">
        <v>0.20833333333333334</v>
      </c>
      <c r="T41" s="40">
        <v>0.26874999999999999</v>
      </c>
      <c r="U41" s="28"/>
      <c r="V41" s="514">
        <f t="shared" ref="V41:V43" si="33">(T41-S41)*24*60</f>
        <v>86.999999999999972</v>
      </c>
      <c r="W41" s="23"/>
      <c r="X41" s="23"/>
      <c r="Y41" s="26"/>
      <c r="Z41" s="26"/>
      <c r="AA41" s="627"/>
      <c r="AB41" s="628"/>
      <c r="AC41" s="135">
        <v>3</v>
      </c>
      <c r="AD41" s="25"/>
      <c r="AE41" s="19">
        <f t="shared" si="8"/>
        <v>-132.41379310344746</v>
      </c>
      <c r="AF41" s="505">
        <f t="shared" si="9"/>
        <v>0.95586206896551751</v>
      </c>
      <c r="AG41" s="643">
        <f>AF44</f>
        <v>0.95491411486332634</v>
      </c>
    </row>
    <row r="42" spans="1:33" ht="15.75" customHeight="1">
      <c r="A42" s="649" t="s">
        <v>2691</v>
      </c>
      <c r="B42" s="42" t="s">
        <v>127</v>
      </c>
      <c r="C42" s="625" t="s">
        <v>129</v>
      </c>
      <c r="D42" s="626"/>
      <c r="E42" s="42">
        <v>27.17</v>
      </c>
      <c r="F42" s="515">
        <v>4120</v>
      </c>
      <c r="G42" s="502">
        <f t="shared" si="31"/>
        <v>111940.40000000001</v>
      </c>
      <c r="H42" s="37" t="s">
        <v>91</v>
      </c>
      <c r="I42" s="513">
        <v>10</v>
      </c>
      <c r="J42" s="39">
        <v>3000</v>
      </c>
      <c r="K42" s="17">
        <f t="shared" si="1"/>
        <v>300</v>
      </c>
      <c r="L42" s="513">
        <v>10</v>
      </c>
      <c r="M42" s="18">
        <f t="shared" si="32"/>
        <v>2874.4186046511622</v>
      </c>
      <c r="N42" s="18">
        <f t="shared" si="3"/>
        <v>287.44186046511624</v>
      </c>
      <c r="O42" s="19">
        <f t="shared" si="4"/>
        <v>0</v>
      </c>
      <c r="P42" s="20">
        <f t="shared" si="5"/>
        <v>-12.558139534883765</v>
      </c>
      <c r="Q42" s="505">
        <f t="shared" si="6"/>
        <v>0.95813953488372083</v>
      </c>
      <c r="R42" s="644"/>
      <c r="S42" s="40">
        <v>0.2722222222222222</v>
      </c>
      <c r="T42" s="40">
        <v>0.33194444444444443</v>
      </c>
      <c r="U42" s="502">
        <f t="shared" ref="U42:U43" si="34">(S42-T41)*24*60</f>
        <v>4.9999999999999822</v>
      </c>
      <c r="V42" s="514">
        <f t="shared" si="33"/>
        <v>86.000000000000014</v>
      </c>
      <c r="W42" s="23"/>
      <c r="X42" s="23"/>
      <c r="Y42" s="26"/>
      <c r="Z42" s="26"/>
      <c r="AA42" s="627"/>
      <c r="AB42" s="628"/>
      <c r="AC42" s="135"/>
      <c r="AD42" s="25"/>
      <c r="AE42" s="19">
        <f t="shared" si="8"/>
        <v>-125.58139534883776</v>
      </c>
      <c r="AF42" s="505">
        <f t="shared" si="9"/>
        <v>0.95813953488372072</v>
      </c>
      <c r="AG42" s="644"/>
    </row>
    <row r="43" spans="1:33" ht="15.75" customHeight="1">
      <c r="A43" s="649" t="s">
        <v>2692</v>
      </c>
      <c r="B43" s="42" t="s">
        <v>127</v>
      </c>
      <c r="C43" s="625" t="s">
        <v>144</v>
      </c>
      <c r="D43" s="626"/>
      <c r="E43" s="42">
        <v>35.869999999999997</v>
      </c>
      <c r="F43" s="515">
        <v>2567</v>
      </c>
      <c r="G43" s="502">
        <f t="shared" si="31"/>
        <v>92078.29</v>
      </c>
      <c r="H43" s="37" t="s">
        <v>91</v>
      </c>
      <c r="I43" s="513">
        <v>10</v>
      </c>
      <c r="J43" s="39">
        <v>3000</v>
      </c>
      <c r="K43" s="17">
        <f t="shared" si="1"/>
        <v>300</v>
      </c>
      <c r="L43" s="513">
        <v>10</v>
      </c>
      <c r="M43" s="18">
        <f t="shared" si="32"/>
        <v>2852.2222222222235</v>
      </c>
      <c r="N43" s="18">
        <f t="shared" si="3"/>
        <v>285.22222222222234</v>
      </c>
      <c r="O43" s="19">
        <f t="shared" si="4"/>
        <v>0</v>
      </c>
      <c r="P43" s="20">
        <f t="shared" si="5"/>
        <v>-14.777777777777658</v>
      </c>
      <c r="Q43" s="505">
        <f t="shared" si="6"/>
        <v>0.95074074074074111</v>
      </c>
      <c r="R43" s="644"/>
      <c r="S43" s="40">
        <v>0.33680555555555552</v>
      </c>
      <c r="T43" s="40">
        <v>0.3743055555555555</v>
      </c>
      <c r="U43" s="502">
        <f t="shared" si="34"/>
        <v>6.9999999999999751</v>
      </c>
      <c r="V43" s="514">
        <f t="shared" si="33"/>
        <v>53.999999999999972</v>
      </c>
      <c r="W43" s="23"/>
      <c r="X43" s="23"/>
      <c r="Y43" s="26"/>
      <c r="Z43" s="26"/>
      <c r="AA43" s="627"/>
      <c r="AB43" s="628"/>
      <c r="AC43" s="135"/>
      <c r="AD43" s="25"/>
      <c r="AE43" s="19">
        <f t="shared" si="8"/>
        <v>-147.77777777777646</v>
      </c>
      <c r="AF43" s="505">
        <f t="shared" si="9"/>
        <v>0.95074074074074122</v>
      </c>
      <c r="AG43" s="644"/>
    </row>
    <row r="44" spans="1:33" ht="15.75" customHeight="1">
      <c r="A44" s="650" t="s">
        <v>2693</v>
      </c>
      <c r="B44" s="42" t="s">
        <v>2687</v>
      </c>
      <c r="C44" s="629"/>
      <c r="D44" s="630"/>
      <c r="E44" s="503"/>
      <c r="F44" s="515"/>
      <c r="G44" s="502"/>
      <c r="H44" s="515"/>
      <c r="I44" s="29">
        <v>10</v>
      </c>
      <c r="J44" s="39">
        <v>3000</v>
      </c>
      <c r="K44" s="17">
        <f t="shared" si="1"/>
        <v>300</v>
      </c>
      <c r="L44" s="29">
        <v>10</v>
      </c>
      <c r="M44" s="18">
        <f>AVERAGE(M41:M43)</f>
        <v>2864.742344589979</v>
      </c>
      <c r="N44" s="17">
        <f t="shared" si="3"/>
        <v>286.4742344589979</v>
      </c>
      <c r="O44" s="19">
        <f t="shared" si="4"/>
        <v>0</v>
      </c>
      <c r="P44" s="20">
        <f t="shared" si="5"/>
        <v>-13.525765541002102</v>
      </c>
      <c r="Q44" s="505">
        <f t="shared" si="6"/>
        <v>0.95491411486332634</v>
      </c>
      <c r="R44" s="645"/>
      <c r="S44" s="40"/>
      <c r="T44" s="40"/>
      <c r="U44" s="502"/>
      <c r="V44" s="514"/>
      <c r="W44" s="23"/>
      <c r="X44" s="23"/>
      <c r="Y44" s="30">
        <f>SUM(Y41:Y43)</f>
        <v>0</v>
      </c>
      <c r="Z44" s="30">
        <f>SUM(Z41:Z43)</f>
        <v>0</v>
      </c>
      <c r="AA44" s="646"/>
      <c r="AB44" s="647"/>
      <c r="AC44" s="30">
        <v>3</v>
      </c>
      <c r="AD44" s="30">
        <f>SUM(AD41:AD43)</f>
        <v>0</v>
      </c>
      <c r="AE44" s="19">
        <f t="shared" si="8"/>
        <v>-135.25765541002102</v>
      </c>
      <c r="AF44" s="505">
        <f t="shared" si="9"/>
        <v>0.95491411486332634</v>
      </c>
      <c r="AG44" s="645"/>
    </row>
    <row r="45" spans="1:33" ht="15.75" customHeight="1">
      <c r="A45" s="641" t="s">
        <v>2694</v>
      </c>
      <c r="B45" s="42" t="s">
        <v>92</v>
      </c>
      <c r="C45" s="633" t="s">
        <v>135</v>
      </c>
      <c r="D45" s="633"/>
      <c r="E45" s="42">
        <v>51.44</v>
      </c>
      <c r="F45" s="48">
        <v>1090</v>
      </c>
      <c r="G45" s="502">
        <f t="shared" ref="G45:G51" si="35">E45*F45</f>
        <v>56069.599999999999</v>
      </c>
      <c r="H45" s="37" t="s">
        <v>91</v>
      </c>
      <c r="I45" s="513">
        <v>25</v>
      </c>
      <c r="J45" s="39">
        <v>2000</v>
      </c>
      <c r="K45" s="17">
        <f t="shared" si="1"/>
        <v>80</v>
      </c>
      <c r="L45" s="513">
        <v>25</v>
      </c>
      <c r="M45" s="18">
        <f t="shared" ref="M45" si="36">F45/V45*60</f>
        <v>1923.5294117647061</v>
      </c>
      <c r="N45" s="18">
        <f t="shared" si="3"/>
        <v>76.941176470588246</v>
      </c>
      <c r="O45" s="19">
        <f t="shared" si="4"/>
        <v>0</v>
      </c>
      <c r="P45" s="20">
        <f t="shared" si="5"/>
        <v>-3.0588235294117538</v>
      </c>
      <c r="Q45" s="505">
        <f t="shared" si="6"/>
        <v>0.96176470588235308</v>
      </c>
      <c r="R45" s="637">
        <f>Q52</f>
        <v>0.95843551855090059</v>
      </c>
      <c r="S45" s="40">
        <v>0.20833333333333334</v>
      </c>
      <c r="T45" s="40">
        <v>0.23194444444444445</v>
      </c>
      <c r="U45" s="28"/>
      <c r="V45" s="514">
        <f t="shared" ref="V45:V51" si="37">(T45-S45)*24*60</f>
        <v>34</v>
      </c>
      <c r="W45" s="23"/>
      <c r="X45" s="23"/>
      <c r="Y45" s="28"/>
      <c r="Z45" s="28"/>
      <c r="AA45" s="632"/>
      <c r="AB45" s="632"/>
      <c r="AC45" s="135">
        <v>7</v>
      </c>
      <c r="AD45" s="25"/>
      <c r="AE45" s="19">
        <f t="shared" si="8"/>
        <v>-76.470588235293917</v>
      </c>
      <c r="AF45" s="505">
        <f t="shared" si="9"/>
        <v>0.96176470588235308</v>
      </c>
      <c r="AG45" s="637">
        <f>AF52</f>
        <v>0.95843551855090059</v>
      </c>
    </row>
    <row r="46" spans="1:33" ht="15.75" customHeight="1">
      <c r="A46" s="641" t="s">
        <v>2695</v>
      </c>
      <c r="B46" s="42" t="s">
        <v>92</v>
      </c>
      <c r="C46" s="633" t="s">
        <v>2408</v>
      </c>
      <c r="D46" s="633"/>
      <c r="E46" s="42">
        <v>56.43</v>
      </c>
      <c r="F46" s="48">
        <v>2297</v>
      </c>
      <c r="G46" s="502">
        <f t="shared" si="35"/>
        <v>129619.71</v>
      </c>
      <c r="H46" s="37" t="s">
        <v>91</v>
      </c>
      <c r="I46" s="513">
        <v>23</v>
      </c>
      <c r="J46" s="39">
        <v>2000</v>
      </c>
      <c r="K46" s="17">
        <f t="shared" si="1"/>
        <v>86.956521739130437</v>
      </c>
      <c r="L46" s="513">
        <v>23</v>
      </c>
      <c r="M46" s="18">
        <f>F46/V46*60</f>
        <v>1914.1666666666658</v>
      </c>
      <c r="N46" s="18">
        <f t="shared" si="3"/>
        <v>83.224637681159379</v>
      </c>
      <c r="O46" s="19">
        <f t="shared" si="4"/>
        <v>0</v>
      </c>
      <c r="P46" s="20">
        <f t="shared" si="5"/>
        <v>-3.7318840579710582</v>
      </c>
      <c r="Q46" s="505">
        <f t="shared" si="6"/>
        <v>0.95708333333333284</v>
      </c>
      <c r="R46" s="637"/>
      <c r="S46" s="40">
        <v>0.23680555555555557</v>
      </c>
      <c r="T46" s="40">
        <v>0.28680555555555559</v>
      </c>
      <c r="U46" s="502">
        <f t="shared" ref="U46:U51" si="38">IF(S46=TIME(17,0,0),"",(S46-T45)*24*60)</f>
        <v>7.0000000000000151</v>
      </c>
      <c r="V46" s="514">
        <f t="shared" si="37"/>
        <v>72.000000000000028</v>
      </c>
      <c r="W46" s="23"/>
      <c r="X46" s="23"/>
      <c r="Y46" s="23"/>
      <c r="Z46" s="23"/>
      <c r="AA46" s="632"/>
      <c r="AB46" s="632"/>
      <c r="AC46" s="135"/>
      <c r="AD46" s="25"/>
      <c r="AE46" s="19">
        <f t="shared" si="8"/>
        <v>-85.833333333334167</v>
      </c>
      <c r="AF46" s="505">
        <f t="shared" si="9"/>
        <v>0.95708333333333295</v>
      </c>
      <c r="AG46" s="637"/>
    </row>
    <row r="47" spans="1:33" ht="15.75" customHeight="1">
      <c r="A47" s="641" t="s">
        <v>75</v>
      </c>
      <c r="B47" s="42" t="s">
        <v>92</v>
      </c>
      <c r="C47" s="625" t="s">
        <v>1852</v>
      </c>
      <c r="D47" s="626"/>
      <c r="E47" s="42">
        <v>56.43</v>
      </c>
      <c r="F47" s="48">
        <v>2259</v>
      </c>
      <c r="G47" s="502">
        <f t="shared" si="35"/>
        <v>127475.37</v>
      </c>
      <c r="H47" s="37" t="s">
        <v>91</v>
      </c>
      <c r="I47" s="513">
        <v>25</v>
      </c>
      <c r="J47" s="39">
        <v>2000</v>
      </c>
      <c r="K47" s="17">
        <f t="shared" si="1"/>
        <v>80</v>
      </c>
      <c r="L47" s="513">
        <v>25</v>
      </c>
      <c r="M47" s="18">
        <f t="shared" ref="M47:M51" si="39">F47/V47*60</f>
        <v>1909.0140845070428</v>
      </c>
      <c r="N47" s="18">
        <f t="shared" si="3"/>
        <v>76.360563380281704</v>
      </c>
      <c r="O47" s="19">
        <f t="shared" si="4"/>
        <v>0</v>
      </c>
      <c r="P47" s="20">
        <f t="shared" si="5"/>
        <v>-3.6394366197182961</v>
      </c>
      <c r="Q47" s="505">
        <f t="shared" si="6"/>
        <v>0.95450704225352134</v>
      </c>
      <c r="R47" s="637"/>
      <c r="S47" s="40">
        <v>0.29236111111111113</v>
      </c>
      <c r="T47" s="40">
        <v>0.34166666666666667</v>
      </c>
      <c r="U47" s="502">
        <f t="shared" si="38"/>
        <v>7.9999999999999716</v>
      </c>
      <c r="V47" s="514">
        <f t="shared" si="37"/>
        <v>70.999999999999986</v>
      </c>
      <c r="W47" s="23"/>
      <c r="X47" s="23"/>
      <c r="Y47" s="26"/>
      <c r="Z47" s="26"/>
      <c r="AA47" s="632"/>
      <c r="AB47" s="632"/>
      <c r="AC47" s="135"/>
      <c r="AD47" s="25"/>
      <c r="AE47" s="19">
        <f t="shared" si="8"/>
        <v>-90.985915492957247</v>
      </c>
      <c r="AF47" s="505">
        <f t="shared" si="9"/>
        <v>0.95450704225352134</v>
      </c>
      <c r="AG47" s="637"/>
    </row>
    <row r="48" spans="1:33" ht="15.75" customHeight="1">
      <c r="A48" s="641" t="s">
        <v>75</v>
      </c>
      <c r="B48" s="42" t="s">
        <v>96</v>
      </c>
      <c r="C48" s="507" t="s">
        <v>136</v>
      </c>
      <c r="D48" s="508"/>
      <c r="E48" s="42">
        <v>46</v>
      </c>
      <c r="F48" s="48">
        <v>986</v>
      </c>
      <c r="G48" s="502">
        <f t="shared" si="35"/>
        <v>45356</v>
      </c>
      <c r="H48" s="37" t="s">
        <v>91</v>
      </c>
      <c r="I48" s="513">
        <v>16</v>
      </c>
      <c r="J48" s="39">
        <v>2000</v>
      </c>
      <c r="K48" s="17">
        <f t="shared" si="1"/>
        <v>125</v>
      </c>
      <c r="L48" s="513">
        <v>16</v>
      </c>
      <c r="M48" s="18">
        <f t="shared" si="39"/>
        <v>1908.3870967741955</v>
      </c>
      <c r="N48" s="18">
        <f t="shared" si="3"/>
        <v>119.27419354838722</v>
      </c>
      <c r="O48" s="19">
        <f t="shared" si="4"/>
        <v>0</v>
      </c>
      <c r="P48" s="20">
        <f t="shared" si="5"/>
        <v>-5.7258064516127831</v>
      </c>
      <c r="Q48" s="505">
        <f t="shared" si="6"/>
        <v>0.95419354838709769</v>
      </c>
      <c r="R48" s="637"/>
      <c r="S48" s="40">
        <v>0.34513888888888888</v>
      </c>
      <c r="T48" s="40">
        <v>0.36666666666666664</v>
      </c>
      <c r="U48" s="502">
        <f t="shared" si="38"/>
        <v>4.9999999999999822</v>
      </c>
      <c r="V48" s="514">
        <f t="shared" si="37"/>
        <v>30.999999999999972</v>
      </c>
      <c r="W48" s="23"/>
      <c r="X48" s="23"/>
      <c r="Y48" s="26"/>
      <c r="Z48" s="26"/>
      <c r="AA48" s="632"/>
      <c r="AB48" s="632"/>
      <c r="AC48" s="135"/>
      <c r="AD48" s="25"/>
      <c r="AE48" s="19">
        <f t="shared" si="8"/>
        <v>-91.61290322580453</v>
      </c>
      <c r="AF48" s="505">
        <f t="shared" si="9"/>
        <v>0.95419354838709769</v>
      </c>
      <c r="AG48" s="637"/>
    </row>
    <row r="49" spans="1:33" ht="15.75" customHeight="1">
      <c r="A49" s="641" t="s">
        <v>2694</v>
      </c>
      <c r="B49" s="42" t="s">
        <v>96</v>
      </c>
      <c r="C49" s="507" t="s">
        <v>137</v>
      </c>
      <c r="D49" s="508"/>
      <c r="E49" s="42">
        <v>46</v>
      </c>
      <c r="F49" s="48">
        <v>1127</v>
      </c>
      <c r="G49" s="502">
        <f t="shared" si="35"/>
        <v>51842</v>
      </c>
      <c r="H49" s="37" t="s">
        <v>91</v>
      </c>
      <c r="I49" s="513">
        <v>17</v>
      </c>
      <c r="J49" s="39">
        <v>2000</v>
      </c>
      <c r="K49" s="17">
        <f t="shared" si="1"/>
        <v>117.64705882352941</v>
      </c>
      <c r="L49" s="513">
        <v>17</v>
      </c>
      <c r="M49" s="18">
        <f t="shared" si="39"/>
        <v>1931.999999999998</v>
      </c>
      <c r="N49" s="18">
        <f t="shared" si="3"/>
        <v>113.64705882352929</v>
      </c>
      <c r="O49" s="19">
        <f t="shared" si="4"/>
        <v>0</v>
      </c>
      <c r="P49" s="20">
        <f t="shared" si="5"/>
        <v>-4.0000000000001137</v>
      </c>
      <c r="Q49" s="505">
        <f t="shared" si="6"/>
        <v>0.96599999999999908</v>
      </c>
      <c r="R49" s="637"/>
      <c r="S49" s="40">
        <v>0.37152777777777773</v>
      </c>
      <c r="T49" s="40">
        <v>0.39583333333333331</v>
      </c>
      <c r="U49" s="502">
        <f t="shared" si="38"/>
        <v>6.9999999999999751</v>
      </c>
      <c r="V49" s="514">
        <f t="shared" si="37"/>
        <v>35.000000000000036</v>
      </c>
      <c r="W49" s="23"/>
      <c r="X49" s="23"/>
      <c r="Y49" s="26"/>
      <c r="Z49" s="26"/>
      <c r="AA49" s="632"/>
      <c r="AB49" s="632"/>
      <c r="AC49" s="135"/>
      <c r="AD49" s="25"/>
      <c r="AE49" s="19">
        <f t="shared" si="8"/>
        <v>-68.000000000002046</v>
      </c>
      <c r="AF49" s="505">
        <f t="shared" si="9"/>
        <v>0.96599999999999897</v>
      </c>
      <c r="AG49" s="637"/>
    </row>
    <row r="50" spans="1:33" ht="15.75" customHeight="1">
      <c r="A50" s="641" t="s">
        <v>75</v>
      </c>
      <c r="B50" s="42" t="s">
        <v>92</v>
      </c>
      <c r="C50" s="625" t="s">
        <v>138</v>
      </c>
      <c r="D50" s="626"/>
      <c r="E50" s="42">
        <v>55.56</v>
      </c>
      <c r="F50" s="48">
        <v>1911</v>
      </c>
      <c r="G50" s="502">
        <f t="shared" si="35"/>
        <v>106175.16</v>
      </c>
      <c r="H50" s="37" t="s">
        <v>91</v>
      </c>
      <c r="I50" s="513">
        <v>17</v>
      </c>
      <c r="J50" s="39">
        <v>2000</v>
      </c>
      <c r="K50" s="17">
        <f t="shared" si="1"/>
        <v>117.64705882352941</v>
      </c>
      <c r="L50" s="513">
        <v>17</v>
      </c>
      <c r="M50" s="18">
        <f t="shared" si="39"/>
        <v>1911.0000000000018</v>
      </c>
      <c r="N50" s="18">
        <f t="shared" si="3"/>
        <v>112.41176470588246</v>
      </c>
      <c r="O50" s="19">
        <f t="shared" si="4"/>
        <v>0</v>
      </c>
      <c r="P50" s="20">
        <f t="shared" si="5"/>
        <v>-5.2352941176469443</v>
      </c>
      <c r="Q50" s="505">
        <f t="shared" si="6"/>
        <v>0.95550000000000102</v>
      </c>
      <c r="R50" s="637"/>
      <c r="S50" s="40">
        <v>0.70833333333333337</v>
      </c>
      <c r="T50" s="40">
        <v>0.75</v>
      </c>
      <c r="U50" s="502" t="str">
        <f t="shared" si="38"/>
        <v/>
      </c>
      <c r="V50" s="514">
        <f t="shared" si="37"/>
        <v>59.999999999999943</v>
      </c>
      <c r="W50" s="23"/>
      <c r="X50" s="23"/>
      <c r="Y50" s="26"/>
      <c r="Z50" s="26"/>
      <c r="AA50" s="627"/>
      <c r="AB50" s="628"/>
      <c r="AC50" s="135"/>
      <c r="AD50" s="25"/>
      <c r="AE50" s="19">
        <f t="shared" si="8"/>
        <v>-88.999999999998181</v>
      </c>
      <c r="AF50" s="505">
        <f t="shared" si="9"/>
        <v>0.9555000000000009</v>
      </c>
      <c r="AG50" s="637"/>
    </row>
    <row r="51" spans="1:33" ht="15.75" customHeight="1">
      <c r="A51" s="641" t="s">
        <v>2694</v>
      </c>
      <c r="B51" s="42" t="s">
        <v>92</v>
      </c>
      <c r="C51" s="625" t="s">
        <v>420</v>
      </c>
      <c r="D51" s="626"/>
      <c r="E51" s="42">
        <v>58.17</v>
      </c>
      <c r="F51" s="48">
        <v>1696</v>
      </c>
      <c r="G51" s="502">
        <f t="shared" si="35"/>
        <v>98656.320000000007</v>
      </c>
      <c r="H51" s="37" t="s">
        <v>91</v>
      </c>
      <c r="I51" s="513">
        <v>13</v>
      </c>
      <c r="J51" s="39">
        <v>2000</v>
      </c>
      <c r="K51" s="17">
        <f t="shared" si="1"/>
        <v>153.84615384615384</v>
      </c>
      <c r="L51" s="513">
        <v>13</v>
      </c>
      <c r="M51" s="18">
        <f t="shared" si="39"/>
        <v>1920.0000000000009</v>
      </c>
      <c r="N51" s="18">
        <f t="shared" si="3"/>
        <v>147.69230769230776</v>
      </c>
      <c r="O51" s="19">
        <f t="shared" si="4"/>
        <v>0</v>
      </c>
      <c r="P51" s="20">
        <f t="shared" si="5"/>
        <v>-6.1538461538460751</v>
      </c>
      <c r="Q51" s="505">
        <f t="shared" si="6"/>
        <v>0.96000000000000052</v>
      </c>
      <c r="R51" s="637"/>
      <c r="S51" s="40">
        <v>0.75347222222222221</v>
      </c>
      <c r="T51" s="40">
        <v>0.79027777777777775</v>
      </c>
      <c r="U51" s="502">
        <f t="shared" si="38"/>
        <v>4.9999999999999822</v>
      </c>
      <c r="V51" s="514">
        <f t="shared" si="37"/>
        <v>52.999999999999972</v>
      </c>
      <c r="W51" s="23"/>
      <c r="X51" s="23"/>
      <c r="Y51" s="26"/>
      <c r="Z51" s="26"/>
      <c r="AA51" s="627"/>
      <c r="AB51" s="628"/>
      <c r="AC51" s="135"/>
      <c r="AD51" s="25"/>
      <c r="AE51" s="19">
        <f t="shared" si="8"/>
        <v>-79.999999999999091</v>
      </c>
      <c r="AF51" s="505">
        <f t="shared" si="9"/>
        <v>0.96000000000000041</v>
      </c>
      <c r="AG51" s="637"/>
    </row>
    <row r="52" spans="1:33">
      <c r="A52" s="642" t="s">
        <v>75</v>
      </c>
      <c r="B52" s="42" t="s">
        <v>2696</v>
      </c>
      <c r="C52" s="638"/>
      <c r="D52" s="638"/>
      <c r="E52" s="506"/>
      <c r="F52" s="44"/>
      <c r="G52" s="17"/>
      <c r="H52" s="515"/>
      <c r="I52" s="29">
        <v>19.428571428571427</v>
      </c>
      <c r="J52" s="39">
        <v>2000</v>
      </c>
      <c r="K52" s="17">
        <f t="shared" si="1"/>
        <v>102.94117647058825</v>
      </c>
      <c r="L52" s="29">
        <v>19.428571428571427</v>
      </c>
      <c r="M52" s="18">
        <f>AVERAGE(M45:M51)</f>
        <v>1916.8710371018012</v>
      </c>
      <c r="N52" s="17">
        <f t="shared" si="3"/>
        <v>98.662479850828007</v>
      </c>
      <c r="O52" s="19">
        <f t="shared" si="4"/>
        <v>0</v>
      </c>
      <c r="P52" s="20">
        <f t="shared" si="5"/>
        <v>-4.2786966197602396</v>
      </c>
      <c r="Q52" s="505">
        <f t="shared" si="6"/>
        <v>0.95843551855090059</v>
      </c>
      <c r="R52" s="637"/>
      <c r="S52" s="40"/>
      <c r="T52" s="40"/>
      <c r="U52" s="502"/>
      <c r="V52" s="514"/>
      <c r="W52" s="17"/>
      <c r="X52" s="17"/>
      <c r="Y52" s="30">
        <f>SUM(Y45:Y51)</f>
        <v>0</v>
      </c>
      <c r="Z52" s="30">
        <f>SUM(Z45:Z51)</f>
        <v>0</v>
      </c>
      <c r="AA52" s="631"/>
      <c r="AB52" s="631"/>
      <c r="AC52" s="30">
        <v>7</v>
      </c>
      <c r="AD52" s="30">
        <f>SUM(AD45:AD51)</f>
        <v>0</v>
      </c>
      <c r="AE52" s="19">
        <f>M52-J52</f>
        <v>-83.128962898198779</v>
      </c>
      <c r="AF52" s="505">
        <f t="shared" si="9"/>
        <v>0.95843551855090059</v>
      </c>
      <c r="AG52" s="637"/>
    </row>
    <row r="53" spans="1:33" ht="15.75" customHeight="1">
      <c r="A53" s="639" t="s">
        <v>2697</v>
      </c>
      <c r="B53" s="515" t="s">
        <v>127</v>
      </c>
      <c r="C53" s="633" t="s">
        <v>141</v>
      </c>
      <c r="D53" s="633"/>
      <c r="E53" s="42">
        <v>35.119999999999997</v>
      </c>
      <c r="F53" s="48">
        <v>3954</v>
      </c>
      <c r="G53" s="502">
        <f t="shared" ref="G53:G57" si="40">E53*F53</f>
        <v>138864.47999999998</v>
      </c>
      <c r="H53" s="37" t="s">
        <v>91</v>
      </c>
      <c r="I53" s="513">
        <v>10</v>
      </c>
      <c r="J53" s="39">
        <v>3000</v>
      </c>
      <c r="K53" s="17">
        <f t="shared" si="1"/>
        <v>300</v>
      </c>
      <c r="L53" s="513">
        <v>10</v>
      </c>
      <c r="M53" s="18">
        <f t="shared" ref="M53:M57" si="41">F53/V53*60</f>
        <v>2858.3132530120483</v>
      </c>
      <c r="N53" s="17">
        <f t="shared" si="3"/>
        <v>285.83132530120486</v>
      </c>
      <c r="O53" s="19">
        <f t="shared" si="4"/>
        <v>0</v>
      </c>
      <c r="P53" s="20">
        <f t="shared" si="5"/>
        <v>-14.168674698795144</v>
      </c>
      <c r="Q53" s="505">
        <f t="shared" si="6"/>
        <v>0.95277108433734947</v>
      </c>
      <c r="R53" s="637">
        <f>Q58</f>
        <v>0.95658158892037293</v>
      </c>
      <c r="S53" s="40">
        <v>0.20833333333333334</v>
      </c>
      <c r="T53" s="40">
        <v>0.26597222222222222</v>
      </c>
      <c r="U53" s="502"/>
      <c r="V53" s="514">
        <f t="shared" ref="V53:V57" si="42">(T53-S53)*24*60</f>
        <v>82.999999999999986</v>
      </c>
      <c r="W53" s="23"/>
      <c r="X53" s="23"/>
      <c r="Y53" s="28"/>
      <c r="Z53" s="28"/>
      <c r="AA53" s="632"/>
      <c r="AB53" s="632"/>
      <c r="AC53" s="135">
        <v>5</v>
      </c>
      <c r="AD53" s="25"/>
      <c r="AE53" s="19">
        <f t="shared" ref="AE53:AE64" si="43">M53-J53</f>
        <v>-141.68674698795166</v>
      </c>
      <c r="AF53" s="505">
        <f t="shared" si="9"/>
        <v>0.95277108433734947</v>
      </c>
      <c r="AG53" s="637">
        <f>AF58</f>
        <v>0.95658158892037293</v>
      </c>
    </row>
    <row r="54" spans="1:33" ht="15.75" customHeight="1">
      <c r="A54" s="639" t="s">
        <v>2697</v>
      </c>
      <c r="B54" s="515" t="s">
        <v>127</v>
      </c>
      <c r="C54" s="633" t="s">
        <v>142</v>
      </c>
      <c r="D54" s="633"/>
      <c r="E54" s="42">
        <v>26.78</v>
      </c>
      <c r="F54" s="48">
        <v>1782</v>
      </c>
      <c r="G54" s="502">
        <f t="shared" si="40"/>
        <v>47721.96</v>
      </c>
      <c r="H54" s="37" t="s">
        <v>91</v>
      </c>
      <c r="I54" s="513">
        <v>10</v>
      </c>
      <c r="J54" s="39">
        <v>3000</v>
      </c>
      <c r="K54" s="17">
        <f t="shared" si="1"/>
        <v>300</v>
      </c>
      <c r="L54" s="513">
        <v>10</v>
      </c>
      <c r="M54" s="18">
        <f t="shared" si="41"/>
        <v>2889.7297297297278</v>
      </c>
      <c r="N54" s="17">
        <f t="shared" si="3"/>
        <v>288.9729729729728</v>
      </c>
      <c r="O54" s="19">
        <f t="shared" si="4"/>
        <v>0</v>
      </c>
      <c r="P54" s="20">
        <f t="shared" si="5"/>
        <v>-11.027027027027202</v>
      </c>
      <c r="Q54" s="505">
        <f t="shared" si="6"/>
        <v>0.96324324324324262</v>
      </c>
      <c r="R54" s="637"/>
      <c r="S54" s="40">
        <v>0.26944444444444443</v>
      </c>
      <c r="T54" s="40">
        <v>0.2951388888888889</v>
      </c>
      <c r="U54" s="502">
        <f t="shared" ref="U54:U57" si="44">(S54-T53)*24*60</f>
        <v>4.9999999999999822</v>
      </c>
      <c r="V54" s="514">
        <f t="shared" si="42"/>
        <v>37.000000000000028</v>
      </c>
      <c r="W54" s="502"/>
      <c r="X54" s="502"/>
      <c r="Y54" s="502"/>
      <c r="Z54" s="502"/>
      <c r="AA54" s="632"/>
      <c r="AB54" s="632"/>
      <c r="AC54" s="135"/>
      <c r="AD54" s="25"/>
      <c r="AE54" s="19">
        <f t="shared" si="43"/>
        <v>-110.27027027027225</v>
      </c>
      <c r="AF54" s="505">
        <f t="shared" si="9"/>
        <v>0.96324324324324262</v>
      </c>
      <c r="AG54" s="637"/>
    </row>
    <row r="55" spans="1:33" ht="15.75" customHeight="1">
      <c r="A55" s="639" t="s">
        <v>2697</v>
      </c>
      <c r="B55" s="515" t="s">
        <v>127</v>
      </c>
      <c r="C55" s="633" t="s">
        <v>143</v>
      </c>
      <c r="D55" s="633"/>
      <c r="E55" s="42">
        <v>36.14</v>
      </c>
      <c r="F55" s="48">
        <v>555</v>
      </c>
      <c r="G55" s="502">
        <f t="shared" si="40"/>
        <v>20057.7</v>
      </c>
      <c r="H55" s="37" t="s">
        <v>91</v>
      </c>
      <c r="I55" s="513">
        <v>11</v>
      </c>
      <c r="J55" s="39">
        <v>3000</v>
      </c>
      <c r="K55" s="17">
        <f t="shared" si="1"/>
        <v>272.72727272727275</v>
      </c>
      <c r="L55" s="513">
        <v>11</v>
      </c>
      <c r="M55" s="18">
        <f t="shared" si="41"/>
        <v>2774.9999999999914</v>
      </c>
      <c r="N55" s="17">
        <f t="shared" si="3"/>
        <v>252.27272727272648</v>
      </c>
      <c r="O55" s="19">
        <f t="shared" si="4"/>
        <v>0</v>
      </c>
      <c r="P55" s="20">
        <f t="shared" si="5"/>
        <v>-20.454545454546263</v>
      </c>
      <c r="Q55" s="505">
        <f t="shared" si="6"/>
        <v>0.92499999999999705</v>
      </c>
      <c r="R55" s="637"/>
      <c r="S55" s="40">
        <v>0.30069444444444443</v>
      </c>
      <c r="T55" s="40">
        <v>0.30902777777777779</v>
      </c>
      <c r="U55" s="502">
        <f t="shared" si="44"/>
        <v>7.9999999999999716</v>
      </c>
      <c r="V55" s="514">
        <f t="shared" si="42"/>
        <v>12.000000000000037</v>
      </c>
      <c r="W55" s="502"/>
      <c r="X55" s="502"/>
      <c r="Y55" s="502"/>
      <c r="Z55" s="502"/>
      <c r="AA55" s="632"/>
      <c r="AB55" s="632"/>
      <c r="AC55" s="135"/>
      <c r="AD55" s="25"/>
      <c r="AE55" s="19">
        <f t="shared" si="43"/>
        <v>-225.00000000000864</v>
      </c>
      <c r="AF55" s="505">
        <f t="shared" si="9"/>
        <v>0.92499999999999716</v>
      </c>
      <c r="AG55" s="637"/>
    </row>
    <row r="56" spans="1:33" ht="15.75" customHeight="1">
      <c r="A56" s="639" t="s">
        <v>2698</v>
      </c>
      <c r="B56" s="515" t="s">
        <v>127</v>
      </c>
      <c r="C56" s="633" t="s">
        <v>130</v>
      </c>
      <c r="D56" s="633"/>
      <c r="E56" s="42">
        <v>35.869999999999997</v>
      </c>
      <c r="F56" s="48">
        <v>987</v>
      </c>
      <c r="G56" s="502">
        <f t="shared" si="40"/>
        <v>35403.689999999995</v>
      </c>
      <c r="H56" s="37" t="s">
        <v>91</v>
      </c>
      <c r="I56" s="513">
        <v>9</v>
      </c>
      <c r="J56" s="39">
        <v>3000</v>
      </c>
      <c r="K56" s="17">
        <f t="shared" si="1"/>
        <v>333.33333333333331</v>
      </c>
      <c r="L56" s="513">
        <v>9</v>
      </c>
      <c r="M56" s="18">
        <f t="shared" si="41"/>
        <v>2960.9999999999986</v>
      </c>
      <c r="N56" s="17">
        <f t="shared" si="3"/>
        <v>328.99999999999983</v>
      </c>
      <c r="O56" s="19">
        <f t="shared" si="4"/>
        <v>0</v>
      </c>
      <c r="P56" s="20">
        <f t="shared" si="5"/>
        <v>-4.3333333333334849</v>
      </c>
      <c r="Q56" s="505">
        <f t="shared" si="6"/>
        <v>0.98699999999999954</v>
      </c>
      <c r="R56" s="637"/>
      <c r="S56" s="40">
        <v>0.31319444444444439</v>
      </c>
      <c r="T56" s="40">
        <v>0.32708333333333328</v>
      </c>
      <c r="U56" s="502">
        <f t="shared" si="44"/>
        <v>5.9999999999998987</v>
      </c>
      <c r="V56" s="514">
        <f t="shared" si="42"/>
        <v>20.000000000000007</v>
      </c>
      <c r="W56" s="502"/>
      <c r="X56" s="502"/>
      <c r="Y56" s="502"/>
      <c r="Z56" s="502"/>
      <c r="AA56" s="632"/>
      <c r="AB56" s="632"/>
      <c r="AC56" s="135"/>
      <c r="AD56" s="25"/>
      <c r="AE56" s="19">
        <f t="shared" si="43"/>
        <v>-39.000000000001364</v>
      </c>
      <c r="AF56" s="505">
        <f t="shared" si="9"/>
        <v>0.98699999999999954</v>
      </c>
      <c r="AG56" s="637"/>
    </row>
    <row r="57" spans="1:33">
      <c r="A57" s="640" t="s">
        <v>2697</v>
      </c>
      <c r="B57" s="515" t="s">
        <v>127</v>
      </c>
      <c r="C57" s="633" t="s">
        <v>1857</v>
      </c>
      <c r="D57" s="633"/>
      <c r="E57" s="42">
        <v>33.770000000000003</v>
      </c>
      <c r="F57" s="48">
        <v>4488</v>
      </c>
      <c r="G57" s="502">
        <f t="shared" si="40"/>
        <v>151559.76</v>
      </c>
      <c r="H57" s="37" t="s">
        <v>91</v>
      </c>
      <c r="I57" s="513">
        <v>12</v>
      </c>
      <c r="J57" s="39">
        <v>3000</v>
      </c>
      <c r="K57" s="17">
        <f t="shared" si="1"/>
        <v>250</v>
      </c>
      <c r="L57" s="513">
        <v>12</v>
      </c>
      <c r="M57" s="18">
        <f t="shared" si="41"/>
        <v>2864.6808510638302</v>
      </c>
      <c r="N57" s="17">
        <f t="shared" si="3"/>
        <v>238.7234042553192</v>
      </c>
      <c r="O57" s="19">
        <f t="shared" si="4"/>
        <v>0</v>
      </c>
      <c r="P57" s="20">
        <f t="shared" si="5"/>
        <v>-11.276595744680805</v>
      </c>
      <c r="Q57" s="505">
        <f t="shared" si="6"/>
        <v>0.95489361702127673</v>
      </c>
      <c r="R57" s="637"/>
      <c r="S57" s="40">
        <v>0.33263888888888882</v>
      </c>
      <c r="T57" s="40">
        <v>0.39791666666666659</v>
      </c>
      <c r="U57" s="502">
        <f t="shared" si="44"/>
        <v>7.9999999999999716</v>
      </c>
      <c r="V57" s="514">
        <f t="shared" si="42"/>
        <v>93.999999999999986</v>
      </c>
      <c r="W57" s="23"/>
      <c r="X57" s="23"/>
      <c r="Y57" s="23"/>
      <c r="Z57" s="23"/>
      <c r="AA57" s="632"/>
      <c r="AB57" s="632"/>
      <c r="AC57" s="135"/>
      <c r="AD57" s="25"/>
      <c r="AE57" s="19">
        <f t="shared" si="43"/>
        <v>-135.31914893616977</v>
      </c>
      <c r="AF57" s="505">
        <f t="shared" si="9"/>
        <v>0.95489361702127673</v>
      </c>
      <c r="AG57" s="637"/>
    </row>
    <row r="58" spans="1:33">
      <c r="A58" s="640" t="s">
        <v>2697</v>
      </c>
      <c r="B58" s="42" t="s">
        <v>2687</v>
      </c>
      <c r="C58" s="638"/>
      <c r="D58" s="638"/>
      <c r="E58" s="506"/>
      <c r="F58" s="44"/>
      <c r="G58" s="17"/>
      <c r="H58" s="515"/>
      <c r="I58" s="29">
        <v>10.4</v>
      </c>
      <c r="J58" s="39">
        <v>3000</v>
      </c>
      <c r="K58" s="17">
        <f t="shared" si="1"/>
        <v>288.46153846153845</v>
      </c>
      <c r="L58" s="29">
        <v>10.4</v>
      </c>
      <c r="M58" s="18">
        <f>AVERAGE(M53:M57)</f>
        <v>2869.7447667611186</v>
      </c>
      <c r="N58" s="17">
        <f t="shared" si="3"/>
        <v>275.93699680395372</v>
      </c>
      <c r="O58" s="19">
        <f t="shared" si="4"/>
        <v>0</v>
      </c>
      <c r="P58" s="20">
        <f t="shared" si="5"/>
        <v>-12.524541657584734</v>
      </c>
      <c r="Q58" s="505">
        <f t="shared" si="6"/>
        <v>0.95658158892037293</v>
      </c>
      <c r="R58" s="637"/>
      <c r="S58" s="40"/>
      <c r="T58" s="40"/>
      <c r="U58" s="17"/>
      <c r="V58" s="514"/>
      <c r="W58" s="17"/>
      <c r="X58" s="17"/>
      <c r="Y58" s="30">
        <f>SUM(Y53:Y57)</f>
        <v>0</v>
      </c>
      <c r="Z58" s="30">
        <f>SUM(Z53:Z57)</f>
        <v>0</v>
      </c>
      <c r="AA58" s="631"/>
      <c r="AB58" s="631"/>
      <c r="AC58" s="30">
        <v>5</v>
      </c>
      <c r="AD58" s="30">
        <f>SUM(AD53:AD57)</f>
        <v>0</v>
      </c>
      <c r="AE58" s="19">
        <f t="shared" si="43"/>
        <v>-130.25523323888137</v>
      </c>
      <c r="AF58" s="505">
        <f t="shared" si="9"/>
        <v>0.95658158892037293</v>
      </c>
      <c r="AG58" s="637"/>
    </row>
    <row r="59" spans="1:33" ht="15.75" customHeight="1">
      <c r="A59" s="634" t="s">
        <v>2699</v>
      </c>
      <c r="B59" s="515" t="s">
        <v>116</v>
      </c>
      <c r="C59" s="633" t="s">
        <v>145</v>
      </c>
      <c r="D59" s="633"/>
      <c r="E59" s="42">
        <v>19.02</v>
      </c>
      <c r="F59" s="515">
        <v>7381</v>
      </c>
      <c r="G59" s="502">
        <f t="shared" ref="G59:G63" si="45">E59*F59</f>
        <v>140386.62</v>
      </c>
      <c r="H59" s="37" t="s">
        <v>91</v>
      </c>
      <c r="I59" s="513">
        <v>14</v>
      </c>
      <c r="J59" s="39">
        <v>2400</v>
      </c>
      <c r="K59" s="17">
        <f t="shared" si="1"/>
        <v>171.42857142857142</v>
      </c>
      <c r="L59" s="513">
        <v>14</v>
      </c>
      <c r="M59" s="18">
        <f t="shared" ref="M59:M63" si="46">F59/V59*60</f>
        <v>2294.6113989637306</v>
      </c>
      <c r="N59" s="17">
        <f t="shared" si="3"/>
        <v>163.90081421169504</v>
      </c>
      <c r="O59" s="19">
        <f t="shared" si="4"/>
        <v>0</v>
      </c>
      <c r="P59" s="20">
        <f t="shared" si="5"/>
        <v>-7.5277572168763811</v>
      </c>
      <c r="Q59" s="505">
        <f t="shared" si="6"/>
        <v>0.95608808290155445</v>
      </c>
      <c r="R59" s="637">
        <f>Q64</f>
        <v>0.95737893413599484</v>
      </c>
      <c r="S59" s="40">
        <v>8.3333333333333329E-2</v>
      </c>
      <c r="T59" s="40">
        <v>0.21736111111111112</v>
      </c>
      <c r="U59" s="28"/>
      <c r="V59" s="514">
        <f t="shared" ref="V59:V63" si="47">(T59-S59)*24*60</f>
        <v>193.00000000000003</v>
      </c>
      <c r="W59" s="23">
        <f>T59</f>
        <v>0.21736111111111112</v>
      </c>
      <c r="X59" s="23">
        <f>S60</f>
        <v>0.2361111111111111</v>
      </c>
      <c r="Y59" s="23"/>
      <c r="Z59" s="23"/>
      <c r="AA59" s="632"/>
      <c r="AB59" s="632"/>
      <c r="AC59" s="135">
        <v>5</v>
      </c>
      <c r="AD59" s="25"/>
      <c r="AE59" s="19">
        <f t="shared" si="43"/>
        <v>-105.38860103626939</v>
      </c>
      <c r="AF59" s="505">
        <f t="shared" si="9"/>
        <v>0.95608808290155445</v>
      </c>
      <c r="AG59" s="637">
        <f>AF64</f>
        <v>0.95737893413599484</v>
      </c>
    </row>
    <row r="60" spans="1:33" ht="15.75" customHeight="1">
      <c r="A60" s="635" t="s">
        <v>2699</v>
      </c>
      <c r="B60" s="515" t="s">
        <v>116</v>
      </c>
      <c r="C60" s="633" t="s">
        <v>146</v>
      </c>
      <c r="D60" s="633"/>
      <c r="E60" s="42">
        <v>20.36</v>
      </c>
      <c r="F60" s="515">
        <v>2954</v>
      </c>
      <c r="G60" s="502">
        <f t="shared" si="45"/>
        <v>60143.439999999995</v>
      </c>
      <c r="H60" s="37" t="s">
        <v>91</v>
      </c>
      <c r="I60" s="513">
        <v>17</v>
      </c>
      <c r="J60" s="39">
        <v>2400</v>
      </c>
      <c r="K60" s="17">
        <f t="shared" si="1"/>
        <v>141.1764705882353</v>
      </c>
      <c r="L60" s="513">
        <v>17</v>
      </c>
      <c r="M60" s="18">
        <f t="shared" si="46"/>
        <v>2301.8181818181829</v>
      </c>
      <c r="N60" s="17">
        <f t="shared" si="3"/>
        <v>135.40106951871664</v>
      </c>
      <c r="O60" s="19">
        <f t="shared" si="4"/>
        <v>0</v>
      </c>
      <c r="P60" s="20">
        <f t="shared" si="5"/>
        <v>-5.7754010695186651</v>
      </c>
      <c r="Q60" s="505">
        <f t="shared" si="6"/>
        <v>0.95909090909090944</v>
      </c>
      <c r="R60" s="637"/>
      <c r="S60" s="40">
        <v>0.2361111111111111</v>
      </c>
      <c r="T60" s="40">
        <v>0.2895833333333333</v>
      </c>
      <c r="U60" s="502">
        <f t="shared" ref="U60:U63" si="48">(S60-T59)*24*60</f>
        <v>26.999999999999986</v>
      </c>
      <c r="V60" s="514">
        <f t="shared" si="47"/>
        <v>76.999999999999972</v>
      </c>
      <c r="W60" s="23"/>
      <c r="X60" s="23"/>
      <c r="Y60" s="23"/>
      <c r="Z60" s="23"/>
      <c r="AA60" s="632"/>
      <c r="AB60" s="632"/>
      <c r="AC60" s="135"/>
      <c r="AD60" s="25"/>
      <c r="AE60" s="19">
        <f t="shared" si="43"/>
        <v>-98.181818181817107</v>
      </c>
      <c r="AF60" s="505">
        <f t="shared" si="9"/>
        <v>0.95909090909090955</v>
      </c>
      <c r="AG60" s="637"/>
    </row>
    <row r="61" spans="1:33" ht="15.75" customHeight="1">
      <c r="A61" s="635" t="s">
        <v>2699</v>
      </c>
      <c r="B61" s="515" t="s">
        <v>116</v>
      </c>
      <c r="C61" s="633" t="s">
        <v>149</v>
      </c>
      <c r="D61" s="633"/>
      <c r="E61" s="42">
        <v>24.25</v>
      </c>
      <c r="F61" s="515">
        <v>2016</v>
      </c>
      <c r="G61" s="502">
        <f t="shared" si="45"/>
        <v>48888</v>
      </c>
      <c r="H61" s="37" t="s">
        <v>91</v>
      </c>
      <c r="I61" s="513">
        <v>16</v>
      </c>
      <c r="J61" s="39">
        <v>2400</v>
      </c>
      <c r="K61" s="17">
        <f t="shared" si="1"/>
        <v>150</v>
      </c>
      <c r="L61" s="513">
        <v>16</v>
      </c>
      <c r="M61" s="18">
        <f t="shared" si="46"/>
        <v>2326.1538461538471</v>
      </c>
      <c r="N61" s="17">
        <f t="shared" si="3"/>
        <v>145.38461538461544</v>
      </c>
      <c r="O61" s="19">
        <f t="shared" si="4"/>
        <v>0</v>
      </c>
      <c r="P61" s="20">
        <f t="shared" si="5"/>
        <v>-4.6153846153845564</v>
      </c>
      <c r="Q61" s="505">
        <f t="shared" si="6"/>
        <v>0.96923076923076967</v>
      </c>
      <c r="R61" s="637"/>
      <c r="S61" s="40">
        <v>0.29305555555555551</v>
      </c>
      <c r="T61" s="40">
        <v>0.32916666666666661</v>
      </c>
      <c r="U61" s="502">
        <f t="shared" si="48"/>
        <v>4.9999999999999822</v>
      </c>
      <c r="V61" s="514">
        <f t="shared" si="47"/>
        <v>51.999999999999972</v>
      </c>
      <c r="W61" s="23"/>
      <c r="X61" s="23"/>
      <c r="Y61" s="23"/>
      <c r="Z61" s="23"/>
      <c r="AA61" s="632"/>
      <c r="AB61" s="632"/>
      <c r="AC61" s="135"/>
      <c r="AD61" s="25"/>
      <c r="AE61" s="19">
        <f t="shared" si="43"/>
        <v>-73.846153846152902</v>
      </c>
      <c r="AF61" s="505">
        <f t="shared" si="9"/>
        <v>0.96923076923076967</v>
      </c>
      <c r="AG61" s="637"/>
    </row>
    <row r="62" spans="1:33" ht="15.75" customHeight="1">
      <c r="A62" s="635" t="s">
        <v>2699</v>
      </c>
      <c r="B62" s="515" t="s">
        <v>116</v>
      </c>
      <c r="C62" s="633" t="s">
        <v>148</v>
      </c>
      <c r="D62" s="633"/>
      <c r="E62" s="42">
        <v>28.29</v>
      </c>
      <c r="F62" s="515">
        <v>2701</v>
      </c>
      <c r="G62" s="502">
        <f t="shared" si="45"/>
        <v>76411.289999999994</v>
      </c>
      <c r="H62" s="37" t="s">
        <v>91</v>
      </c>
      <c r="I62" s="513">
        <v>19</v>
      </c>
      <c r="J62" s="39">
        <v>2400</v>
      </c>
      <c r="K62" s="17">
        <f t="shared" si="1"/>
        <v>126.31578947368421</v>
      </c>
      <c r="L62" s="513">
        <v>19</v>
      </c>
      <c r="M62" s="18">
        <f t="shared" si="46"/>
        <v>2282.535211267606</v>
      </c>
      <c r="N62" s="17">
        <f t="shared" si="3"/>
        <v>120.13343217197927</v>
      </c>
      <c r="O62" s="19">
        <f t="shared" si="4"/>
        <v>0</v>
      </c>
      <c r="P62" s="20">
        <f t="shared" si="5"/>
        <v>-6.1823573017049398</v>
      </c>
      <c r="Q62" s="505">
        <f t="shared" si="6"/>
        <v>0.95105633802816925</v>
      </c>
      <c r="R62" s="637"/>
      <c r="S62" s="40">
        <v>0.33472222222222214</v>
      </c>
      <c r="T62" s="40">
        <v>0.38402777777777769</v>
      </c>
      <c r="U62" s="502">
        <f t="shared" si="48"/>
        <v>7.9999999999999716</v>
      </c>
      <c r="V62" s="514">
        <f t="shared" si="47"/>
        <v>70.999999999999986</v>
      </c>
      <c r="W62" s="23"/>
      <c r="X62" s="23"/>
      <c r="Y62" s="23"/>
      <c r="Z62" s="23"/>
      <c r="AA62" s="632"/>
      <c r="AB62" s="632"/>
      <c r="AC62" s="135"/>
      <c r="AD62" s="25"/>
      <c r="AE62" s="19">
        <f t="shared" si="43"/>
        <v>-117.46478873239403</v>
      </c>
      <c r="AF62" s="505">
        <f t="shared" si="9"/>
        <v>0.95105633802816913</v>
      </c>
      <c r="AG62" s="637"/>
    </row>
    <row r="63" spans="1:33" ht="15.75" customHeight="1">
      <c r="A63" s="635" t="s">
        <v>2699</v>
      </c>
      <c r="B63" s="515" t="s">
        <v>116</v>
      </c>
      <c r="C63" s="633" t="s">
        <v>1859</v>
      </c>
      <c r="D63" s="633"/>
      <c r="E63" s="42">
        <v>25.98</v>
      </c>
      <c r="F63" s="515">
        <v>3996</v>
      </c>
      <c r="G63" s="502">
        <f t="shared" si="45"/>
        <v>103816.08</v>
      </c>
      <c r="H63" s="37" t="s">
        <v>91</v>
      </c>
      <c r="I63" s="513">
        <v>19</v>
      </c>
      <c r="J63" s="39">
        <v>2400</v>
      </c>
      <c r="K63" s="17">
        <f t="shared" si="1"/>
        <v>126.31578947368421</v>
      </c>
      <c r="L63" s="513">
        <v>19</v>
      </c>
      <c r="M63" s="18">
        <f t="shared" si="46"/>
        <v>2283.4285714285711</v>
      </c>
      <c r="N63" s="17">
        <f t="shared" si="3"/>
        <v>120.18045112781954</v>
      </c>
      <c r="O63" s="19">
        <f t="shared" si="4"/>
        <v>0</v>
      </c>
      <c r="P63" s="20">
        <f t="shared" si="5"/>
        <v>-6.1353383458646675</v>
      </c>
      <c r="Q63" s="505">
        <f t="shared" si="6"/>
        <v>0.9514285714285714</v>
      </c>
      <c r="R63" s="637"/>
      <c r="S63" s="40">
        <v>0.38958333333333323</v>
      </c>
      <c r="T63" s="40">
        <v>0.46249999999999991</v>
      </c>
      <c r="U63" s="502">
        <f t="shared" si="48"/>
        <v>7.9999999999999716</v>
      </c>
      <c r="V63" s="514">
        <f t="shared" si="47"/>
        <v>105.00000000000003</v>
      </c>
      <c r="W63" s="23"/>
      <c r="X63" s="23"/>
      <c r="Y63" s="23"/>
      <c r="Z63" s="23"/>
      <c r="AA63" s="632"/>
      <c r="AB63" s="632"/>
      <c r="AC63" s="135"/>
      <c r="AD63" s="25"/>
      <c r="AE63" s="19">
        <f t="shared" si="43"/>
        <v>-116.5714285714289</v>
      </c>
      <c r="AF63" s="505">
        <f t="shared" si="9"/>
        <v>0.95142857142857129</v>
      </c>
      <c r="AG63" s="637"/>
    </row>
    <row r="64" spans="1:33" ht="16.5" customHeight="1">
      <c r="A64" s="636" t="s">
        <v>2699</v>
      </c>
      <c r="B64" s="42" t="s">
        <v>2687</v>
      </c>
      <c r="C64" s="629"/>
      <c r="D64" s="630"/>
      <c r="E64" s="506"/>
      <c r="F64" s="44"/>
      <c r="G64" s="17"/>
      <c r="H64" s="515"/>
      <c r="I64" s="29">
        <v>17</v>
      </c>
      <c r="J64" s="39">
        <v>2400</v>
      </c>
      <c r="K64" s="17">
        <f t="shared" si="1"/>
        <v>141.1764705882353</v>
      </c>
      <c r="L64" s="29">
        <v>17</v>
      </c>
      <c r="M64" s="18">
        <f>AVERAGE(M59:M63)</f>
        <v>2297.7094419263876</v>
      </c>
      <c r="N64" s="17">
        <f t="shared" si="3"/>
        <v>135.15937893684634</v>
      </c>
      <c r="O64" s="19">
        <f t="shared" si="4"/>
        <v>0</v>
      </c>
      <c r="P64" s="20">
        <f t="shared" si="5"/>
        <v>-6.0170916513889665</v>
      </c>
      <c r="Q64" s="505">
        <f t="shared" si="6"/>
        <v>0.95737893413599484</v>
      </c>
      <c r="R64" s="637"/>
      <c r="S64" s="40"/>
      <c r="T64" s="40"/>
      <c r="U64" s="17"/>
      <c r="V64" s="514"/>
      <c r="W64" s="17"/>
      <c r="X64" s="17"/>
      <c r="Y64" s="30">
        <f>SUM(Y59:Y63)</f>
        <v>0</v>
      </c>
      <c r="Z64" s="30">
        <f>SUM(Z59:Z63)</f>
        <v>0</v>
      </c>
      <c r="AA64" s="631"/>
      <c r="AB64" s="631"/>
      <c r="AC64" s="30">
        <v>5</v>
      </c>
      <c r="AD64" s="30">
        <f>SUM(AD59:AD63)</f>
        <v>0</v>
      </c>
      <c r="AE64" s="19">
        <f t="shared" si="43"/>
        <v>-102.29055807361237</v>
      </c>
      <c r="AF64" s="505">
        <f t="shared" si="9"/>
        <v>0.95737893413599484</v>
      </c>
      <c r="AG64" s="637"/>
    </row>
    <row r="65" spans="4:5">
      <c r="D65" s="33"/>
      <c r="E65" s="33"/>
    </row>
  </sheetData>
  <mergeCells count="177"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9:A12"/>
    <mergeCell ref="C9:D9"/>
    <mergeCell ref="R9:R12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AG13:AG20"/>
    <mergeCell ref="C14:D14"/>
    <mergeCell ref="AA14:AB14"/>
    <mergeCell ref="C15:D15"/>
    <mergeCell ref="AA15:AB15"/>
    <mergeCell ref="C16:D16"/>
    <mergeCell ref="AG9:AG12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C20:D20"/>
    <mergeCell ref="AA20:AB20"/>
    <mergeCell ref="A21:A28"/>
    <mergeCell ref="C21:D21"/>
    <mergeCell ref="R21:R28"/>
    <mergeCell ref="AA21:AB21"/>
    <mergeCell ref="AA26:AB26"/>
    <mergeCell ref="A13:A20"/>
    <mergeCell ref="C13:D13"/>
    <mergeCell ref="R13:R20"/>
    <mergeCell ref="AA13:AB13"/>
    <mergeCell ref="AG21:AG28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27:D27"/>
    <mergeCell ref="AA27:AB27"/>
    <mergeCell ref="C28:D28"/>
    <mergeCell ref="AA28:AB28"/>
    <mergeCell ref="A29:A34"/>
    <mergeCell ref="C29:D29"/>
    <mergeCell ref="R29:R34"/>
    <mergeCell ref="AA29:AB29"/>
    <mergeCell ref="AA34:AB34"/>
    <mergeCell ref="AG29:AG34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C34:D34"/>
    <mergeCell ref="AA37:AB37"/>
    <mergeCell ref="C38:D38"/>
    <mergeCell ref="AG41:AG44"/>
    <mergeCell ref="C42:D42"/>
    <mergeCell ref="AA42:AB42"/>
    <mergeCell ref="C43:D43"/>
    <mergeCell ref="AA43:AB43"/>
    <mergeCell ref="C44:D44"/>
    <mergeCell ref="AA44:AB44"/>
    <mergeCell ref="AA38:AB38"/>
    <mergeCell ref="C39:D39"/>
    <mergeCell ref="AA39:AB39"/>
    <mergeCell ref="C40:D40"/>
    <mergeCell ref="AA40:AB40"/>
    <mergeCell ref="A45:A52"/>
    <mergeCell ref="C45:D45"/>
    <mergeCell ref="R45:R52"/>
    <mergeCell ref="AA45:AB45"/>
    <mergeCell ref="AG45:AG52"/>
    <mergeCell ref="C46:D46"/>
    <mergeCell ref="AA46:AB46"/>
    <mergeCell ref="C47:D47"/>
    <mergeCell ref="AA47:AB47"/>
    <mergeCell ref="AA48:AB48"/>
    <mergeCell ref="A41:A44"/>
    <mergeCell ref="C41:D41"/>
    <mergeCell ref="R41:R44"/>
    <mergeCell ref="AA41:AB41"/>
    <mergeCell ref="A35:A40"/>
    <mergeCell ref="C35:D35"/>
    <mergeCell ref="R35:R40"/>
    <mergeCell ref="AA35:AB35"/>
    <mergeCell ref="AG35:AG40"/>
    <mergeCell ref="C36:D36"/>
    <mergeCell ref="AA36:AB36"/>
    <mergeCell ref="C37:D37"/>
    <mergeCell ref="AG53:AG58"/>
    <mergeCell ref="C54:D54"/>
    <mergeCell ref="AA54:AB54"/>
    <mergeCell ref="C55:D55"/>
    <mergeCell ref="AA55:AB55"/>
    <mergeCell ref="C56:D56"/>
    <mergeCell ref="AA49:AB49"/>
    <mergeCell ref="C50:D50"/>
    <mergeCell ref="AA50:AB50"/>
    <mergeCell ref="C51:D51"/>
    <mergeCell ref="AA51:AB51"/>
    <mergeCell ref="C52:D52"/>
    <mergeCell ref="AA52:AB52"/>
    <mergeCell ref="AA56:AB56"/>
    <mergeCell ref="C57:D57"/>
    <mergeCell ref="AA57:AB57"/>
    <mergeCell ref="C58:D58"/>
    <mergeCell ref="AA58:AB58"/>
    <mergeCell ref="A59:A64"/>
    <mergeCell ref="C59:D59"/>
    <mergeCell ref="R59:R64"/>
    <mergeCell ref="AA59:AB59"/>
    <mergeCell ref="AA64:AB64"/>
    <mergeCell ref="A53:A58"/>
    <mergeCell ref="C53:D53"/>
    <mergeCell ref="R53:R58"/>
    <mergeCell ref="AA53:AB53"/>
    <mergeCell ref="AG59:AG64"/>
    <mergeCell ref="C60:D60"/>
    <mergeCell ref="AA60:AB60"/>
    <mergeCell ref="C61:D61"/>
    <mergeCell ref="AA61:AB61"/>
    <mergeCell ref="C62:D62"/>
    <mergeCell ref="AA62:AB62"/>
    <mergeCell ref="C63:D63"/>
    <mergeCell ref="AA63:AB63"/>
    <mergeCell ref="C64:D64"/>
  </mergeCells>
  <phoneticPr fontId="3" type="noConversion"/>
  <conditionalFormatting sqref="O52:O53 O56:O64 O5:O9 O12:O14 O20:O50">
    <cfRule type="cellIs" dxfId="1957" priority="48" operator="greaterThan">
      <formula>0</formula>
    </cfRule>
  </conditionalFormatting>
  <conditionalFormatting sqref="P5:P7 P56:P57 AE56:AE57 P59:P63 P29:P33 P53 P9 P12:P14 P21:P27 P45:P50 P35:P43 AE5:AE53 AE59:AE64">
    <cfRule type="cellIs" dxfId="1956" priority="52" operator="lessThan">
      <formula>0</formula>
    </cfRule>
  </conditionalFormatting>
  <conditionalFormatting sqref="AF56:AF57 Q52:Q53 Q56:Q64 Q5:Q9 Q12:Q14 Q20:Q50 AF5:AF53 AF59:AF64">
    <cfRule type="cellIs" dxfId="1955" priority="49" operator="greaterThan">
      <formula>1</formula>
    </cfRule>
    <cfRule type="cellIs" dxfId="1954" priority="50" operator="lessThan">
      <formula>0.8</formula>
    </cfRule>
  </conditionalFormatting>
  <conditionalFormatting sqref="AG13:AG14 R13:R14 AG56 R20:R26 AG20:AG26 AG52:AG53 R52:R53 R56:R64 AG5:AG9 R5:R9 AG28:AG50 R28:R50">
    <cfRule type="cellIs" dxfId="1953" priority="54" operator="lessThan">
      <formula>0.8</formula>
    </cfRule>
  </conditionalFormatting>
  <conditionalFormatting sqref="AG41">
    <cfRule type="cellIs" dxfId="1952" priority="56" operator="lessThan">
      <formula>0.8</formula>
    </cfRule>
  </conditionalFormatting>
  <conditionalFormatting sqref="AG21:AG26">
    <cfRule type="cellIs" dxfId="1951" priority="53" operator="lessThan">
      <formula>0.8</formula>
    </cfRule>
  </conditionalFormatting>
  <conditionalFormatting sqref="AG29">
    <cfRule type="cellIs" dxfId="1950" priority="55" operator="lessThan">
      <formula>0.8</formula>
    </cfRule>
  </conditionalFormatting>
  <conditionalFormatting sqref="AG35:AG39">
    <cfRule type="cellIs" dxfId="1949" priority="51" operator="lessThan">
      <formula>0.8</formula>
    </cfRule>
  </conditionalFormatting>
  <conditionalFormatting sqref="AE58">
    <cfRule type="cellIs" dxfId="1948" priority="47" operator="lessThan">
      <formula>0</formula>
    </cfRule>
  </conditionalFormatting>
  <conditionalFormatting sqref="AF58">
    <cfRule type="cellIs" dxfId="1947" priority="45" operator="greaterThan">
      <formula>1</formula>
    </cfRule>
    <cfRule type="cellIs" dxfId="1946" priority="46" operator="lessThan">
      <formula>0.8</formula>
    </cfRule>
  </conditionalFormatting>
  <conditionalFormatting sqref="O15:O16">
    <cfRule type="cellIs" dxfId="1945" priority="40" operator="greaterThan">
      <formula>0</formula>
    </cfRule>
  </conditionalFormatting>
  <conditionalFormatting sqref="P15:P16">
    <cfRule type="cellIs" dxfId="1944" priority="43" operator="lessThan">
      <formula>0</formula>
    </cfRule>
  </conditionalFormatting>
  <conditionalFormatting sqref="Q15:Q16">
    <cfRule type="cellIs" dxfId="1943" priority="41" operator="greaterThan">
      <formula>1</formula>
    </cfRule>
    <cfRule type="cellIs" dxfId="1942" priority="42" operator="lessThan">
      <formula>0.8</formula>
    </cfRule>
  </conditionalFormatting>
  <conditionalFormatting sqref="R15:R16 AG15:AG16">
    <cfRule type="cellIs" dxfId="1941" priority="44" operator="lessThan">
      <formula>0.8</formula>
    </cfRule>
  </conditionalFormatting>
  <conditionalFormatting sqref="O10:O11">
    <cfRule type="cellIs" dxfId="1940" priority="36" operator="greaterThan">
      <formula>0</formula>
    </cfRule>
  </conditionalFormatting>
  <conditionalFormatting sqref="P10:P11">
    <cfRule type="cellIs" dxfId="1939" priority="39" operator="lessThan">
      <formula>0</formula>
    </cfRule>
  </conditionalFormatting>
  <conditionalFormatting sqref="Q10:Q11">
    <cfRule type="cellIs" dxfId="1938" priority="37" operator="greaterThan">
      <formula>1</formula>
    </cfRule>
    <cfRule type="cellIs" dxfId="1937" priority="38" operator="lessThan">
      <formula>0.8</formula>
    </cfRule>
  </conditionalFormatting>
  <conditionalFormatting sqref="O51">
    <cfRule type="cellIs" dxfId="1936" priority="31" operator="greaterThan">
      <formula>0</formula>
    </cfRule>
  </conditionalFormatting>
  <conditionalFormatting sqref="P51">
    <cfRule type="cellIs" dxfId="1935" priority="34" operator="lessThan">
      <formula>0</formula>
    </cfRule>
  </conditionalFormatting>
  <conditionalFormatting sqref="Q51">
    <cfRule type="cellIs" dxfId="1934" priority="32" operator="greaterThan">
      <formula>1</formula>
    </cfRule>
    <cfRule type="cellIs" dxfId="1933" priority="33" operator="lessThan">
      <formula>0.8</formula>
    </cfRule>
  </conditionalFormatting>
  <conditionalFormatting sqref="R51 AG51">
    <cfRule type="cellIs" dxfId="1932" priority="35" operator="lessThan">
      <formula>0.8</formula>
    </cfRule>
  </conditionalFormatting>
  <conditionalFormatting sqref="O55">
    <cfRule type="cellIs" dxfId="1931" priority="26" operator="greaterThan">
      <formula>0</formula>
    </cfRule>
  </conditionalFormatting>
  <conditionalFormatting sqref="P55 AE55">
    <cfRule type="cellIs" dxfId="1930" priority="29" operator="lessThan">
      <formula>0</formula>
    </cfRule>
  </conditionalFormatting>
  <conditionalFormatting sqref="Q55 AF55">
    <cfRule type="cellIs" dxfId="1929" priority="27" operator="greaterThan">
      <formula>1</formula>
    </cfRule>
    <cfRule type="cellIs" dxfId="1928" priority="28" operator="lessThan">
      <formula>0.8</formula>
    </cfRule>
  </conditionalFormatting>
  <conditionalFormatting sqref="R55 AG55">
    <cfRule type="cellIs" dxfId="1927" priority="30" operator="lessThan">
      <formula>0.8</formula>
    </cfRule>
  </conditionalFormatting>
  <conditionalFormatting sqref="O17:O18">
    <cfRule type="cellIs" dxfId="1926" priority="21" operator="greaterThan">
      <formula>0</formula>
    </cfRule>
  </conditionalFormatting>
  <conditionalFormatting sqref="P17:P18">
    <cfRule type="cellIs" dxfId="1925" priority="24" operator="lessThan">
      <formula>0</formula>
    </cfRule>
  </conditionalFormatting>
  <conditionalFormatting sqref="Q17:Q18">
    <cfRule type="cellIs" dxfId="1924" priority="22" operator="greaterThan">
      <formula>1</formula>
    </cfRule>
    <cfRule type="cellIs" dxfId="1923" priority="23" operator="lessThan">
      <formula>0.8</formula>
    </cfRule>
  </conditionalFormatting>
  <conditionalFormatting sqref="R17:R18 AG17:AG18">
    <cfRule type="cellIs" dxfId="1922" priority="25" operator="lessThan">
      <formula>0.8</formula>
    </cfRule>
  </conditionalFormatting>
  <conditionalFormatting sqref="R27 AG27">
    <cfRule type="cellIs" dxfId="1921" priority="20" operator="lessThan">
      <formula>0.8</formula>
    </cfRule>
  </conditionalFormatting>
  <conditionalFormatting sqref="AG27">
    <cfRule type="cellIs" dxfId="1920" priority="19" operator="lessThan">
      <formula>0.8</formula>
    </cfRule>
  </conditionalFormatting>
  <conditionalFormatting sqref="O54">
    <cfRule type="cellIs" dxfId="1919" priority="14" operator="greaterThan">
      <formula>0</formula>
    </cfRule>
  </conditionalFormatting>
  <conditionalFormatting sqref="P54 AE54">
    <cfRule type="cellIs" dxfId="1918" priority="17" operator="lessThan">
      <formula>0</formula>
    </cfRule>
  </conditionalFormatting>
  <conditionalFormatting sqref="Q54 AF54">
    <cfRule type="cellIs" dxfId="1917" priority="15" operator="greaterThan">
      <formula>1</formula>
    </cfRule>
    <cfRule type="cellIs" dxfId="1916" priority="16" operator="lessThan">
      <formula>0.8</formula>
    </cfRule>
  </conditionalFormatting>
  <conditionalFormatting sqref="R54 AG54">
    <cfRule type="cellIs" dxfId="1915" priority="18" operator="lessThan">
      <formula>0.8</formula>
    </cfRule>
  </conditionalFormatting>
  <conditionalFormatting sqref="O19">
    <cfRule type="cellIs" dxfId="1914" priority="9" operator="greaterThan">
      <formula>0</formula>
    </cfRule>
  </conditionalFormatting>
  <conditionalFormatting sqref="P19">
    <cfRule type="cellIs" dxfId="1913" priority="12" operator="lessThan">
      <formula>0</formula>
    </cfRule>
  </conditionalFormatting>
  <conditionalFormatting sqref="Q19">
    <cfRule type="cellIs" dxfId="1912" priority="10" operator="greaterThan">
      <formula>1</formula>
    </cfRule>
    <cfRule type="cellIs" dxfId="1911" priority="11" operator="lessThan">
      <formula>0.8</formula>
    </cfRule>
  </conditionalFormatting>
  <conditionalFormatting sqref="AG19 R19">
    <cfRule type="cellIs" dxfId="1910" priority="13" operator="lessThan">
      <formula>0.8</formula>
    </cfRule>
  </conditionalFormatting>
  <conditionalFormatting sqref="P8">
    <cfRule type="cellIs" dxfId="1909" priority="8" operator="lessThan">
      <formula>0</formula>
    </cfRule>
  </conditionalFormatting>
  <conditionalFormatting sqref="P20">
    <cfRule type="cellIs" dxfId="1908" priority="7" operator="lessThan">
      <formula>0</formula>
    </cfRule>
  </conditionalFormatting>
  <conditionalFormatting sqref="P28">
    <cfRule type="cellIs" dxfId="1907" priority="6" operator="lessThan">
      <formula>0</formula>
    </cfRule>
  </conditionalFormatting>
  <conditionalFormatting sqref="P34">
    <cfRule type="cellIs" dxfId="1906" priority="5" operator="lessThan">
      <formula>0</formula>
    </cfRule>
  </conditionalFormatting>
  <conditionalFormatting sqref="P44">
    <cfRule type="cellIs" dxfId="1905" priority="4" operator="lessThan">
      <formula>0</formula>
    </cfRule>
  </conditionalFormatting>
  <conditionalFormatting sqref="P52">
    <cfRule type="cellIs" dxfId="1904" priority="3" operator="lessThan">
      <formula>0</formula>
    </cfRule>
  </conditionalFormatting>
  <conditionalFormatting sqref="P58">
    <cfRule type="cellIs" dxfId="1903" priority="2" operator="lessThan">
      <formula>0</formula>
    </cfRule>
  </conditionalFormatting>
  <conditionalFormatting sqref="P64">
    <cfRule type="cellIs" dxfId="1902" priority="1" operator="lessThan">
      <formula>0</formula>
    </cfRule>
  </conditionalFormatting>
  <dataValidations count="1">
    <dataValidation type="list" allowBlank="1" showInputMessage="1" showErrorMessage="1" sqref="AB8 AA5:AB7 AB57 AA8:AA57 AB10:AB53 AA58:AB64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D10" sqref="D10:J10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612" t="s">
        <v>2505</v>
      </c>
      <c r="C1" s="612"/>
      <c r="D1" s="612"/>
      <c r="E1" s="612"/>
      <c r="F1" s="612"/>
      <c r="G1" s="612"/>
      <c r="H1" s="612"/>
      <c r="I1" s="612"/>
      <c r="J1" s="612"/>
      <c r="K1" s="51"/>
      <c r="L1" s="51"/>
      <c r="M1" s="51"/>
      <c r="N1" s="51"/>
      <c r="O1" s="51"/>
      <c r="P1" s="51"/>
    </row>
    <row r="2" spans="2:17" ht="27.75" customHeight="1">
      <c r="B2" s="613"/>
      <c r="C2" s="613"/>
      <c r="D2" s="613"/>
      <c r="E2" s="613"/>
      <c r="F2" s="613"/>
      <c r="G2" s="613"/>
      <c r="H2" s="613"/>
      <c r="I2" s="613"/>
      <c r="J2" s="613"/>
      <c r="K2" s="53"/>
      <c r="L2" s="53"/>
      <c r="M2" s="53"/>
      <c r="N2" s="51"/>
      <c r="O2" s="51"/>
      <c r="P2" s="51"/>
    </row>
    <row r="3" spans="2:17" ht="46.5" customHeight="1">
      <c r="B3" s="54" t="s">
        <v>2506</v>
      </c>
      <c r="C3" s="614" t="str">
        <f>TEXT('0827 4度C'!A2,"yyyy.mm.ddaaaa")</f>
        <v>2026.08.27星期四</v>
      </c>
      <c r="D3" s="615"/>
      <c r="E3" s="54" t="s">
        <v>2507</v>
      </c>
      <c r="F3" s="616">
        <f>'0827 4度C'!D1</f>
        <v>157218</v>
      </c>
      <c r="G3" s="617"/>
      <c r="H3" s="54" t="s">
        <v>2508</v>
      </c>
      <c r="I3" s="618">
        <f>'0827 4度C'!F1</f>
        <v>5568827.9099999992</v>
      </c>
      <c r="J3" s="619"/>
      <c r="K3" s="55"/>
      <c r="L3" s="56"/>
      <c r="M3" s="57"/>
      <c r="N3" s="57"/>
    </row>
    <row r="4" spans="2:17" ht="28.5" customHeight="1">
      <c r="B4" s="620" t="s">
        <v>2509</v>
      </c>
      <c r="C4" s="606" t="s">
        <v>2510</v>
      </c>
      <c r="D4" s="607"/>
      <c r="E4" s="623" t="s">
        <v>2511</v>
      </c>
      <c r="F4" s="624"/>
      <c r="G4" s="623" t="s">
        <v>2512</v>
      </c>
      <c r="H4" s="624"/>
      <c r="I4" s="623" t="s">
        <v>2513</v>
      </c>
      <c r="J4" s="624"/>
      <c r="K4" s="604" t="s">
        <v>2514</v>
      </c>
      <c r="L4" s="605"/>
      <c r="M4" s="605" t="s">
        <v>2515</v>
      </c>
      <c r="N4" s="605"/>
    </row>
    <row r="5" spans="2:17" ht="28.5" customHeight="1">
      <c r="B5" s="621"/>
      <c r="C5" s="606" t="s">
        <v>326</v>
      </c>
      <c r="D5" s="607"/>
      <c r="E5" s="606" t="s">
        <v>2516</v>
      </c>
      <c r="F5" s="607"/>
      <c r="G5" s="608" t="s">
        <v>2517</v>
      </c>
      <c r="H5" s="609"/>
      <c r="I5" s="610" t="s">
        <v>2518</v>
      </c>
      <c r="J5" s="611"/>
      <c r="K5" s="58" t="s">
        <v>2519</v>
      </c>
      <c r="L5" s="59" t="s">
        <v>2520</v>
      </c>
      <c r="M5" s="58" t="s">
        <v>2521</v>
      </c>
      <c r="N5" s="59" t="s">
        <v>2522</v>
      </c>
    </row>
    <row r="6" spans="2:17" ht="28.5" customHeight="1">
      <c r="B6" s="621"/>
      <c r="C6" s="606" t="s">
        <v>169</v>
      </c>
      <c r="D6" s="607"/>
      <c r="E6" s="598">
        <f>AVERAGE(D13:M13)</f>
        <v>155.29880385717919</v>
      </c>
      <c r="F6" s="599">
        <f>AVERAGE(D31:O31,D13:J13)</f>
        <v>162.54473399428545</v>
      </c>
      <c r="G6" s="600">
        <f>AVERAGE(D13:J13)</f>
        <v>162.54473399428545</v>
      </c>
      <c r="H6" s="601"/>
      <c r="I6" s="600">
        <f>AVERAGE(K13:M13)</f>
        <v>138.39163353726462</v>
      </c>
      <c r="J6" s="601"/>
      <c r="K6" s="602">
        <f>'0827 4度C'!Y2</f>
        <v>0</v>
      </c>
      <c r="L6" s="587">
        <f>'0827 4度C'!Z2</f>
        <v>0</v>
      </c>
      <c r="M6" s="603">
        <f>'0827 4度C'!AC2</f>
        <v>54</v>
      </c>
      <c r="N6" s="587">
        <f>'0827 4度C'!AD2</f>
        <v>0</v>
      </c>
    </row>
    <row r="7" spans="2:17" ht="28.5" customHeight="1">
      <c r="B7" s="621"/>
      <c r="C7" s="588" t="s">
        <v>170</v>
      </c>
      <c r="D7" s="589"/>
      <c r="E7" s="590">
        <f>AVERAGE(D14:M14)</f>
        <v>149.13282961127271</v>
      </c>
      <c r="F7" s="591">
        <f>AVERAGE(D32:O32,D14:J14)</f>
        <v>156.29319587018759</v>
      </c>
      <c r="G7" s="592">
        <f>AVERAGE(D14:J14)</f>
        <v>156.29319587018759</v>
      </c>
      <c r="H7" s="593"/>
      <c r="I7" s="592">
        <f>AVERAGE(K14:M14)</f>
        <v>132.42530834047139</v>
      </c>
      <c r="J7" s="593"/>
      <c r="K7" s="602"/>
      <c r="L7" s="587"/>
      <c r="M7" s="603"/>
      <c r="N7" s="587"/>
    </row>
    <row r="8" spans="2:17" ht="28.5" customHeight="1">
      <c r="B8" s="622"/>
      <c r="C8" s="588" t="s">
        <v>171</v>
      </c>
      <c r="D8" s="589"/>
      <c r="E8" s="594">
        <f>AVERAGE(D15:M15)</f>
        <v>0.95963562016406079</v>
      </c>
      <c r="F8" s="595">
        <f>AVERAGE(D15:J15,D33:O33)</f>
        <v>0.96078087747245944</v>
      </c>
      <c r="G8" s="596">
        <f>AVERAGE(D15:J15)</f>
        <v>0.96078087747245944</v>
      </c>
      <c r="H8" s="597"/>
      <c r="I8" s="596">
        <f>AVERAGE(K15:M15)</f>
        <v>0.9569633531111309</v>
      </c>
      <c r="J8" s="597"/>
      <c r="K8" s="602"/>
      <c r="L8" s="587"/>
      <c r="M8" s="603"/>
      <c r="N8" s="587"/>
    </row>
    <row r="9" spans="2:17" ht="28.5" customHeight="1" thickBot="1">
      <c r="H9" s="61"/>
      <c r="K9" s="62" t="s">
        <v>2523</v>
      </c>
      <c r="N9" s="57"/>
      <c r="O9" s="57"/>
      <c r="P9" s="57"/>
      <c r="Q9" s="57"/>
    </row>
    <row r="10" spans="2:17" ht="30" customHeight="1">
      <c r="B10" s="570" t="s">
        <v>2524</v>
      </c>
      <c r="C10" s="571"/>
      <c r="D10" s="572" t="s">
        <v>2525</v>
      </c>
      <c r="E10" s="573"/>
      <c r="F10" s="573"/>
      <c r="G10" s="573"/>
      <c r="H10" s="573"/>
      <c r="I10" s="573"/>
      <c r="J10" s="574"/>
      <c r="K10" s="575" t="s">
        <v>2526</v>
      </c>
      <c r="L10" s="576"/>
      <c r="M10" s="577"/>
      <c r="P10" s="63"/>
      <c r="Q10" s="63"/>
    </row>
    <row r="11" spans="2:17" ht="17.25" customHeight="1">
      <c r="B11" s="578" t="s">
        <v>2527</v>
      </c>
      <c r="C11" s="579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80"/>
      <c r="C12" s="581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582" t="s">
        <v>2528</v>
      </c>
      <c r="C13" s="70" t="s">
        <v>2529</v>
      </c>
      <c r="D13" s="71">
        <f>SUMIFS('0827 4度C'!$K:$K,'0827 4度C'!$A:$A,"新豐6線",'0827 4度C'!$B:$B,"平均")</f>
        <v>130.43478260869566</v>
      </c>
      <c r="E13" s="72">
        <f>SUMIFS('0827 4度C'!$K:$K,'0827 4度C'!$A:$A,"新豐2線",'0827 4度C'!$B:$B,"平均")</f>
        <v>88.235294117647058</v>
      </c>
      <c r="F13" s="73">
        <f>SUMIFS('0827 4度C'!$K:$K,'0827 4度C'!$A:$A,"新豐5線",'0827 4度C'!$B:$B,"平均")</f>
        <v>96.899224806201559</v>
      </c>
      <c r="G13" s="73">
        <f>SUMIFS('0827 4度C'!$K:$K,'0827 4度C'!$A:$A,"新豐7線",'0827 4度C'!$B:$B,"平均")</f>
        <v>130.84112149532709</v>
      </c>
      <c r="H13" s="73">
        <f>SUMIFS('0827 4度C'!$K:$K,'0827 4度C'!$A:$A,"新豐3線",'0827 4度C'!$B:$B,"平均")</f>
        <v>300</v>
      </c>
      <c r="I13" s="73">
        <f>SUMIFS('0827 4度C'!$K:$K,'0827 4度C'!$A:$A,"新豐1線",'0827 4度C'!$B:$B,"平均")</f>
        <v>102.94117647058825</v>
      </c>
      <c r="J13" s="74">
        <f>SUMIFS('0827 4度C'!$K:$K,'0827 4度C'!$A:$A,"新豐10線",'0827 4度C'!$B:$B,"平均")</f>
        <v>288.46153846153845</v>
      </c>
      <c r="K13" s="75">
        <f>SUMIFS('0827 4度C'!$K:$K,'0827 4度C'!$A:$A,"新豐8線",'0827 4度C'!$B:$B,"平均")</f>
        <v>139.80582524271844</v>
      </c>
      <c r="L13" s="76">
        <f>SUMIFS('0827 4度C'!$K:$K,'0827 4度C'!$A:$A,"新豐9線",'0827 4度C'!$B:$B,"平均")</f>
        <v>129.91452991452991</v>
      </c>
      <c r="M13" s="74">
        <f>SUMIFS('0827 4度C'!$K:$K,'0827 4度C'!$A:$A,"新豐4線",'0827 4度C'!$B:$B,"平均")</f>
        <v>145.45454545454547</v>
      </c>
    </row>
    <row r="14" spans="2:17" ht="39.6" customHeight="1">
      <c r="B14" s="583"/>
      <c r="C14" s="77" t="s">
        <v>2530</v>
      </c>
      <c r="D14" s="78">
        <f>SUMIFS('0827 4度C'!$N:$N,'0827 4度C'!$A:$A,"新豐6線",'0827 4度C'!$B:$B,"平均")</f>
        <v>124.90955358441182</v>
      </c>
      <c r="E14" s="79">
        <f>SUMIFS('0827 4度C'!$N:$N,'0827 4度C'!$A:$A,"新豐2線",'0827 4度C'!$B:$B,"平均")</f>
        <v>84.274912252475303</v>
      </c>
      <c r="F14" s="79">
        <f>SUMIFS('0827 4度C'!$N:$N,'0827 4度C'!$A:$A,"新豐5線",'0827 4度C'!$B:$B,"平均")</f>
        <v>93.036429914722987</v>
      </c>
      <c r="G14" s="79">
        <f>SUMIFS('0827 4度C'!$N:$N,'0827 4度C'!$A:$A,"新豐7線",'0827 4度C'!$B:$B,"平均")</f>
        <v>126.03135876248473</v>
      </c>
      <c r="H14" s="79">
        <f>SUMIFS('0827 4度C'!$N:$N,'0827 4度C'!$A:$A,"新豐3線",'0827 4度C'!$B:$B,"平均")</f>
        <v>287.17478315081092</v>
      </c>
      <c r="I14" s="79">
        <f>SUMIFS('0827 4度C'!$N:$N,'0827 4度C'!$A:$A,"新豐1線",'0827 4度C'!$B:$B,"平均")</f>
        <v>99.160628649202394</v>
      </c>
      <c r="J14" s="80">
        <f>SUMIFS('0827 4度C'!$N:$N,'0827 4度C'!$A:$A,"新豐10線",'0827 4度C'!$B:$B,"平均")</f>
        <v>279.46470477720482</v>
      </c>
      <c r="K14" s="81">
        <f>SUMIFS('0827 4度C'!$N:$N,'0827 4度C'!$A:$A,"新豐8線",'0827 4度C'!$B:$B,"平均")</f>
        <v>133.60582240940565</v>
      </c>
      <c r="L14" s="82">
        <f>SUMIFS('0827 4度C'!$N:$N,'0827 4度C'!$A:$A,"新豐9線",'0827 4度C'!$B:$B,"平均")</f>
        <v>124.64650117876124</v>
      </c>
      <c r="M14" s="80">
        <f>SUMIFS('0827 4度C'!$N:$N,'0827 4度C'!$A:$A,"新豐4線",'0827 4度C'!$B:$B,"平均")</f>
        <v>139.02360143324731</v>
      </c>
    </row>
    <row r="15" spans="2:17" ht="40.15" customHeight="1">
      <c r="B15" s="584"/>
      <c r="C15" s="83" t="s">
        <v>2531</v>
      </c>
      <c r="D15" s="84">
        <f t="shared" ref="D15:M15" si="0">D14/D13</f>
        <v>0.95763991081382394</v>
      </c>
      <c r="E15" s="85">
        <f t="shared" si="0"/>
        <v>0.95511567219472016</v>
      </c>
      <c r="F15" s="85">
        <f t="shared" si="0"/>
        <v>0.96013595671994112</v>
      </c>
      <c r="G15" s="85">
        <f t="shared" si="0"/>
        <v>0.96323967054184767</v>
      </c>
      <c r="H15" s="85">
        <f t="shared" si="0"/>
        <v>0.95724927716936969</v>
      </c>
      <c r="I15" s="85">
        <f t="shared" si="0"/>
        <v>0.96327467830653746</v>
      </c>
      <c r="J15" s="86">
        <f t="shared" si="0"/>
        <v>0.9688109765609767</v>
      </c>
      <c r="K15" s="84">
        <f t="shared" si="0"/>
        <v>0.95565275751172096</v>
      </c>
      <c r="L15" s="85">
        <f t="shared" si="0"/>
        <v>0.95945004196809647</v>
      </c>
      <c r="M15" s="86">
        <f t="shared" si="0"/>
        <v>0.95578725985357516</v>
      </c>
    </row>
    <row r="16" spans="2:17" ht="17.25" customHeight="1">
      <c r="B16" s="585" t="s">
        <v>2532</v>
      </c>
      <c r="C16" s="87" t="s">
        <v>2533</v>
      </c>
      <c r="D16" s="88">
        <f>VLOOKUP("新豐6線",'0827 4度C'!$A:$T,19,0)</f>
        <v>0.70833333333333337</v>
      </c>
      <c r="E16" s="89">
        <f>VLOOKUP("新豐2線",'0827 4度C'!$A:$T,19,0)</f>
        <v>8.3333333333333329E-2</v>
      </c>
      <c r="F16" s="89">
        <f>VLOOKUP("新豐5線",'0827 4度C'!$A:$T,19,0)</f>
        <v>0.20833333333333334</v>
      </c>
      <c r="G16" s="89">
        <f>VLOOKUP("新豐7線",'0827 4度C'!$A:$T,19,0)</f>
        <v>0.20833333333333334</v>
      </c>
      <c r="H16" s="89">
        <f>VLOOKUP("新豐3線",'0827 4度C'!$A:$T,19,0)</f>
        <v>0.20833333333333334</v>
      </c>
      <c r="I16" s="89">
        <f>VLOOKUP("新豐1線",'0827 4度C'!$A:$T,19,0)</f>
        <v>0.20833333333333334</v>
      </c>
      <c r="J16" s="90">
        <f>VLOOKUP("新豐10線",'0827 4度C'!$A:$T,19,0)</f>
        <v>0.20833333333333334</v>
      </c>
      <c r="K16" s="91">
        <f>VLOOKUP("新豐8線",'0827 4度C'!$A:$T,19,0)</f>
        <v>8.3333333333333329E-2</v>
      </c>
      <c r="L16" s="92">
        <f>VLOOKUP("新豐9線",'0827 4度C'!$A:$T,19,0)</f>
        <v>8.3333333333333329E-2</v>
      </c>
      <c r="M16" s="93">
        <f>VLOOKUP("新豐4線",'0827 4度C'!$A:$T,19,0)</f>
        <v>8.3333333333333329E-2</v>
      </c>
    </row>
    <row r="17" spans="2:13" ht="17.25" customHeight="1">
      <c r="B17" s="586"/>
      <c r="C17" s="87" t="s">
        <v>2534</v>
      </c>
      <c r="D17" s="91">
        <f>LOOKUP(2,1/(('0827 4度C'!$A:$A="新豐6線")*('0827 4度C'!$T:$T&lt;&gt;"")),'0827 4度C'!$T:$T)</f>
        <v>0.84861111111111109</v>
      </c>
      <c r="E17" s="89">
        <f>LOOKUP(2,1/(('0827 4度C'!$A:$A="新豐2線")*('0827 4度C'!$T:$T&lt;&gt;"")),'0827 4度C'!$T:$T)</f>
        <v>0.45486111111111105</v>
      </c>
      <c r="F17" s="89">
        <f>LOOKUP(2,1/(('0827 4度C'!$A:$A="新豐5線")*('0827 4度C'!$T:$T&lt;&gt;"")),'0827 4度C'!$T:$T)</f>
        <v>0.81319444444444444</v>
      </c>
      <c r="G17" s="89">
        <f>LOOKUP(2,1/(('0827 4度C'!$A:$A="新豐7線")*('0827 4度C'!$T:$T&lt;&gt;"")),'0827 4度C'!$T:$T)</f>
        <v>0.81875000000000009</v>
      </c>
      <c r="H17" s="89">
        <f>LOOKUP(2,1/(('0827 4度C'!$A:$A="新豐3線")*('0827 4度C'!$T:$T&lt;&gt;"")),'0827 4度C'!$T:$T)</f>
        <v>0.40763888888888883</v>
      </c>
      <c r="I17" s="89">
        <f>LOOKUP(2,1/(('0827 4度C'!$A:$A="新豐1線")*('0827 4度C'!$T:$T&lt;&gt;"")),'0827 4度C'!$T:$T)</f>
        <v>0.79999999999999993</v>
      </c>
      <c r="J17" s="90">
        <f>LOOKUP(2,1/(('0827 4度C'!$A:$A="新豐10線")*('0827 4度C'!$T:$T&lt;&gt;"")),'0827 4度C'!$T:$T)</f>
        <v>0.42430555555555549</v>
      </c>
      <c r="K17" s="88">
        <f>LOOKUP(2,1/(('0827 4度C'!$A:$A="新豐8線")*('0827 4度C'!$T:$T&lt;&gt;"")),'0827 4度C'!$T:$T)</f>
        <v>0.59097222222222223</v>
      </c>
      <c r="L17" s="89">
        <f>LOOKUP(2,1/(('0827 4度C'!$A:$A="新豐9線")*('0827 4度C'!$T:$T&lt;&gt;"")),'0827 4度C'!$T:$T)</f>
        <v>0.65555555555555545</v>
      </c>
      <c r="M17" s="90">
        <f>LOOKUP(2,1/(('0827 4度C'!$A:$A="新豐4線")*('0827 4度C'!$T:$T&lt;&gt;"")),'0827 4度C'!$T:$T)</f>
        <v>0.59999999999999987</v>
      </c>
    </row>
    <row r="18" spans="2:13" ht="17.25" customHeight="1">
      <c r="B18" s="564" t="s">
        <v>2535</v>
      </c>
      <c r="C18" s="94" t="s">
        <v>2536</v>
      </c>
      <c r="D18" s="95">
        <f>SUMIFS('0827 4度C'!$Y:$Y,'0827 4度C'!$A:$A,"新豐6線",'0827 4度C'!$B:$B,"平均")</f>
        <v>0</v>
      </c>
      <c r="E18" s="96">
        <f>SUMIFS('0827 4度C'!$Y:$Y,'0827 4度C'!$A:$A,"新豐2線",'0827 4度C'!$B:$B,"平均")</f>
        <v>0</v>
      </c>
      <c r="F18" s="96">
        <f>SUMIFS('0827 4度C'!$Y:$Y,'0827 4度C'!$A:$A,"新豐5線",'0827 4度C'!$B:$B,"平均")</f>
        <v>0</v>
      </c>
      <c r="G18" s="96">
        <f>SUMIFS('0827 4度C'!$Y:$Y,'0827 4度C'!$A:$A,"新豐7線",'0827 4度C'!$B:$B,"平均")</f>
        <v>0</v>
      </c>
      <c r="H18" s="96">
        <f>SUMIFS('0827 4度C'!$Y:$Y,'0827 4度C'!$A:$A,"新豐3線",'0827 4度C'!$B:$B,"平均")</f>
        <v>0</v>
      </c>
      <c r="I18" s="96">
        <f>SUMIFS('0827 4度C'!$Y:$Y,'0827 4度C'!$A:$A,"新豐1線",'0827 4度C'!$B:$B,"平均")</f>
        <v>0</v>
      </c>
      <c r="J18" s="97">
        <f>SUMIFS('0827 4度C'!$Y:$Y,'0827 4度C'!$A:$A,"新豐10線",'0827 4度C'!$B:$B,"平均")</f>
        <v>0</v>
      </c>
      <c r="K18" s="98">
        <f>SUMIFS('0827 4度C'!$Y:$Y,'0827 4度C'!$A:$A,"新豐8線",'0827 4度C'!$B:$B,"平均")</f>
        <v>0</v>
      </c>
      <c r="L18" s="96">
        <f>SUMIFS('0827 4度C'!$Y:$Y,'0827 4度C'!$A:$A,"新豐9線",'0827 4度C'!$B:$B,"平均")</f>
        <v>0</v>
      </c>
      <c r="M18" s="97">
        <f>SUMIFS('0827 4度C'!$Y:$Y,'0827 4度C'!$A:$A,"新豐4線",'0827 4度C'!$B:$B,"平均")</f>
        <v>0</v>
      </c>
    </row>
    <row r="19" spans="2:13" ht="17.25" customHeight="1">
      <c r="B19" s="565"/>
      <c r="C19" s="94" t="s">
        <v>2537</v>
      </c>
      <c r="D19" s="95">
        <f>SUMIFS('0827 4度C'!$Z:$Z,'0827 4度C'!$A:$A,"新豐6線",'0827 4度C'!$B:$B,"平均")</f>
        <v>0</v>
      </c>
      <c r="E19" s="96">
        <f>SUMIFS('0827 4度C'!$Z:$Z,'0827 4度C'!$A:$A,"新豐2線",'0827 4度C'!$B:$B,"平均")</f>
        <v>0</v>
      </c>
      <c r="F19" s="96">
        <f>SUMIFS('0827 4度C'!$Z:$Z,'0827 4度C'!$A:$A,"新豐5線",'0827 4度C'!$B:$B,"平均")</f>
        <v>0</v>
      </c>
      <c r="G19" s="96">
        <f>SUMIFS('0827 4度C'!$Z:$Z,'0827 4度C'!$A:$A,"新豐7線",'0827 4度C'!$B:$B,"平均")</f>
        <v>0</v>
      </c>
      <c r="H19" s="96">
        <f>SUMIFS('0827 4度C'!$Z:$Z,'0827 4度C'!$A:$A,"新豐3線",'0827 4度C'!$B:$B,"平均")</f>
        <v>0</v>
      </c>
      <c r="I19" s="96">
        <f>SUMIFS('0827 4度C'!$Z:$Z,'0827 4度C'!$A:$A,"新豐1線",'0827 4度C'!$B:$B,"平均")</f>
        <v>0</v>
      </c>
      <c r="J19" s="97">
        <f>SUMIFS('0827 4度C'!$Z:$Z,'0827 4度C'!$A:$A,"新豐10線",'0827 4度C'!$B:$B,"平均")</f>
        <v>0</v>
      </c>
      <c r="K19" s="98">
        <f>SUMIFS('0827 4度C'!$Z:$Z,'0827 4度C'!$A:$A,"新豐8線",'0827 4度C'!$B:$B,"平均")</f>
        <v>0</v>
      </c>
      <c r="L19" s="96">
        <f>SUMIFS('0827 4度C'!$Z:$Z,'0827 4度C'!$A:$A,"新豐9線",'0827 4度C'!$B:$B,"平均")</f>
        <v>0</v>
      </c>
      <c r="M19" s="97">
        <f>SUMIFS('0827 4度C'!$Z:$Z,'0827 4度C'!$A:$A,"新豐4線",'0827 4度C'!$B:$B,"平均")</f>
        <v>0</v>
      </c>
    </row>
    <row r="20" spans="2:13" ht="17.25" customHeight="1">
      <c r="B20" s="564" t="s">
        <v>2538</v>
      </c>
      <c r="C20" s="94" t="s">
        <v>2539</v>
      </c>
      <c r="D20" s="95">
        <f>SUMIFS('0827 4度C'!$AC:$AC,'0827 4度C'!$A:$A,"新豐6線",'0827 4度C'!$B:$B,"平均")</f>
        <v>3</v>
      </c>
      <c r="E20" s="96">
        <f>SUMIFS('0827 4度C'!$AC:$AC,'0827 4度C'!$A:$A,"新豐2線",'0827 4度C'!$B:$B,"平均")</f>
        <v>3</v>
      </c>
      <c r="F20" s="96">
        <f>SUMIFS('0827 4度C'!$AC:$AC,'0827 4度C'!$A:$A,"新豐5線",'0827 4度C'!$B:$B,"平均")</f>
        <v>7</v>
      </c>
      <c r="G20" s="96">
        <f>SUMIFS('0827 4度C'!$AC:$AC,'0827 4度C'!$A:$A,"新豐7線",'0827 4度C'!$B:$B,"平均")</f>
        <v>7</v>
      </c>
      <c r="H20" s="96">
        <f>SUMIFS('0827 4度C'!$AC:$AC,'0827 4度C'!$A:$A,"新豐3線",'0827 4度C'!$B:$B,"平均")</f>
        <v>3</v>
      </c>
      <c r="I20" s="96">
        <f>SUMIFS('0827 4度C'!$AC:$AC,'0827 4度C'!$A:$A,"新豐1線",'0827 4度C'!$B:$B,"平均")</f>
        <v>7</v>
      </c>
      <c r="J20" s="97">
        <f>SUMIFS('0827 4度C'!$AC:$AC,'0827 4度C'!$A:$A,"新豐10線",'0827 4度C'!$B:$B,"平均")</f>
        <v>5</v>
      </c>
      <c r="K20" s="98">
        <f>SUMIFS('0827 4度C'!$AC:$AC,'0827 4度C'!$A:$A,"新豐8線",'0827 4度C'!$B:$B,"平均")</f>
        <v>6</v>
      </c>
      <c r="L20" s="96">
        <f>SUMIFS('0827 4度C'!$AC:$AC,'0827 4度C'!$A:$A,"新豐9線",'0827 4度C'!$B:$B,"平均")</f>
        <v>7</v>
      </c>
      <c r="M20" s="97">
        <f>SUMIFS('0827 4度C'!$AC:$AC,'0827 4度C'!$A:$A,"新豐4線",'0827 4度C'!$B:$B,"平均")</f>
        <v>6</v>
      </c>
    </row>
    <row r="21" spans="2:13" ht="17.25" customHeight="1">
      <c r="B21" s="565"/>
      <c r="C21" s="94" t="s">
        <v>2540</v>
      </c>
      <c r="D21" s="95">
        <f>SUMIFS('0827 4度C'!$AD:$AD,'0827 4度C'!$A:$A,"新豐6線",'0827 4度C'!$B:$B,"平均")</f>
        <v>0</v>
      </c>
      <c r="E21" s="96">
        <f>SUMIFS('0827 4度C'!$AD:$AD,'0827 4度C'!$A:$A,"新豐2線",'0827 4度C'!$B:$B,"平均")</f>
        <v>0</v>
      </c>
      <c r="F21" s="96">
        <f>SUMIFS('0827 4度C'!$AD:$AD,'0827 4度C'!$A:$A,"新豐5線",'0827 4度C'!$B:$B,"平均")</f>
        <v>0</v>
      </c>
      <c r="G21" s="96">
        <f>SUMIFS('0827 4度C'!$AD:$AD,'0827 4度C'!$A:$A,"新豐7線",'0827 4度C'!$B:$B,"平均")</f>
        <v>0</v>
      </c>
      <c r="H21" s="96">
        <f>SUMIFS('0827 4度C'!$AD:$AD,'0827 4度C'!$A:$A,"新豐3線",'0827 4度C'!$B:$B,"平均")</f>
        <v>0</v>
      </c>
      <c r="I21" s="96">
        <f>SUMIFS('0827 4度C'!$AD:$AD,'0827 4度C'!$A:$A,"新豐1線",'0827 4度C'!$B:$B,"平均")</f>
        <v>0</v>
      </c>
      <c r="J21" s="97">
        <f>SUMIFS('0827 4度C'!$AD:$AD,'0827 4度C'!$A:$A,"新豐10線",'0827 4度C'!$B:$B,"平均")</f>
        <v>0</v>
      </c>
      <c r="K21" s="98">
        <f>SUMIFS('0827 4度C'!$AD:$AD,'0827 4度C'!$A:$A,"新豐8線",'0827 4度C'!$B:$B,"平均")</f>
        <v>0</v>
      </c>
      <c r="L21" s="96">
        <f>SUMIFS('0827 4度C'!$AD:$AD,'0827 4度C'!$A:$A,"新豐9線",'0827 4度C'!$B:$B,"平均")</f>
        <v>0</v>
      </c>
      <c r="M21" s="97">
        <f>SUMIFS('0827 4度C'!$AD:$AD,'0827 4度C'!$A:$A,"新豐4線",'0827 4度C'!$B:$B,"平均")</f>
        <v>0</v>
      </c>
    </row>
    <row r="22" spans="2:13" ht="17.25" customHeight="1">
      <c r="B22" s="566" t="s">
        <v>2541</v>
      </c>
      <c r="C22" s="567"/>
      <c r="D22" s="99">
        <f>SUMIFS('0827 4度C'!$I:$I,'0827 4度C'!$A:$A,"新豐6線",'0827 4度C'!$B:$B,"平均")</f>
        <v>15.333333333333334</v>
      </c>
      <c r="E22" s="100">
        <f>SUMIFS('0827 4度C'!$I:$I,'0827 4度C'!$A:$A,"新豐2線",'0827 4度C'!$B:$B,"平均")</f>
        <v>17</v>
      </c>
      <c r="F22" s="100">
        <f>SUMIFS('0827 4度C'!$I:$I,'0827 4度C'!$A:$A,"新豐5線",'0827 4度C'!$B:$B,"平均")</f>
        <v>18.428571428571427</v>
      </c>
      <c r="G22" s="100">
        <f>SUMIFS('0827 4度C'!$I:$I,'0827 4度C'!$A:$A,"新豐7線",'0827 4度C'!$B:$B,"平均")</f>
        <v>15.285714285714286</v>
      </c>
      <c r="H22" s="100">
        <f>SUMIFS('0827 4度C'!$I:$I,'0827 4度C'!$A:$A,"新豐3線",'0827 4度C'!$B:$B,"平均")</f>
        <v>10</v>
      </c>
      <c r="I22" s="100">
        <f>SUMIFS('0827 4度C'!$I:$I,'0827 4度C'!$A:$A,"新豐1線",'0827 4度C'!$B:$B,"平均")</f>
        <v>19.428571428571427</v>
      </c>
      <c r="J22" s="101">
        <f>SUMIFS('0827 4度C'!$I:$I,'0827 4度C'!$A:$A,"新豐10線",'0827 4度C'!$B:$B,"平均")</f>
        <v>10.4</v>
      </c>
      <c r="K22" s="99">
        <f>SUMIFS('0827 4度C'!$I:$I,'0827 4度C'!$A:$A,"新豐8線",'0827 4度C'!$B:$B,"平均")</f>
        <v>17.166666666666668</v>
      </c>
      <c r="L22" s="100">
        <f>SUMIFS('0827 4度C'!$I:$I,'0827 4度C'!$A:$A,"新豐9線",'0827 4度C'!$B:$B,"平均")</f>
        <v>16.714285714285715</v>
      </c>
      <c r="M22" s="101">
        <f>SUMIFS('0827 4度C'!$I:$I,'0827 4度C'!$A:$A,"新豐4線",'0827 4度C'!$B:$B,"平均")</f>
        <v>16.5</v>
      </c>
    </row>
    <row r="23" spans="2:13" ht="17.25" customHeight="1">
      <c r="B23" s="566" t="s">
        <v>2542</v>
      </c>
      <c r="C23" s="567"/>
      <c r="D23" s="102" t="s">
        <v>202</v>
      </c>
      <c r="E23" s="103" t="s">
        <v>203</v>
      </c>
      <c r="F23" s="103" t="s">
        <v>2543</v>
      </c>
      <c r="G23" s="103" t="s">
        <v>2543</v>
      </c>
      <c r="H23" s="103" t="s">
        <v>205</v>
      </c>
      <c r="I23" s="103" t="s">
        <v>202</v>
      </c>
      <c r="J23" s="104" t="s">
        <v>205</v>
      </c>
      <c r="K23" s="102" t="s">
        <v>2544</v>
      </c>
      <c r="L23" s="103" t="s">
        <v>2544</v>
      </c>
      <c r="M23" s="104" t="s">
        <v>2545</v>
      </c>
    </row>
    <row r="24" spans="2:13" ht="17.25" customHeight="1">
      <c r="B24" s="566" t="s">
        <v>2546</v>
      </c>
      <c r="C24" s="567"/>
      <c r="D24" s="102"/>
      <c r="E24" s="103"/>
      <c r="F24" s="103" t="s">
        <v>2547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68" t="s">
        <v>2548</v>
      </c>
      <c r="C25" s="569"/>
      <c r="D25" s="105"/>
      <c r="E25" s="106" t="s">
        <v>2549</v>
      </c>
      <c r="F25" s="562" t="s">
        <v>2550</v>
      </c>
      <c r="G25" s="563"/>
      <c r="H25" s="106" t="s">
        <v>2551</v>
      </c>
      <c r="I25" s="106" t="s">
        <v>2552</v>
      </c>
      <c r="J25" s="107" t="s">
        <v>2551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90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69"/>
  <sheetViews>
    <sheetView topLeftCell="L1" zoomScale="80" zoomScaleNormal="80" workbookViewId="0">
      <pane ySplit="4" topLeftCell="A30" activePane="bottomLeft" state="frozen"/>
      <selection activeCell="D10" sqref="D10:J10"/>
      <selection pane="bottomLeft" activeCell="D10" sqref="D10:J10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41" customWidth="1"/>
    <col min="20" max="20" width="7.625" style="41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29" width="15.125" style="41" customWidth="1"/>
    <col min="30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2553</v>
      </c>
      <c r="B1" s="1"/>
      <c r="C1" s="2" t="s">
        <v>2554</v>
      </c>
      <c r="D1" s="3">
        <f>SUM(F5:F68)</f>
        <v>157218</v>
      </c>
      <c r="E1" s="489" t="s">
        <v>2555</v>
      </c>
      <c r="F1" s="1">
        <f>SUM(G5:G68)</f>
        <v>5568827.9099999992</v>
      </c>
      <c r="G1" s="1" t="s">
        <v>2556</v>
      </c>
      <c r="H1" s="5">
        <f>L8+L12+L47+L55+L20+L61+L35+L43+L28+L68</f>
        <v>156.25714285714287</v>
      </c>
      <c r="I1" s="676" t="s">
        <v>2557</v>
      </c>
      <c r="J1" s="676"/>
      <c r="K1" s="676"/>
      <c r="L1" s="676" t="s">
        <v>2558</v>
      </c>
      <c r="M1" s="676"/>
      <c r="N1" s="676"/>
      <c r="O1" s="676" t="s">
        <v>2559</v>
      </c>
      <c r="P1" s="676"/>
      <c r="Q1" s="676"/>
      <c r="R1" s="676"/>
      <c r="S1" s="676" t="s">
        <v>2560</v>
      </c>
      <c r="T1" s="676"/>
      <c r="U1" s="676"/>
      <c r="V1" s="676"/>
      <c r="W1" s="676"/>
      <c r="X1" s="676"/>
      <c r="Y1" s="6" t="s">
        <v>2561</v>
      </c>
      <c r="Z1" s="7" t="s">
        <v>2562</v>
      </c>
      <c r="AA1" s="677" t="s">
        <v>2563</v>
      </c>
      <c r="AB1" s="677"/>
      <c r="AC1" s="199" t="s">
        <v>2561</v>
      </c>
      <c r="AD1" s="7" t="s">
        <v>2564</v>
      </c>
      <c r="AE1" s="676" t="s">
        <v>2565</v>
      </c>
      <c r="AF1" s="678"/>
      <c r="AG1" s="678"/>
    </row>
    <row r="2" spans="1:33" ht="26.25" customHeight="1">
      <c r="A2" s="35">
        <v>46261</v>
      </c>
      <c r="B2" s="36" t="s">
        <v>621</v>
      </c>
      <c r="C2" s="2" t="s">
        <v>2566</v>
      </c>
      <c r="D2" s="10">
        <f>AVERAGE(N8,N12,N47,N55,N20,N61,N28,N35,N43,N68)</f>
        <v>149.13282961127271</v>
      </c>
      <c r="E2" s="11" t="s">
        <v>14</v>
      </c>
      <c r="F2" s="12">
        <f>F1/D1</f>
        <v>35.421058084952101</v>
      </c>
      <c r="G2" s="1" t="s">
        <v>2567</v>
      </c>
      <c r="H2" s="501">
        <f>COUNT(H5:H68)</f>
        <v>4</v>
      </c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14">
        <f>SUM(Y8+Y12+Y20+Y28+Y35+Y43+Y47+Y55+Y61+Y68)</f>
        <v>0</v>
      </c>
      <c r="Z2" s="14">
        <f>SUM(Z8+Z12+Z20+Z28+Z35+Z43+Z47+Z55+Z61+Z68)</f>
        <v>0</v>
      </c>
      <c r="AA2" s="677"/>
      <c r="AB2" s="677"/>
      <c r="AC2" s="200">
        <v>54</v>
      </c>
      <c r="AD2" s="14">
        <f>SUM(AD8+AD12+AD20+AD28+AD35+AD43+AD47+AD55+AD61+AD68)</f>
        <v>0</v>
      </c>
      <c r="AE2" s="678"/>
      <c r="AF2" s="678"/>
      <c r="AG2" s="678"/>
    </row>
    <row r="3" spans="1:33" ht="40.5" customHeight="1">
      <c r="A3" s="632" t="s">
        <v>2568</v>
      </c>
      <c r="B3" s="632" t="s">
        <v>282</v>
      </c>
      <c r="C3" s="632" t="s">
        <v>18</v>
      </c>
      <c r="D3" s="632"/>
      <c r="E3" s="674" t="s">
        <v>2569</v>
      </c>
      <c r="F3" s="632" t="s">
        <v>285</v>
      </c>
      <c r="G3" s="674" t="s">
        <v>2570</v>
      </c>
      <c r="H3" s="667" t="s">
        <v>2571</v>
      </c>
      <c r="I3" s="665" t="s">
        <v>25</v>
      </c>
      <c r="J3" s="662" t="s">
        <v>24</v>
      </c>
      <c r="K3" s="672" t="s">
        <v>2572</v>
      </c>
      <c r="L3" s="665" t="s">
        <v>2573</v>
      </c>
      <c r="M3" s="662" t="s">
        <v>24</v>
      </c>
      <c r="N3" s="672" t="s">
        <v>2574</v>
      </c>
      <c r="O3" s="665" t="s">
        <v>2575</v>
      </c>
      <c r="P3" s="672" t="s">
        <v>2576</v>
      </c>
      <c r="Q3" s="663" t="s">
        <v>27</v>
      </c>
      <c r="R3" s="641" t="s">
        <v>38</v>
      </c>
      <c r="S3" s="673" t="s">
        <v>29</v>
      </c>
      <c r="T3" s="673"/>
      <c r="U3" s="667" t="s">
        <v>30</v>
      </c>
      <c r="V3" s="667" t="s">
        <v>2577</v>
      </c>
      <c r="W3" s="632" t="s">
        <v>393</v>
      </c>
      <c r="X3" s="632"/>
      <c r="Y3" s="668" t="s">
        <v>2578</v>
      </c>
      <c r="Z3" s="631"/>
      <c r="AA3" s="669" t="s">
        <v>2579</v>
      </c>
      <c r="AB3" s="670"/>
      <c r="AC3" s="668" t="s">
        <v>2580</v>
      </c>
      <c r="AD3" s="631"/>
      <c r="AE3" s="662" t="s">
        <v>2581</v>
      </c>
      <c r="AF3" s="663" t="s">
        <v>2582</v>
      </c>
      <c r="AG3" s="641" t="s">
        <v>2583</v>
      </c>
    </row>
    <row r="4" spans="1:33" ht="15.75" customHeight="1">
      <c r="A4" s="632"/>
      <c r="B4" s="632"/>
      <c r="C4" s="632"/>
      <c r="D4" s="632"/>
      <c r="E4" s="675"/>
      <c r="F4" s="632"/>
      <c r="G4" s="675"/>
      <c r="H4" s="667"/>
      <c r="I4" s="665"/>
      <c r="J4" s="662"/>
      <c r="K4" s="672"/>
      <c r="L4" s="665"/>
      <c r="M4" s="662"/>
      <c r="N4" s="672"/>
      <c r="O4" s="665"/>
      <c r="P4" s="672"/>
      <c r="Q4" s="663"/>
      <c r="R4" s="641"/>
      <c r="S4" s="500" t="s">
        <v>39</v>
      </c>
      <c r="T4" s="500" t="s">
        <v>40</v>
      </c>
      <c r="U4" s="667"/>
      <c r="V4" s="667"/>
      <c r="W4" s="489" t="s">
        <v>2584</v>
      </c>
      <c r="X4" s="489" t="s">
        <v>298</v>
      </c>
      <c r="Y4" s="488" t="s">
        <v>2585</v>
      </c>
      <c r="Z4" s="488" t="s">
        <v>2586</v>
      </c>
      <c r="AA4" s="671"/>
      <c r="AB4" s="670"/>
      <c r="AC4" s="488" t="s">
        <v>2587</v>
      </c>
      <c r="AD4" s="488" t="s">
        <v>2588</v>
      </c>
      <c r="AE4" s="662"/>
      <c r="AF4" s="663"/>
      <c r="AG4" s="641"/>
    </row>
    <row r="5" spans="1:33">
      <c r="A5" s="664" t="s">
        <v>48</v>
      </c>
      <c r="B5" s="42" t="s">
        <v>92</v>
      </c>
      <c r="C5" s="666" t="s">
        <v>93</v>
      </c>
      <c r="D5" s="666"/>
      <c r="E5" s="42">
        <v>50.92</v>
      </c>
      <c r="F5" s="500">
        <v>2066</v>
      </c>
      <c r="G5" s="489">
        <f t="shared" ref="G5:G7" si="0">E5*F5</f>
        <v>105200.72</v>
      </c>
      <c r="H5" s="37" t="s">
        <v>91</v>
      </c>
      <c r="I5" s="498">
        <v>15</v>
      </c>
      <c r="J5" s="39">
        <v>2000</v>
      </c>
      <c r="K5" s="17">
        <f t="shared" ref="K5:K68" si="1">J5/I5</f>
        <v>133.33333333333334</v>
      </c>
      <c r="L5" s="498">
        <v>15</v>
      </c>
      <c r="M5" s="18">
        <f t="shared" ref="M5:M7" si="2">F5/V5*60</f>
        <v>1907.0769230769251</v>
      </c>
      <c r="N5" s="17">
        <f t="shared" ref="N5:N68" si="3">M5/L5</f>
        <v>127.13846153846167</v>
      </c>
      <c r="O5" s="19">
        <f t="shared" ref="O5:O68" si="4">L5-I5</f>
        <v>0</v>
      </c>
      <c r="P5" s="20">
        <f t="shared" ref="P5:P68" si="5">N5-K5</f>
        <v>-6.1948717948716734</v>
      </c>
      <c r="Q5" s="494">
        <f t="shared" ref="Q5:Q68" si="6">N5/K5</f>
        <v>0.95353846153846245</v>
      </c>
      <c r="R5" s="637">
        <f>Q8</f>
        <v>0.95763991081382394</v>
      </c>
      <c r="S5" s="40">
        <v>0.70833333333333337</v>
      </c>
      <c r="T5" s="40">
        <v>0.75347222222222221</v>
      </c>
      <c r="U5" s="489"/>
      <c r="V5" s="499">
        <f t="shared" ref="V5:V7" si="7">(T5-S5)*24*60</f>
        <v>64.999999999999929</v>
      </c>
      <c r="W5" s="23"/>
      <c r="X5" s="23"/>
      <c r="Y5" s="24"/>
      <c r="Z5" s="24"/>
      <c r="AA5" s="632"/>
      <c r="AB5" s="632"/>
      <c r="AC5" s="135">
        <v>3</v>
      </c>
      <c r="AD5" s="25"/>
      <c r="AE5" s="19">
        <f t="shared" ref="AE5:AE54" si="8">M5-J5</f>
        <v>-92.923076923074859</v>
      </c>
      <c r="AF5" s="494">
        <f t="shared" ref="AF5:AF68" si="9">M5/J5</f>
        <v>0.95353846153846256</v>
      </c>
      <c r="AG5" s="637">
        <f>AF8</f>
        <v>0.95763991081382405</v>
      </c>
    </row>
    <row r="6" spans="1:33">
      <c r="A6" s="665" t="s">
        <v>2589</v>
      </c>
      <c r="B6" s="42" t="s">
        <v>92</v>
      </c>
      <c r="C6" s="666" t="s">
        <v>94</v>
      </c>
      <c r="D6" s="666"/>
      <c r="E6" s="42">
        <v>50.98</v>
      </c>
      <c r="F6" s="500">
        <v>2188</v>
      </c>
      <c r="G6" s="489">
        <f t="shared" si="0"/>
        <v>111544.23999999999</v>
      </c>
      <c r="H6" s="37" t="s">
        <v>91</v>
      </c>
      <c r="I6" s="498">
        <v>16</v>
      </c>
      <c r="J6" s="39">
        <v>2000</v>
      </c>
      <c r="K6" s="17">
        <f t="shared" si="1"/>
        <v>125</v>
      </c>
      <c r="L6" s="498">
        <v>16</v>
      </c>
      <c r="M6" s="18">
        <f t="shared" si="2"/>
        <v>1902.6086956521719</v>
      </c>
      <c r="N6" s="17">
        <f t="shared" si="3"/>
        <v>118.91304347826075</v>
      </c>
      <c r="O6" s="19">
        <f t="shared" si="4"/>
        <v>0</v>
      </c>
      <c r="P6" s="20">
        <f t="shared" si="5"/>
        <v>-6.0869565217392534</v>
      </c>
      <c r="Q6" s="494">
        <f t="shared" si="6"/>
        <v>0.95130434782608597</v>
      </c>
      <c r="R6" s="637"/>
      <c r="S6" s="40">
        <v>0.75902777777777775</v>
      </c>
      <c r="T6" s="40">
        <v>0.80694444444444446</v>
      </c>
      <c r="U6" s="489">
        <f t="shared" ref="U6:U7" si="10">IF(S6=TIME(17,0,0),"",(S6-T5)*24*60)</f>
        <v>7.9999999999999716</v>
      </c>
      <c r="V6" s="499">
        <f t="shared" si="7"/>
        <v>69.000000000000071</v>
      </c>
      <c r="W6" s="23"/>
      <c r="X6" s="23"/>
      <c r="Y6" s="23"/>
      <c r="Z6" s="23"/>
      <c r="AA6" s="632"/>
      <c r="AB6" s="632"/>
      <c r="AC6" s="135"/>
      <c r="AD6" s="25"/>
      <c r="AE6" s="19">
        <f t="shared" si="8"/>
        <v>-97.391304347828054</v>
      </c>
      <c r="AF6" s="494">
        <f t="shared" si="9"/>
        <v>0.95130434782608597</v>
      </c>
      <c r="AG6" s="637"/>
    </row>
    <row r="7" spans="1:33">
      <c r="A7" s="665" t="s">
        <v>2590</v>
      </c>
      <c r="B7" s="42" t="s">
        <v>92</v>
      </c>
      <c r="C7" s="660" t="s">
        <v>109</v>
      </c>
      <c r="D7" s="661"/>
      <c r="E7" s="42">
        <v>50.49</v>
      </c>
      <c r="F7" s="500">
        <v>1678</v>
      </c>
      <c r="G7" s="489">
        <f t="shared" si="0"/>
        <v>84722.22</v>
      </c>
      <c r="H7" s="37" t="s">
        <v>91</v>
      </c>
      <c r="I7" s="498">
        <v>15</v>
      </c>
      <c r="J7" s="39">
        <v>2000</v>
      </c>
      <c r="K7" s="17">
        <f t="shared" si="1"/>
        <v>133.33333333333334</v>
      </c>
      <c r="L7" s="498">
        <v>15</v>
      </c>
      <c r="M7" s="18">
        <f t="shared" si="2"/>
        <v>1936.1538461538473</v>
      </c>
      <c r="N7" s="17">
        <f t="shared" si="3"/>
        <v>129.07692307692315</v>
      </c>
      <c r="O7" s="19">
        <f t="shared" si="4"/>
        <v>0</v>
      </c>
      <c r="P7" s="20">
        <f t="shared" si="5"/>
        <v>-4.2564102564101916</v>
      </c>
      <c r="Q7" s="494">
        <f t="shared" si="6"/>
        <v>0.96807692307692361</v>
      </c>
      <c r="R7" s="637"/>
      <c r="S7" s="40">
        <v>0.8125</v>
      </c>
      <c r="T7" s="40">
        <v>0.84861111111111109</v>
      </c>
      <c r="U7" s="489">
        <f t="shared" si="10"/>
        <v>7.9999999999999716</v>
      </c>
      <c r="V7" s="499">
        <f t="shared" si="7"/>
        <v>51.999999999999972</v>
      </c>
      <c r="W7" s="23"/>
      <c r="X7" s="23"/>
      <c r="Y7" s="26"/>
      <c r="Z7" s="26"/>
      <c r="AA7" s="627"/>
      <c r="AB7" s="628"/>
      <c r="AC7" s="135"/>
      <c r="AD7" s="27"/>
      <c r="AE7" s="19">
        <f t="shared" si="8"/>
        <v>-63.846153846152674</v>
      </c>
      <c r="AF7" s="494">
        <f t="shared" si="9"/>
        <v>0.96807692307692361</v>
      </c>
      <c r="AG7" s="637"/>
    </row>
    <row r="8" spans="1:33">
      <c r="A8" s="665" t="s">
        <v>2591</v>
      </c>
      <c r="B8" s="42" t="s">
        <v>52</v>
      </c>
      <c r="C8" s="638"/>
      <c r="D8" s="638"/>
      <c r="E8" s="495"/>
      <c r="F8" s="44"/>
      <c r="G8" s="17"/>
      <c r="H8" s="500"/>
      <c r="I8" s="29">
        <v>15.333333333333334</v>
      </c>
      <c r="J8" s="39">
        <v>2000</v>
      </c>
      <c r="K8" s="17">
        <f t="shared" si="1"/>
        <v>130.43478260869566</v>
      </c>
      <c r="L8" s="29">
        <v>15.333333333333334</v>
      </c>
      <c r="M8" s="18">
        <f>AVERAGE(M5:M7)</f>
        <v>1915.2798216276481</v>
      </c>
      <c r="N8" s="17">
        <f t="shared" si="3"/>
        <v>124.90955358441182</v>
      </c>
      <c r="O8" s="19">
        <f t="shared" si="4"/>
        <v>0</v>
      </c>
      <c r="P8" s="20">
        <f t="shared" si="5"/>
        <v>-5.5252290242838313</v>
      </c>
      <c r="Q8" s="494">
        <f t="shared" si="6"/>
        <v>0.95763991081382394</v>
      </c>
      <c r="R8" s="637"/>
      <c r="S8" s="40"/>
      <c r="T8" s="40"/>
      <c r="U8" s="489"/>
      <c r="V8" s="499"/>
      <c r="W8" s="17"/>
      <c r="X8" s="17"/>
      <c r="Y8" s="30">
        <f>SUM(Y5:Y7)</f>
        <v>0</v>
      </c>
      <c r="Z8" s="30">
        <f>SUM(Z5:Z7)</f>
        <v>0</v>
      </c>
      <c r="AA8" s="631"/>
      <c r="AB8" s="631"/>
      <c r="AC8" s="30">
        <v>3</v>
      </c>
      <c r="AD8" s="30">
        <f>SUM(AD5:AD7)</f>
        <v>0</v>
      </c>
      <c r="AE8" s="19">
        <f t="shared" si="8"/>
        <v>-84.720178372351938</v>
      </c>
      <c r="AF8" s="494">
        <f t="shared" si="9"/>
        <v>0.95763991081382405</v>
      </c>
      <c r="AG8" s="637"/>
    </row>
    <row r="9" spans="1:33" ht="15.75" customHeight="1">
      <c r="A9" s="659" t="s">
        <v>50</v>
      </c>
      <c r="B9" s="42" t="s">
        <v>96</v>
      </c>
      <c r="C9" s="660" t="s">
        <v>100</v>
      </c>
      <c r="D9" s="661"/>
      <c r="E9" s="42">
        <v>39.619999999999997</v>
      </c>
      <c r="F9" s="500">
        <v>3967</v>
      </c>
      <c r="G9" s="489">
        <f t="shared" ref="G9:G11" si="11">E9*F9</f>
        <v>157172.53999999998</v>
      </c>
      <c r="H9" s="37" t="s">
        <v>91</v>
      </c>
      <c r="I9" s="498">
        <v>19</v>
      </c>
      <c r="J9" s="39">
        <v>1500</v>
      </c>
      <c r="K9" s="17">
        <f t="shared" si="1"/>
        <v>78.94736842105263</v>
      </c>
      <c r="L9" s="498">
        <v>19</v>
      </c>
      <c r="M9" s="18">
        <f t="shared" ref="M9:M11" si="12">F9/V9*60</f>
        <v>1433.8554216867469</v>
      </c>
      <c r="N9" s="17">
        <f t="shared" si="3"/>
        <v>75.466074825618264</v>
      </c>
      <c r="O9" s="19">
        <f t="shared" si="4"/>
        <v>0</v>
      </c>
      <c r="P9" s="20">
        <f t="shared" si="5"/>
        <v>-3.4812935954343658</v>
      </c>
      <c r="Q9" s="494">
        <f t="shared" si="6"/>
        <v>0.95590361445783134</v>
      </c>
      <c r="R9" s="637">
        <f>Q12</f>
        <v>0.95511567219472016</v>
      </c>
      <c r="S9" s="40">
        <v>8.3333333333333329E-2</v>
      </c>
      <c r="T9" s="40">
        <v>0.1986111111111111</v>
      </c>
      <c r="U9" s="489"/>
      <c r="V9" s="499">
        <f t="shared" ref="V9:V11" si="13">(T9-S9)*24*60</f>
        <v>166</v>
      </c>
      <c r="W9" s="23">
        <f>T9</f>
        <v>0.1986111111111111</v>
      </c>
      <c r="X9" s="23">
        <f>S10</f>
        <v>0.21666666666666665</v>
      </c>
      <c r="Y9" s="23"/>
      <c r="Z9" s="23"/>
      <c r="AA9" s="632"/>
      <c r="AB9" s="632"/>
      <c r="AC9" s="135">
        <v>3</v>
      </c>
      <c r="AD9" s="25"/>
      <c r="AE9" s="19">
        <f t="shared" si="8"/>
        <v>-66.144578313253078</v>
      </c>
      <c r="AF9" s="494">
        <f t="shared" si="9"/>
        <v>0.95590361445783123</v>
      </c>
      <c r="AG9" s="637">
        <f>AF12</f>
        <v>0.95511567219472016</v>
      </c>
    </row>
    <row r="10" spans="1:33" ht="15.75" customHeight="1">
      <c r="A10" s="659" t="s">
        <v>2592</v>
      </c>
      <c r="B10" s="42" t="s">
        <v>96</v>
      </c>
      <c r="C10" s="660" t="s">
        <v>97</v>
      </c>
      <c r="D10" s="661"/>
      <c r="E10" s="42">
        <v>39.799999999999997</v>
      </c>
      <c r="F10" s="500">
        <v>5858</v>
      </c>
      <c r="G10" s="489">
        <f t="shared" si="11"/>
        <v>233148.4</v>
      </c>
      <c r="H10" s="37" t="s">
        <v>91</v>
      </c>
      <c r="I10" s="498">
        <v>17</v>
      </c>
      <c r="J10" s="39">
        <v>1500</v>
      </c>
      <c r="K10" s="17">
        <f t="shared" si="1"/>
        <v>88.235294117647058</v>
      </c>
      <c r="L10" s="498">
        <v>17</v>
      </c>
      <c r="M10" s="18">
        <f t="shared" si="12"/>
        <v>1428.7804878048782</v>
      </c>
      <c r="N10" s="17">
        <f t="shared" si="3"/>
        <v>84.045911047345783</v>
      </c>
      <c r="O10" s="19">
        <f t="shared" si="4"/>
        <v>0</v>
      </c>
      <c r="P10" s="20">
        <f t="shared" si="5"/>
        <v>-4.1893830703012753</v>
      </c>
      <c r="Q10" s="494">
        <f t="shared" si="6"/>
        <v>0.95252032520325225</v>
      </c>
      <c r="R10" s="637"/>
      <c r="S10" s="40">
        <v>0.21666666666666665</v>
      </c>
      <c r="T10" s="40">
        <v>0.38749999999999996</v>
      </c>
      <c r="U10" s="489">
        <f t="shared" ref="U10:U11" si="14">IF(S10=TIME(17,0,0),"",(S10-T9)*24*60)</f>
        <v>25.999999999999986</v>
      </c>
      <c r="V10" s="499">
        <f t="shared" si="13"/>
        <v>245.99999999999997</v>
      </c>
      <c r="W10" s="23"/>
      <c r="X10" s="23"/>
      <c r="Y10" s="23"/>
      <c r="Z10" s="23"/>
      <c r="AA10" s="632"/>
      <c r="AB10" s="632"/>
      <c r="AC10" s="135"/>
      <c r="AD10" s="25"/>
      <c r="AE10" s="19">
        <f t="shared" si="8"/>
        <v>-71.219512195121752</v>
      </c>
      <c r="AF10" s="494">
        <f t="shared" si="9"/>
        <v>0.95252032520325214</v>
      </c>
      <c r="AG10" s="637"/>
    </row>
    <row r="11" spans="1:33" ht="15.75" customHeight="1">
      <c r="A11" s="659" t="s">
        <v>50</v>
      </c>
      <c r="B11" s="42" t="s">
        <v>96</v>
      </c>
      <c r="C11" s="660" t="s">
        <v>98</v>
      </c>
      <c r="D11" s="661"/>
      <c r="E11" s="42">
        <v>39.46</v>
      </c>
      <c r="F11" s="500">
        <v>2177</v>
      </c>
      <c r="G11" s="489">
        <f t="shared" si="11"/>
        <v>85904.42</v>
      </c>
      <c r="H11" s="37" t="s">
        <v>91</v>
      </c>
      <c r="I11" s="498">
        <v>15</v>
      </c>
      <c r="J11" s="39">
        <v>1500</v>
      </c>
      <c r="K11" s="17">
        <f t="shared" si="1"/>
        <v>100</v>
      </c>
      <c r="L11" s="498">
        <v>15</v>
      </c>
      <c r="M11" s="18">
        <f t="shared" si="12"/>
        <v>1435.3846153846155</v>
      </c>
      <c r="N11" s="17">
        <f t="shared" si="3"/>
        <v>95.692307692307693</v>
      </c>
      <c r="O11" s="19">
        <f t="shared" si="4"/>
        <v>0</v>
      </c>
      <c r="P11" s="20">
        <f t="shared" si="5"/>
        <v>-4.3076923076923066</v>
      </c>
      <c r="Q11" s="494">
        <f t="shared" si="6"/>
        <v>0.95692307692307699</v>
      </c>
      <c r="R11" s="637"/>
      <c r="S11" s="40">
        <v>0.39166666666666661</v>
      </c>
      <c r="T11" s="40">
        <v>0.45486111111111105</v>
      </c>
      <c r="U11" s="489">
        <f t="shared" si="14"/>
        <v>5.9999999999999787</v>
      </c>
      <c r="V11" s="499">
        <f t="shared" si="13"/>
        <v>91</v>
      </c>
      <c r="W11" s="23"/>
      <c r="X11" s="23"/>
      <c r="Y11" s="23"/>
      <c r="Z11" s="23"/>
      <c r="AA11" s="632"/>
      <c r="AB11" s="632"/>
      <c r="AC11" s="135"/>
      <c r="AD11" s="25"/>
      <c r="AE11" s="19">
        <f t="shared" si="8"/>
        <v>-64.615384615384528</v>
      </c>
      <c r="AF11" s="494">
        <f t="shared" si="9"/>
        <v>0.95692307692307699</v>
      </c>
      <c r="AG11" s="637"/>
    </row>
    <row r="12" spans="1:33" ht="16.5" customHeight="1">
      <c r="A12" s="659" t="s">
        <v>2593</v>
      </c>
      <c r="B12" s="42" t="s">
        <v>2594</v>
      </c>
      <c r="C12" s="638"/>
      <c r="D12" s="638"/>
      <c r="E12" s="495"/>
      <c r="F12" s="39"/>
      <c r="G12" s="18"/>
      <c r="H12" s="500"/>
      <c r="I12" s="29">
        <v>17</v>
      </c>
      <c r="J12" s="39">
        <v>1500</v>
      </c>
      <c r="K12" s="17">
        <f t="shared" si="1"/>
        <v>88.235294117647058</v>
      </c>
      <c r="L12" s="29">
        <v>17</v>
      </c>
      <c r="M12" s="18">
        <f>AVERAGE(M9:M11)</f>
        <v>1432.6735082920802</v>
      </c>
      <c r="N12" s="17">
        <f t="shared" si="3"/>
        <v>84.274912252475303</v>
      </c>
      <c r="O12" s="19">
        <f t="shared" si="4"/>
        <v>0</v>
      </c>
      <c r="P12" s="20">
        <f t="shared" si="5"/>
        <v>-3.9603818651717546</v>
      </c>
      <c r="Q12" s="494">
        <f t="shared" si="6"/>
        <v>0.95511567219472016</v>
      </c>
      <c r="R12" s="637"/>
      <c r="S12" s="40"/>
      <c r="T12" s="40"/>
      <c r="U12" s="17"/>
      <c r="V12" s="499"/>
      <c r="W12" s="17"/>
      <c r="X12" s="17"/>
      <c r="Y12" s="30">
        <f>SUM(Y9:Y11)</f>
        <v>0</v>
      </c>
      <c r="Z12" s="30">
        <f>SUM(Z9:Z11)</f>
        <v>0</v>
      </c>
      <c r="AA12" s="631"/>
      <c r="AB12" s="631"/>
      <c r="AC12" s="30">
        <v>3</v>
      </c>
      <c r="AD12" s="30">
        <f>SUM(AD9:AD11)</f>
        <v>0</v>
      </c>
      <c r="AE12" s="19">
        <f t="shared" si="8"/>
        <v>-67.326491707919786</v>
      </c>
      <c r="AF12" s="494">
        <f t="shared" si="9"/>
        <v>0.95511567219472016</v>
      </c>
      <c r="AG12" s="637"/>
    </row>
    <row r="13" spans="1:33" ht="16.5" customHeight="1">
      <c r="A13" s="657" t="s">
        <v>2595</v>
      </c>
      <c r="B13" s="500" t="s">
        <v>101</v>
      </c>
      <c r="C13" s="653" t="s">
        <v>102</v>
      </c>
      <c r="D13" s="653"/>
      <c r="E13" s="42">
        <v>31.11</v>
      </c>
      <c r="F13" s="500">
        <v>2332</v>
      </c>
      <c r="G13" s="489">
        <f t="shared" ref="G13:G19" si="15">E13*F13</f>
        <v>72548.52</v>
      </c>
      <c r="H13" s="37" t="s">
        <v>91</v>
      </c>
      <c r="I13" s="498">
        <v>14</v>
      </c>
      <c r="J13" s="39">
        <v>2000</v>
      </c>
      <c r="K13" s="17">
        <f t="shared" si="1"/>
        <v>142.85714285714286</v>
      </c>
      <c r="L13" s="498">
        <v>14</v>
      </c>
      <c r="M13" s="18">
        <f t="shared" ref="M13:M19" si="16">F13/V13*60</f>
        <v>1916.7123287671229</v>
      </c>
      <c r="N13" s="17">
        <f t="shared" si="3"/>
        <v>136.90802348336592</v>
      </c>
      <c r="O13" s="19">
        <f t="shared" si="4"/>
        <v>0</v>
      </c>
      <c r="P13" s="20">
        <f t="shared" si="5"/>
        <v>-5.9491193737769379</v>
      </c>
      <c r="Q13" s="494">
        <f t="shared" si="6"/>
        <v>0.95835616438356142</v>
      </c>
      <c r="R13" s="637">
        <f>Q20</f>
        <v>0.96013595671994112</v>
      </c>
      <c r="S13" s="40">
        <v>0.20833333333333334</v>
      </c>
      <c r="T13" s="40">
        <v>0.2590277777777778</v>
      </c>
      <c r="U13" s="489"/>
      <c r="V13" s="499">
        <f t="shared" ref="V13:V19" si="17">(T13-S13)*24*60</f>
        <v>73.000000000000014</v>
      </c>
      <c r="W13" s="23"/>
      <c r="X13" s="23"/>
      <c r="Y13" s="28"/>
      <c r="Z13" s="28"/>
      <c r="AA13" s="632"/>
      <c r="AB13" s="632"/>
      <c r="AC13" s="135">
        <v>7</v>
      </c>
      <c r="AD13" s="25"/>
      <c r="AE13" s="19">
        <f t="shared" si="8"/>
        <v>-83.287671232877074</v>
      </c>
      <c r="AF13" s="494">
        <f t="shared" si="9"/>
        <v>0.95835616438356142</v>
      </c>
      <c r="AG13" s="637">
        <f>AF20</f>
        <v>0.96013595671994101</v>
      </c>
    </row>
    <row r="14" spans="1:33" ht="16.5" customHeight="1">
      <c r="A14" s="658" t="s">
        <v>53</v>
      </c>
      <c r="B14" s="500" t="s">
        <v>103</v>
      </c>
      <c r="C14" s="653" t="s">
        <v>105</v>
      </c>
      <c r="D14" s="653"/>
      <c r="E14" s="42">
        <v>41</v>
      </c>
      <c r="F14" s="500">
        <v>1715</v>
      </c>
      <c r="G14" s="489">
        <f t="shared" si="15"/>
        <v>70315</v>
      </c>
      <c r="H14" s="37" t="s">
        <v>91</v>
      </c>
      <c r="I14" s="498">
        <v>26</v>
      </c>
      <c r="J14" s="39">
        <v>1500</v>
      </c>
      <c r="K14" s="17">
        <f t="shared" si="1"/>
        <v>57.692307692307693</v>
      </c>
      <c r="L14" s="498">
        <v>26</v>
      </c>
      <c r="M14" s="18">
        <f t="shared" si="16"/>
        <v>1429.166666666667</v>
      </c>
      <c r="N14" s="17">
        <f t="shared" si="3"/>
        <v>54.96794871794873</v>
      </c>
      <c r="O14" s="19">
        <f t="shared" si="4"/>
        <v>0</v>
      </c>
      <c r="P14" s="20">
        <f t="shared" si="5"/>
        <v>-2.7243589743589638</v>
      </c>
      <c r="Q14" s="494">
        <f t="shared" si="6"/>
        <v>0.95277777777777795</v>
      </c>
      <c r="R14" s="637"/>
      <c r="S14" s="40">
        <v>0.2638888888888889</v>
      </c>
      <c r="T14" s="40">
        <v>0.31388888888888888</v>
      </c>
      <c r="U14" s="489">
        <f t="shared" ref="U14:U19" si="18">IF(S14=TIME(17,0,0),"",(S14-T13)*24*60)</f>
        <v>6.9999999999999751</v>
      </c>
      <c r="V14" s="499">
        <f t="shared" si="17"/>
        <v>71.999999999999986</v>
      </c>
      <c r="W14" s="23"/>
      <c r="X14" s="23"/>
      <c r="Y14" s="23"/>
      <c r="Z14" s="23"/>
      <c r="AA14" s="632"/>
      <c r="AB14" s="632"/>
      <c r="AC14" s="135"/>
      <c r="AD14" s="25"/>
      <c r="AE14" s="19">
        <f t="shared" si="8"/>
        <v>-70.83333333333303</v>
      </c>
      <c r="AF14" s="494">
        <f t="shared" si="9"/>
        <v>0.95277777777777795</v>
      </c>
      <c r="AG14" s="637"/>
    </row>
    <row r="15" spans="1:33" ht="16.5" customHeight="1">
      <c r="A15" s="658" t="s">
        <v>2596</v>
      </c>
      <c r="B15" s="500" t="s">
        <v>101</v>
      </c>
      <c r="C15" s="653" t="s">
        <v>2402</v>
      </c>
      <c r="D15" s="653"/>
      <c r="E15" s="42">
        <v>68.88</v>
      </c>
      <c r="F15" s="500">
        <v>2791</v>
      </c>
      <c r="G15" s="489">
        <f t="shared" si="15"/>
        <v>192244.08</v>
      </c>
      <c r="H15" s="37" t="s">
        <v>91</v>
      </c>
      <c r="I15" s="498">
        <v>16</v>
      </c>
      <c r="J15" s="39">
        <v>2000</v>
      </c>
      <c r="K15" s="17">
        <f t="shared" si="1"/>
        <v>125</v>
      </c>
      <c r="L15" s="498">
        <v>16</v>
      </c>
      <c r="M15" s="18">
        <f t="shared" si="16"/>
        <v>1902.9545454545455</v>
      </c>
      <c r="N15" s="17">
        <f t="shared" si="3"/>
        <v>118.93465909090909</v>
      </c>
      <c r="O15" s="19">
        <f t="shared" si="4"/>
        <v>0</v>
      </c>
      <c r="P15" s="20">
        <f t="shared" si="5"/>
        <v>-6.0653409090909065</v>
      </c>
      <c r="Q15" s="494">
        <f t="shared" si="6"/>
        <v>0.95147727272727278</v>
      </c>
      <c r="R15" s="637"/>
      <c r="S15" s="40">
        <v>0.31736111111111109</v>
      </c>
      <c r="T15" s="40">
        <v>0.37847222222222221</v>
      </c>
      <c r="U15" s="489">
        <f t="shared" si="18"/>
        <v>4.9999999999999822</v>
      </c>
      <c r="V15" s="499">
        <f t="shared" si="17"/>
        <v>88</v>
      </c>
      <c r="W15" s="23"/>
      <c r="X15" s="23"/>
      <c r="Y15" s="23"/>
      <c r="Z15" s="23"/>
      <c r="AA15" s="632"/>
      <c r="AB15" s="632"/>
      <c r="AC15" s="135"/>
      <c r="AD15" s="25"/>
      <c r="AE15" s="19">
        <f t="shared" si="8"/>
        <v>-97.045454545454504</v>
      </c>
      <c r="AF15" s="494">
        <f t="shared" si="9"/>
        <v>0.95147727272727278</v>
      </c>
      <c r="AG15" s="637"/>
    </row>
    <row r="16" spans="1:33" ht="16.5" customHeight="1">
      <c r="A16" s="658" t="s">
        <v>53</v>
      </c>
      <c r="B16" s="500" t="s">
        <v>96</v>
      </c>
      <c r="C16" s="653" t="s">
        <v>99</v>
      </c>
      <c r="D16" s="653"/>
      <c r="E16" s="42">
        <v>39.520000000000003</v>
      </c>
      <c r="F16" s="500">
        <v>2086</v>
      </c>
      <c r="G16" s="489">
        <f t="shared" si="15"/>
        <v>82438.720000000001</v>
      </c>
      <c r="H16" s="37" t="s">
        <v>91</v>
      </c>
      <c r="I16" s="498">
        <v>19</v>
      </c>
      <c r="J16" s="39">
        <v>1500</v>
      </c>
      <c r="K16" s="17">
        <f t="shared" si="1"/>
        <v>78.94736842105263</v>
      </c>
      <c r="L16" s="498">
        <v>19</v>
      </c>
      <c r="M16" s="18">
        <f t="shared" si="16"/>
        <v>1438.6206896551723</v>
      </c>
      <c r="N16" s="17">
        <f t="shared" si="3"/>
        <v>75.716878402903802</v>
      </c>
      <c r="O16" s="19">
        <f t="shared" si="4"/>
        <v>0</v>
      </c>
      <c r="P16" s="20">
        <f t="shared" si="5"/>
        <v>-3.2304900181488279</v>
      </c>
      <c r="Q16" s="494">
        <f t="shared" si="6"/>
        <v>0.9590804597701148</v>
      </c>
      <c r="R16" s="637"/>
      <c r="S16" s="40">
        <v>0.3833333333333333</v>
      </c>
      <c r="T16" s="40">
        <v>0.44374999999999998</v>
      </c>
      <c r="U16" s="489">
        <f t="shared" si="18"/>
        <v>6.9999999999999751</v>
      </c>
      <c r="V16" s="499">
        <f t="shared" si="17"/>
        <v>87.000000000000014</v>
      </c>
      <c r="W16" s="23"/>
      <c r="X16" s="23"/>
      <c r="Y16" s="23"/>
      <c r="Z16" s="23"/>
      <c r="AA16" s="632"/>
      <c r="AB16" s="632"/>
      <c r="AC16" s="135"/>
      <c r="AD16" s="25"/>
      <c r="AE16" s="19">
        <f t="shared" si="8"/>
        <v>-61.379310344827672</v>
      </c>
      <c r="AF16" s="494">
        <f t="shared" si="9"/>
        <v>0.95908045977011491</v>
      </c>
      <c r="AG16" s="637"/>
    </row>
    <row r="17" spans="1:33" ht="16.5" customHeight="1">
      <c r="A17" s="658" t="s">
        <v>53</v>
      </c>
      <c r="B17" s="500" t="s">
        <v>92</v>
      </c>
      <c r="C17" s="653" t="s">
        <v>108</v>
      </c>
      <c r="D17" s="653"/>
      <c r="E17" s="42">
        <v>54.5</v>
      </c>
      <c r="F17" s="500">
        <v>950</v>
      </c>
      <c r="G17" s="489">
        <f t="shared" si="15"/>
        <v>51775</v>
      </c>
      <c r="H17" s="37" t="s">
        <v>91</v>
      </c>
      <c r="I17" s="498">
        <v>19</v>
      </c>
      <c r="J17" s="39">
        <v>1500</v>
      </c>
      <c r="K17" s="17">
        <f t="shared" si="1"/>
        <v>78.94736842105263</v>
      </c>
      <c r="L17" s="498">
        <v>19</v>
      </c>
      <c r="M17" s="18">
        <f t="shared" si="16"/>
        <v>1461.5384615384608</v>
      </c>
      <c r="N17" s="17">
        <f t="shared" si="3"/>
        <v>76.923076923076877</v>
      </c>
      <c r="O17" s="19">
        <f t="shared" si="4"/>
        <v>0</v>
      </c>
      <c r="P17" s="20">
        <f t="shared" si="5"/>
        <v>-2.0242914979757529</v>
      </c>
      <c r="Q17" s="494">
        <f t="shared" si="6"/>
        <v>0.97435897435897378</v>
      </c>
      <c r="R17" s="637"/>
      <c r="S17" s="40">
        <v>0.70833333333333337</v>
      </c>
      <c r="T17" s="40">
        <v>0.73541666666666672</v>
      </c>
      <c r="U17" s="489" t="str">
        <f t="shared" si="18"/>
        <v/>
      </c>
      <c r="V17" s="499">
        <f t="shared" si="17"/>
        <v>39.000000000000021</v>
      </c>
      <c r="W17" s="23"/>
      <c r="X17" s="23"/>
      <c r="Y17" s="23"/>
      <c r="Z17" s="23"/>
      <c r="AA17" s="632"/>
      <c r="AB17" s="632"/>
      <c r="AC17" s="135"/>
      <c r="AD17" s="25"/>
      <c r="AE17" s="19">
        <f t="shared" si="8"/>
        <v>-38.461538461539249</v>
      </c>
      <c r="AF17" s="494">
        <f t="shared" si="9"/>
        <v>0.97435897435897378</v>
      </c>
      <c r="AG17" s="637"/>
    </row>
    <row r="18" spans="1:33" ht="16.5" customHeight="1">
      <c r="A18" s="658" t="s">
        <v>53</v>
      </c>
      <c r="B18" s="500" t="s">
        <v>92</v>
      </c>
      <c r="C18" s="496" t="s">
        <v>107</v>
      </c>
      <c r="D18" s="497"/>
      <c r="E18" s="42">
        <v>50.67</v>
      </c>
      <c r="F18" s="500">
        <v>1347</v>
      </c>
      <c r="G18" s="489">
        <f t="shared" si="15"/>
        <v>68252.490000000005</v>
      </c>
      <c r="H18" s="37" t="s">
        <v>91</v>
      </c>
      <c r="I18" s="498">
        <v>17</v>
      </c>
      <c r="J18" s="39">
        <v>2000</v>
      </c>
      <c r="K18" s="17">
        <f t="shared" si="1"/>
        <v>117.64705882352941</v>
      </c>
      <c r="L18" s="498">
        <v>17</v>
      </c>
      <c r="M18" s="18">
        <f t="shared" si="16"/>
        <v>1924.2857142857138</v>
      </c>
      <c r="N18" s="17">
        <f t="shared" si="3"/>
        <v>113.19327731092434</v>
      </c>
      <c r="O18" s="19">
        <f t="shared" si="4"/>
        <v>0</v>
      </c>
      <c r="P18" s="20">
        <f t="shared" si="5"/>
        <v>-4.4537815126050617</v>
      </c>
      <c r="Q18" s="494">
        <f t="shared" si="6"/>
        <v>0.96214285714285697</v>
      </c>
      <c r="R18" s="637"/>
      <c r="S18" s="40">
        <v>0.73958333333333337</v>
      </c>
      <c r="T18" s="40">
        <v>0.76875000000000004</v>
      </c>
      <c r="U18" s="489">
        <f t="shared" si="18"/>
        <v>5.9999999999999787</v>
      </c>
      <c r="V18" s="499">
        <f t="shared" si="17"/>
        <v>42.000000000000014</v>
      </c>
      <c r="W18" s="23"/>
      <c r="X18" s="23"/>
      <c r="Y18" s="26"/>
      <c r="Z18" s="26"/>
      <c r="AA18" s="492"/>
      <c r="AB18" s="493"/>
      <c r="AC18" s="135"/>
      <c r="AD18" s="25"/>
      <c r="AE18" s="19">
        <f t="shared" si="8"/>
        <v>-75.714285714286234</v>
      </c>
      <c r="AF18" s="494">
        <f t="shared" si="9"/>
        <v>0.96214285714285686</v>
      </c>
      <c r="AG18" s="637"/>
    </row>
    <row r="19" spans="1:33" ht="16.5" customHeight="1">
      <c r="A19" s="658" t="s">
        <v>53</v>
      </c>
      <c r="B19" s="500" t="s">
        <v>92</v>
      </c>
      <c r="C19" s="496" t="s">
        <v>114</v>
      </c>
      <c r="D19" s="497"/>
      <c r="E19" s="42">
        <v>54.09</v>
      </c>
      <c r="F19" s="500">
        <v>1832</v>
      </c>
      <c r="G19" s="489">
        <f t="shared" si="15"/>
        <v>99092.88</v>
      </c>
      <c r="H19" s="37" t="s">
        <v>91</v>
      </c>
      <c r="I19" s="498">
        <v>18</v>
      </c>
      <c r="J19" s="39">
        <v>2000</v>
      </c>
      <c r="K19" s="17">
        <f t="shared" si="1"/>
        <v>111.11111111111111</v>
      </c>
      <c r="L19" s="498">
        <v>18</v>
      </c>
      <c r="M19" s="18">
        <f t="shared" si="16"/>
        <v>1928.4210526315806</v>
      </c>
      <c r="N19" s="17">
        <f t="shared" si="3"/>
        <v>107.1345029239767</v>
      </c>
      <c r="O19" s="19">
        <f t="shared" si="4"/>
        <v>0</v>
      </c>
      <c r="P19" s="20">
        <f t="shared" si="5"/>
        <v>-3.976608187134417</v>
      </c>
      <c r="Q19" s="494">
        <f t="shared" si="6"/>
        <v>0.9642105263157903</v>
      </c>
      <c r="R19" s="637"/>
      <c r="S19" s="40">
        <v>0.77361111111111114</v>
      </c>
      <c r="T19" s="40">
        <v>0.81319444444444444</v>
      </c>
      <c r="U19" s="489">
        <f t="shared" si="18"/>
        <v>6.9999999999999751</v>
      </c>
      <c r="V19" s="499">
        <f t="shared" si="17"/>
        <v>56.999999999999957</v>
      </c>
      <c r="W19" s="23"/>
      <c r="X19" s="23"/>
      <c r="Y19" s="26"/>
      <c r="Z19" s="26"/>
      <c r="AA19" s="492"/>
      <c r="AB19" s="493"/>
      <c r="AC19" s="135"/>
      <c r="AD19" s="25"/>
      <c r="AE19" s="19">
        <f t="shared" si="8"/>
        <v>-71.578947368419449</v>
      </c>
      <c r="AF19" s="494">
        <f t="shared" si="9"/>
        <v>0.9642105263157903</v>
      </c>
      <c r="AG19" s="637"/>
    </row>
    <row r="20" spans="1:33" ht="16.5" customHeight="1">
      <c r="A20" s="658" t="s">
        <v>2597</v>
      </c>
      <c r="B20" s="42" t="s">
        <v>52</v>
      </c>
      <c r="C20" s="638"/>
      <c r="D20" s="638"/>
      <c r="E20" s="495"/>
      <c r="F20" s="44"/>
      <c r="G20" s="17"/>
      <c r="H20" s="500"/>
      <c r="I20" s="29">
        <v>18.428571428571427</v>
      </c>
      <c r="J20" s="39">
        <v>1785.7142857142858</v>
      </c>
      <c r="K20" s="17">
        <f t="shared" si="1"/>
        <v>96.899224806201559</v>
      </c>
      <c r="L20" s="29">
        <v>18.428571428571427</v>
      </c>
      <c r="M20" s="18">
        <f>AVERAGE(M13:M19)</f>
        <v>1714.5284941427519</v>
      </c>
      <c r="N20" s="17">
        <f t="shared" si="3"/>
        <v>93.036429914722987</v>
      </c>
      <c r="O20" s="19">
        <f t="shared" si="4"/>
        <v>0</v>
      </c>
      <c r="P20" s="20">
        <f t="shared" si="5"/>
        <v>-3.8627948914785719</v>
      </c>
      <c r="Q20" s="494">
        <f t="shared" si="6"/>
        <v>0.96013595671994112</v>
      </c>
      <c r="R20" s="637"/>
      <c r="S20" s="40"/>
      <c r="T20" s="40"/>
      <c r="U20" s="489"/>
      <c r="V20" s="499"/>
      <c r="W20" s="17"/>
      <c r="X20" s="17"/>
      <c r="Y20" s="30">
        <f>SUM(Y13:Y19)</f>
        <v>0</v>
      </c>
      <c r="Z20" s="30">
        <f>SUM(Z13:Z19)</f>
        <v>0</v>
      </c>
      <c r="AA20" s="631"/>
      <c r="AB20" s="631"/>
      <c r="AC20" s="30">
        <v>7</v>
      </c>
      <c r="AD20" s="30">
        <f>SUM(AD13:AD19)</f>
        <v>0</v>
      </c>
      <c r="AE20" s="19">
        <f t="shared" si="8"/>
        <v>-71.185791571533855</v>
      </c>
      <c r="AF20" s="494">
        <f t="shared" si="9"/>
        <v>0.96013595671994101</v>
      </c>
      <c r="AG20" s="637"/>
    </row>
    <row r="21" spans="1:33" ht="15.75" customHeight="1">
      <c r="A21" s="655" t="s">
        <v>2598</v>
      </c>
      <c r="B21" s="42" t="s">
        <v>92</v>
      </c>
      <c r="C21" s="653" t="s">
        <v>110</v>
      </c>
      <c r="D21" s="653"/>
      <c r="E21" s="42">
        <v>50.67</v>
      </c>
      <c r="F21" s="500">
        <v>1578</v>
      </c>
      <c r="G21" s="489">
        <f t="shared" ref="G21:G27" si="19">E21*F21</f>
        <v>79957.260000000009</v>
      </c>
      <c r="H21" s="37" t="s">
        <v>91</v>
      </c>
      <c r="I21" s="498">
        <v>17</v>
      </c>
      <c r="J21" s="39">
        <v>2000</v>
      </c>
      <c r="K21" s="17">
        <f t="shared" si="1"/>
        <v>117.64705882352941</v>
      </c>
      <c r="L21" s="498">
        <v>17</v>
      </c>
      <c r="M21" s="18">
        <f t="shared" ref="M21:M27" si="20">F21/V21*60</f>
        <v>1932.2448979591843</v>
      </c>
      <c r="N21" s="17">
        <f t="shared" si="3"/>
        <v>113.66146458583437</v>
      </c>
      <c r="O21" s="19">
        <f t="shared" si="4"/>
        <v>0</v>
      </c>
      <c r="P21" s="20">
        <f t="shared" si="5"/>
        <v>-3.9855942376950395</v>
      </c>
      <c r="Q21" s="494">
        <f t="shared" si="6"/>
        <v>0.96612244897959221</v>
      </c>
      <c r="R21" s="637">
        <f>Q28</f>
        <v>0.96323967054184767</v>
      </c>
      <c r="S21" s="40">
        <v>0.20833333333333334</v>
      </c>
      <c r="T21" s="40">
        <v>0.24236111111111111</v>
      </c>
      <c r="U21" s="489"/>
      <c r="V21" s="499">
        <f t="shared" ref="V21:V27" si="21">(T21-S21)*24*60</f>
        <v>48.999999999999986</v>
      </c>
      <c r="W21" s="23"/>
      <c r="X21" s="23"/>
      <c r="Y21" s="28"/>
      <c r="Z21" s="28"/>
      <c r="AA21" s="632"/>
      <c r="AB21" s="632"/>
      <c r="AC21" s="135">
        <v>7</v>
      </c>
      <c r="AD21" s="25"/>
      <c r="AE21" s="19">
        <f t="shared" si="8"/>
        <v>-67.7551020408157</v>
      </c>
      <c r="AF21" s="494">
        <f t="shared" si="9"/>
        <v>0.9661224489795921</v>
      </c>
      <c r="AG21" s="637">
        <f>AF28</f>
        <v>0.96323967054184767</v>
      </c>
    </row>
    <row r="22" spans="1:33" ht="15.75" customHeight="1">
      <c r="A22" s="656" t="s">
        <v>2599</v>
      </c>
      <c r="B22" s="42" t="s">
        <v>92</v>
      </c>
      <c r="C22" s="653" t="s">
        <v>111</v>
      </c>
      <c r="D22" s="653"/>
      <c r="E22" s="42">
        <v>57.73</v>
      </c>
      <c r="F22" s="500">
        <v>2553</v>
      </c>
      <c r="G22" s="489">
        <f t="shared" si="19"/>
        <v>147384.69</v>
      </c>
      <c r="H22" s="37" t="s">
        <v>91</v>
      </c>
      <c r="I22" s="498">
        <v>14</v>
      </c>
      <c r="J22" s="39">
        <v>2000</v>
      </c>
      <c r="K22" s="17">
        <f t="shared" si="1"/>
        <v>142.85714285714286</v>
      </c>
      <c r="L22" s="498">
        <v>14</v>
      </c>
      <c r="M22" s="18">
        <f t="shared" si="20"/>
        <v>1914.7499999999993</v>
      </c>
      <c r="N22" s="17">
        <f t="shared" si="3"/>
        <v>136.76785714285708</v>
      </c>
      <c r="O22" s="19">
        <f t="shared" si="4"/>
        <v>0</v>
      </c>
      <c r="P22" s="20">
        <f t="shared" si="5"/>
        <v>-6.0892857142857792</v>
      </c>
      <c r="Q22" s="494">
        <f t="shared" si="6"/>
        <v>0.95737499999999953</v>
      </c>
      <c r="R22" s="637"/>
      <c r="S22" s="40">
        <v>0.24791666666666667</v>
      </c>
      <c r="T22" s="40">
        <v>0.30347222222222225</v>
      </c>
      <c r="U22" s="489">
        <f t="shared" ref="U22:U27" si="22">IF(S22=TIME(17,0,0),"",(S22-T21)*24*60)</f>
        <v>8.0000000000000107</v>
      </c>
      <c r="V22" s="499">
        <f t="shared" si="21"/>
        <v>80.000000000000028</v>
      </c>
      <c r="W22" s="23"/>
      <c r="X22" s="489"/>
      <c r="Y22" s="489"/>
      <c r="Z22" s="489"/>
      <c r="AA22" s="632"/>
      <c r="AB22" s="632"/>
      <c r="AC22" s="135"/>
      <c r="AD22" s="25"/>
      <c r="AE22" s="19">
        <f t="shared" si="8"/>
        <v>-85.250000000000682</v>
      </c>
      <c r="AF22" s="494">
        <f t="shared" si="9"/>
        <v>0.95737499999999964</v>
      </c>
      <c r="AG22" s="637"/>
    </row>
    <row r="23" spans="1:33" ht="15.75" customHeight="1">
      <c r="A23" s="656" t="s">
        <v>2600</v>
      </c>
      <c r="B23" s="42" t="s">
        <v>92</v>
      </c>
      <c r="C23" s="653" t="s">
        <v>112</v>
      </c>
      <c r="D23" s="653"/>
      <c r="E23" s="42">
        <v>53.27</v>
      </c>
      <c r="F23" s="500">
        <v>1893</v>
      </c>
      <c r="G23" s="489">
        <f t="shared" si="19"/>
        <v>100840.11</v>
      </c>
      <c r="H23" s="37" t="s">
        <v>91</v>
      </c>
      <c r="I23" s="498">
        <v>16</v>
      </c>
      <c r="J23" s="39">
        <v>2000</v>
      </c>
      <c r="K23" s="17">
        <f t="shared" si="1"/>
        <v>125</v>
      </c>
      <c r="L23" s="498">
        <v>16</v>
      </c>
      <c r="M23" s="18">
        <f t="shared" si="20"/>
        <v>1925.0847457627108</v>
      </c>
      <c r="N23" s="17">
        <f t="shared" si="3"/>
        <v>120.31779661016942</v>
      </c>
      <c r="O23" s="19">
        <f t="shared" si="4"/>
        <v>0</v>
      </c>
      <c r="P23" s="20">
        <f t="shared" si="5"/>
        <v>-4.6822033898305762</v>
      </c>
      <c r="Q23" s="494">
        <f t="shared" si="6"/>
        <v>0.96254237288135536</v>
      </c>
      <c r="R23" s="637"/>
      <c r="S23" s="40">
        <v>0.30902777777777779</v>
      </c>
      <c r="T23" s="40">
        <v>0.35000000000000003</v>
      </c>
      <c r="U23" s="489">
        <f t="shared" si="22"/>
        <v>7.9999999999999716</v>
      </c>
      <c r="V23" s="499">
        <f t="shared" si="21"/>
        <v>59.000000000000028</v>
      </c>
      <c r="W23" s="23"/>
      <c r="X23" s="489"/>
      <c r="Y23" s="489"/>
      <c r="Z23" s="489"/>
      <c r="AA23" s="632"/>
      <c r="AB23" s="632"/>
      <c r="AC23" s="135"/>
      <c r="AD23" s="25"/>
      <c r="AE23" s="19">
        <f t="shared" si="8"/>
        <v>-74.915254237289219</v>
      </c>
      <c r="AF23" s="494">
        <f t="shared" si="9"/>
        <v>0.96254237288135536</v>
      </c>
      <c r="AG23" s="637"/>
    </row>
    <row r="24" spans="1:33" ht="15.75" customHeight="1">
      <c r="A24" s="656" t="s">
        <v>2601</v>
      </c>
      <c r="B24" s="42" t="s">
        <v>92</v>
      </c>
      <c r="C24" s="653" t="s">
        <v>133</v>
      </c>
      <c r="D24" s="653"/>
      <c r="E24" s="42">
        <v>59.04</v>
      </c>
      <c r="F24" s="500">
        <v>1435</v>
      </c>
      <c r="G24" s="489">
        <f t="shared" si="19"/>
        <v>84722.4</v>
      </c>
      <c r="H24" s="37" t="s">
        <v>91</v>
      </c>
      <c r="I24" s="498">
        <v>19</v>
      </c>
      <c r="J24" s="39">
        <v>2000</v>
      </c>
      <c r="K24" s="17">
        <f t="shared" si="1"/>
        <v>105.26315789473684</v>
      </c>
      <c r="L24" s="498">
        <v>19</v>
      </c>
      <c r="M24" s="18">
        <f t="shared" si="20"/>
        <v>1913.3333333333333</v>
      </c>
      <c r="N24" s="17">
        <f t="shared" si="3"/>
        <v>100.7017543859649</v>
      </c>
      <c r="O24" s="19">
        <f t="shared" si="4"/>
        <v>0</v>
      </c>
      <c r="P24" s="20">
        <f t="shared" si="5"/>
        <v>-4.5614035087719316</v>
      </c>
      <c r="Q24" s="494">
        <f t="shared" si="6"/>
        <v>0.95666666666666667</v>
      </c>
      <c r="R24" s="637"/>
      <c r="S24" s="40">
        <v>0.35486111111111113</v>
      </c>
      <c r="T24" s="40">
        <v>0.38611111111111113</v>
      </c>
      <c r="U24" s="489">
        <f t="shared" si="22"/>
        <v>6.9999999999999751</v>
      </c>
      <c r="V24" s="499">
        <f t="shared" si="21"/>
        <v>45</v>
      </c>
      <c r="W24" s="23"/>
      <c r="X24" s="489"/>
      <c r="Y24" s="489"/>
      <c r="Z24" s="489"/>
      <c r="AA24" s="632"/>
      <c r="AB24" s="632"/>
      <c r="AC24" s="135"/>
      <c r="AD24" s="25"/>
      <c r="AE24" s="19">
        <f t="shared" si="8"/>
        <v>-86.666666666666742</v>
      </c>
      <c r="AF24" s="494">
        <f t="shared" si="9"/>
        <v>0.95666666666666667</v>
      </c>
      <c r="AG24" s="637"/>
    </row>
    <row r="25" spans="1:33" ht="15.75" customHeight="1">
      <c r="A25" s="656" t="s">
        <v>2599</v>
      </c>
      <c r="B25" s="42" t="s">
        <v>92</v>
      </c>
      <c r="C25" s="653" t="s">
        <v>113</v>
      </c>
      <c r="D25" s="653"/>
      <c r="E25" s="42">
        <v>56.43</v>
      </c>
      <c r="F25" s="500">
        <v>1060</v>
      </c>
      <c r="G25" s="489">
        <f t="shared" si="19"/>
        <v>59815.8</v>
      </c>
      <c r="H25" s="37" t="s">
        <v>91</v>
      </c>
      <c r="I25" s="498">
        <v>13</v>
      </c>
      <c r="J25" s="39">
        <v>2000</v>
      </c>
      <c r="K25" s="17">
        <f t="shared" si="1"/>
        <v>153.84615384615384</v>
      </c>
      <c r="L25" s="498">
        <v>13</v>
      </c>
      <c r="M25" s="18">
        <f t="shared" si="20"/>
        <v>1927.272727272725</v>
      </c>
      <c r="N25" s="17">
        <f t="shared" si="3"/>
        <v>148.25174825174807</v>
      </c>
      <c r="O25" s="19">
        <f t="shared" si="4"/>
        <v>0</v>
      </c>
      <c r="P25" s="20">
        <f t="shared" si="5"/>
        <v>-5.5944055944057709</v>
      </c>
      <c r="Q25" s="494">
        <f t="shared" si="6"/>
        <v>0.96363636363636251</v>
      </c>
      <c r="R25" s="637"/>
      <c r="S25" s="40">
        <v>0.70833333333333337</v>
      </c>
      <c r="T25" s="40">
        <v>0.73125000000000007</v>
      </c>
      <c r="U25" s="489" t="str">
        <f t="shared" si="22"/>
        <v/>
      </c>
      <c r="V25" s="499">
        <f t="shared" si="21"/>
        <v>33.000000000000043</v>
      </c>
      <c r="W25" s="23"/>
      <c r="X25" s="23"/>
      <c r="Y25" s="489"/>
      <c r="Z25" s="489"/>
      <c r="AA25" s="632"/>
      <c r="AB25" s="632"/>
      <c r="AC25" s="135"/>
      <c r="AD25" s="25"/>
      <c r="AE25" s="19">
        <f t="shared" si="8"/>
        <v>-72.727272727275022</v>
      </c>
      <c r="AF25" s="494">
        <f t="shared" si="9"/>
        <v>0.96363636363636251</v>
      </c>
      <c r="AG25" s="637"/>
    </row>
    <row r="26" spans="1:33" ht="15.75" customHeight="1">
      <c r="A26" s="656" t="s">
        <v>2599</v>
      </c>
      <c r="B26" s="42" t="s">
        <v>92</v>
      </c>
      <c r="C26" s="653" t="s">
        <v>95</v>
      </c>
      <c r="D26" s="653"/>
      <c r="E26" s="42">
        <v>50.67</v>
      </c>
      <c r="F26" s="500">
        <v>1110</v>
      </c>
      <c r="G26" s="489">
        <f t="shared" si="19"/>
        <v>56243.700000000004</v>
      </c>
      <c r="H26" s="37" t="s">
        <v>91</v>
      </c>
      <c r="I26" s="498">
        <v>15</v>
      </c>
      <c r="J26" s="39">
        <v>2000</v>
      </c>
      <c r="K26" s="17">
        <f t="shared" si="1"/>
        <v>133.33333333333334</v>
      </c>
      <c r="L26" s="498">
        <v>15</v>
      </c>
      <c r="M26" s="18">
        <f t="shared" si="20"/>
        <v>1958.8235294117621</v>
      </c>
      <c r="N26" s="17">
        <f t="shared" si="3"/>
        <v>130.58823529411748</v>
      </c>
      <c r="O26" s="19">
        <f t="shared" si="4"/>
        <v>0</v>
      </c>
      <c r="P26" s="20">
        <f t="shared" si="5"/>
        <v>-2.7450980392158613</v>
      </c>
      <c r="Q26" s="494">
        <f t="shared" si="6"/>
        <v>0.97941176470588109</v>
      </c>
      <c r="R26" s="637"/>
      <c r="S26" s="40">
        <v>0.73611111111111116</v>
      </c>
      <c r="T26" s="40">
        <v>0.7597222222222223</v>
      </c>
      <c r="U26" s="489">
        <f t="shared" si="22"/>
        <v>6.9999999999999751</v>
      </c>
      <c r="V26" s="499">
        <f t="shared" si="21"/>
        <v>34.000000000000043</v>
      </c>
      <c r="W26" s="23"/>
      <c r="X26" s="28"/>
      <c r="Y26" s="28"/>
      <c r="Z26" s="28"/>
      <c r="AA26" s="632"/>
      <c r="AB26" s="632"/>
      <c r="AC26" s="135"/>
      <c r="AD26" s="25"/>
      <c r="AE26" s="19">
        <f t="shared" si="8"/>
        <v>-41.176470588237862</v>
      </c>
      <c r="AF26" s="494">
        <f t="shared" si="9"/>
        <v>0.97941176470588109</v>
      </c>
      <c r="AG26" s="637"/>
    </row>
    <row r="27" spans="1:33" ht="15.75" customHeight="1">
      <c r="A27" s="656" t="s">
        <v>2599</v>
      </c>
      <c r="B27" s="42" t="s">
        <v>92</v>
      </c>
      <c r="C27" s="679" t="s">
        <v>140</v>
      </c>
      <c r="D27" s="680"/>
      <c r="E27" s="42">
        <v>51.06</v>
      </c>
      <c r="F27" s="500">
        <v>2488</v>
      </c>
      <c r="G27" s="489">
        <f t="shared" si="19"/>
        <v>127037.28</v>
      </c>
      <c r="H27" s="37" t="s">
        <v>91</v>
      </c>
      <c r="I27" s="498">
        <v>13</v>
      </c>
      <c r="J27" s="39">
        <v>2000</v>
      </c>
      <c r="K27" s="17">
        <f t="shared" si="1"/>
        <v>153.84615384615384</v>
      </c>
      <c r="L27" s="498">
        <v>13</v>
      </c>
      <c r="M27" s="18">
        <f t="shared" si="20"/>
        <v>1913.8461538461529</v>
      </c>
      <c r="N27" s="17">
        <f t="shared" si="3"/>
        <v>147.21893491124254</v>
      </c>
      <c r="O27" s="19">
        <f t="shared" si="4"/>
        <v>0</v>
      </c>
      <c r="P27" s="20">
        <f t="shared" si="5"/>
        <v>-6.6272189349112978</v>
      </c>
      <c r="Q27" s="494">
        <f t="shared" si="6"/>
        <v>0.95692307692307654</v>
      </c>
      <c r="R27" s="637"/>
      <c r="S27" s="40">
        <v>0.76458333333333339</v>
      </c>
      <c r="T27" s="40">
        <v>0.81875000000000009</v>
      </c>
      <c r="U27" s="489">
        <f t="shared" si="22"/>
        <v>6.9999999999999751</v>
      </c>
      <c r="V27" s="499">
        <f t="shared" si="21"/>
        <v>78.000000000000043</v>
      </c>
      <c r="W27" s="23"/>
      <c r="X27" s="28"/>
      <c r="Y27" s="136"/>
      <c r="Z27" s="136"/>
      <c r="AA27" s="627"/>
      <c r="AB27" s="628"/>
      <c r="AC27" s="135"/>
      <c r="AD27" s="25"/>
      <c r="AE27" s="19">
        <f t="shared" si="8"/>
        <v>-86.153846153847098</v>
      </c>
      <c r="AF27" s="494">
        <f t="shared" si="9"/>
        <v>0.95692307692307643</v>
      </c>
      <c r="AG27" s="637"/>
    </row>
    <row r="28" spans="1:33" ht="15.75" customHeight="1">
      <c r="A28" s="656" t="s">
        <v>2600</v>
      </c>
      <c r="B28" s="42" t="s">
        <v>2602</v>
      </c>
      <c r="C28" s="638"/>
      <c r="D28" s="638"/>
      <c r="E28" s="495"/>
      <c r="F28" s="500"/>
      <c r="G28" s="489"/>
      <c r="H28" s="500"/>
      <c r="I28" s="29">
        <v>15.285714285714286</v>
      </c>
      <c r="J28" s="39">
        <v>2000</v>
      </c>
      <c r="K28" s="17">
        <f t="shared" si="1"/>
        <v>130.84112149532709</v>
      </c>
      <c r="L28" s="29">
        <v>15.285714285714286</v>
      </c>
      <c r="M28" s="18">
        <f>AVERAGE(M21:M27)</f>
        <v>1926.4793410836953</v>
      </c>
      <c r="N28" s="17">
        <f t="shared" si="3"/>
        <v>126.03135876248473</v>
      </c>
      <c r="O28" s="19">
        <f t="shared" si="4"/>
        <v>0</v>
      </c>
      <c r="P28" s="20">
        <f t="shared" si="5"/>
        <v>-4.8097627328423584</v>
      </c>
      <c r="Q28" s="494">
        <f t="shared" si="6"/>
        <v>0.96323967054184767</v>
      </c>
      <c r="R28" s="637"/>
      <c r="S28" s="40"/>
      <c r="T28" s="40"/>
      <c r="U28" s="17"/>
      <c r="V28" s="499"/>
      <c r="W28" s="17"/>
      <c r="X28" s="17"/>
      <c r="Y28" s="30">
        <f>SUM(Y21:Y27)</f>
        <v>0</v>
      </c>
      <c r="Z28" s="30">
        <f>SUM(Z21:Z27)</f>
        <v>0</v>
      </c>
      <c r="AA28" s="631"/>
      <c r="AB28" s="631"/>
      <c r="AC28" s="30">
        <v>7</v>
      </c>
      <c r="AD28" s="30">
        <f>SUM(AD21:AD27)</f>
        <v>0</v>
      </c>
      <c r="AE28" s="19">
        <f t="shared" si="8"/>
        <v>-73.520658916304683</v>
      </c>
      <c r="AF28" s="494">
        <f t="shared" si="9"/>
        <v>0.96323967054184767</v>
      </c>
      <c r="AG28" s="637"/>
    </row>
    <row r="29" spans="1:33" ht="15.75" customHeight="1">
      <c r="A29" s="654" t="s">
        <v>2603</v>
      </c>
      <c r="B29" s="42" t="s">
        <v>116</v>
      </c>
      <c r="C29" s="653" t="s">
        <v>117</v>
      </c>
      <c r="D29" s="653"/>
      <c r="E29" s="42">
        <v>31.29</v>
      </c>
      <c r="F29" s="500">
        <v>4800</v>
      </c>
      <c r="G29" s="489">
        <f t="shared" ref="G29:G34" si="23">E29*F29</f>
        <v>150192</v>
      </c>
      <c r="H29" s="37">
        <v>2</v>
      </c>
      <c r="I29" s="498">
        <v>18</v>
      </c>
      <c r="J29" s="39">
        <v>2400</v>
      </c>
      <c r="K29" s="17">
        <f t="shared" si="1"/>
        <v>133.33333333333334</v>
      </c>
      <c r="L29" s="498">
        <v>18</v>
      </c>
      <c r="M29" s="18">
        <f t="shared" ref="M29:M34" si="24">F29/V29*60</f>
        <v>2285.7142857142858</v>
      </c>
      <c r="N29" s="17">
        <f t="shared" si="3"/>
        <v>126.98412698412699</v>
      </c>
      <c r="O29" s="19">
        <f t="shared" si="4"/>
        <v>0</v>
      </c>
      <c r="P29" s="20">
        <f t="shared" si="5"/>
        <v>-6.3492063492063551</v>
      </c>
      <c r="Q29" s="494">
        <f t="shared" si="6"/>
        <v>0.95238095238095233</v>
      </c>
      <c r="R29" s="637">
        <f>Q35</f>
        <v>0.95565275751172096</v>
      </c>
      <c r="S29" s="40">
        <v>8.3333333333333329E-2</v>
      </c>
      <c r="T29" s="40">
        <v>0.17083333333333334</v>
      </c>
      <c r="U29" s="489"/>
      <c r="V29" s="499">
        <f t="shared" ref="V29:V34" si="25">(T29-S29)*24*60</f>
        <v>126</v>
      </c>
      <c r="W29" s="23">
        <f>T29</f>
        <v>0.17083333333333334</v>
      </c>
      <c r="X29" s="23">
        <f>S30</f>
        <v>0.19166666666666668</v>
      </c>
      <c r="Y29" s="23"/>
      <c r="Z29" s="23"/>
      <c r="AA29" s="632"/>
      <c r="AB29" s="632"/>
      <c r="AC29" s="135">
        <v>6</v>
      </c>
      <c r="AD29" s="25"/>
      <c r="AE29" s="19">
        <f t="shared" si="8"/>
        <v>-114.28571428571422</v>
      </c>
      <c r="AF29" s="494">
        <f t="shared" si="9"/>
        <v>0.95238095238095244</v>
      </c>
      <c r="AG29" s="637">
        <f>AF35</f>
        <v>0.95565275751172107</v>
      </c>
    </row>
    <row r="30" spans="1:33" ht="15.75" customHeight="1">
      <c r="A30" s="654" t="s">
        <v>2604</v>
      </c>
      <c r="B30" s="42" t="s">
        <v>116</v>
      </c>
      <c r="C30" s="653" t="s">
        <v>118</v>
      </c>
      <c r="D30" s="653"/>
      <c r="E30" s="42">
        <v>26.37</v>
      </c>
      <c r="F30" s="500">
        <v>6001</v>
      </c>
      <c r="G30" s="489">
        <f t="shared" si="23"/>
        <v>158246.37</v>
      </c>
      <c r="H30" s="37" t="s">
        <v>91</v>
      </c>
      <c r="I30" s="498">
        <v>18</v>
      </c>
      <c r="J30" s="39">
        <v>2400</v>
      </c>
      <c r="K30" s="17">
        <f t="shared" si="1"/>
        <v>133.33333333333334</v>
      </c>
      <c r="L30" s="498">
        <v>18</v>
      </c>
      <c r="M30" s="18">
        <f t="shared" si="24"/>
        <v>2293.3757961783435</v>
      </c>
      <c r="N30" s="17">
        <f t="shared" si="3"/>
        <v>127.40976645435242</v>
      </c>
      <c r="O30" s="19">
        <f t="shared" si="4"/>
        <v>0</v>
      </c>
      <c r="P30" s="20">
        <f t="shared" si="5"/>
        <v>-5.923566878980921</v>
      </c>
      <c r="Q30" s="494">
        <f t="shared" si="6"/>
        <v>0.95557324840764313</v>
      </c>
      <c r="R30" s="637"/>
      <c r="S30" s="40">
        <v>0.19166666666666668</v>
      </c>
      <c r="T30" s="40">
        <v>0.30069444444444449</v>
      </c>
      <c r="U30" s="489">
        <f t="shared" ref="U30:U34" si="26">(S30-T29)*24*60</f>
        <v>30.000000000000014</v>
      </c>
      <c r="V30" s="499">
        <f t="shared" si="25"/>
        <v>157.00000000000003</v>
      </c>
      <c r="W30" s="23"/>
      <c r="X30" s="23"/>
      <c r="Y30" s="23"/>
      <c r="Z30" s="23"/>
      <c r="AA30" s="632"/>
      <c r="AB30" s="632"/>
      <c r="AC30" s="135"/>
      <c r="AD30" s="25"/>
      <c r="AE30" s="19">
        <f t="shared" si="8"/>
        <v>-106.62420382165647</v>
      </c>
      <c r="AF30" s="494">
        <f t="shared" si="9"/>
        <v>0.95557324840764313</v>
      </c>
      <c r="AG30" s="637"/>
    </row>
    <row r="31" spans="1:33" ht="15.75" customHeight="1">
      <c r="A31" s="654" t="s">
        <v>62</v>
      </c>
      <c r="B31" s="42" t="s">
        <v>116</v>
      </c>
      <c r="C31" s="653" t="s">
        <v>124</v>
      </c>
      <c r="D31" s="653"/>
      <c r="E31" s="42">
        <v>24.43</v>
      </c>
      <c r="F31" s="500">
        <v>6592</v>
      </c>
      <c r="G31" s="489">
        <f t="shared" si="23"/>
        <v>161042.56</v>
      </c>
      <c r="H31" s="37" t="s">
        <v>91</v>
      </c>
      <c r="I31" s="498">
        <v>14</v>
      </c>
      <c r="J31" s="39">
        <v>2400</v>
      </c>
      <c r="K31" s="17">
        <f t="shared" si="1"/>
        <v>171.42857142857142</v>
      </c>
      <c r="L31" s="498">
        <v>14</v>
      </c>
      <c r="M31" s="18">
        <f t="shared" si="24"/>
        <v>2286.2427745664736</v>
      </c>
      <c r="N31" s="17">
        <f t="shared" si="3"/>
        <v>163.30305532617669</v>
      </c>
      <c r="O31" s="19">
        <f t="shared" si="4"/>
        <v>0</v>
      </c>
      <c r="P31" s="20">
        <f t="shared" si="5"/>
        <v>-8.1255161023947267</v>
      </c>
      <c r="Q31" s="494">
        <f t="shared" si="6"/>
        <v>0.95260115606936413</v>
      </c>
      <c r="R31" s="637"/>
      <c r="S31" s="40">
        <v>0.3041666666666667</v>
      </c>
      <c r="T31" s="40">
        <v>0.4243055555555556</v>
      </c>
      <c r="U31" s="489">
        <f t="shared" si="26"/>
        <v>4.9999999999999822</v>
      </c>
      <c r="V31" s="499">
        <f t="shared" si="25"/>
        <v>173.00000000000003</v>
      </c>
      <c r="W31" s="23"/>
      <c r="X31" s="23"/>
      <c r="Y31" s="23"/>
      <c r="Z31" s="23"/>
      <c r="AA31" s="632"/>
      <c r="AB31" s="632"/>
      <c r="AC31" s="135"/>
      <c r="AD31" s="25"/>
      <c r="AE31" s="19">
        <f t="shared" si="8"/>
        <v>-113.7572254335264</v>
      </c>
      <c r="AF31" s="494">
        <f t="shared" si="9"/>
        <v>0.95260115606936402</v>
      </c>
      <c r="AG31" s="637"/>
    </row>
    <row r="32" spans="1:33" ht="15.75" customHeight="1">
      <c r="A32" s="654" t="s">
        <v>62</v>
      </c>
      <c r="B32" s="42" t="s">
        <v>116</v>
      </c>
      <c r="C32" s="653" t="s">
        <v>147</v>
      </c>
      <c r="D32" s="653"/>
      <c r="E32" s="42">
        <v>25.98</v>
      </c>
      <c r="F32" s="500">
        <v>2248</v>
      </c>
      <c r="G32" s="489">
        <f t="shared" si="23"/>
        <v>58403.040000000001</v>
      </c>
      <c r="H32" s="37" t="s">
        <v>91</v>
      </c>
      <c r="I32" s="498">
        <v>17</v>
      </c>
      <c r="J32" s="39">
        <v>2400</v>
      </c>
      <c r="K32" s="17">
        <f t="shared" si="1"/>
        <v>141.1764705882353</v>
      </c>
      <c r="L32" s="498">
        <v>17</v>
      </c>
      <c r="M32" s="18">
        <f t="shared" si="24"/>
        <v>2286.1016949152531</v>
      </c>
      <c r="N32" s="17">
        <f t="shared" si="3"/>
        <v>134.47657028913252</v>
      </c>
      <c r="O32" s="19">
        <f t="shared" si="4"/>
        <v>0</v>
      </c>
      <c r="P32" s="20">
        <f t="shared" si="5"/>
        <v>-6.6999002991027794</v>
      </c>
      <c r="Q32" s="494">
        <f t="shared" si="6"/>
        <v>0.95254237288135535</v>
      </c>
      <c r="R32" s="637"/>
      <c r="S32" s="40">
        <v>0.42986111111111114</v>
      </c>
      <c r="T32" s="40">
        <v>0.47083333333333338</v>
      </c>
      <c r="U32" s="489">
        <f t="shared" si="26"/>
        <v>7.9999999999999716</v>
      </c>
      <c r="V32" s="499">
        <f t="shared" si="25"/>
        <v>59.000000000000028</v>
      </c>
      <c r="W32" s="23"/>
      <c r="X32" s="23"/>
      <c r="Y32" s="23"/>
      <c r="Z32" s="23"/>
      <c r="AA32" s="632"/>
      <c r="AB32" s="632"/>
      <c r="AC32" s="135"/>
      <c r="AD32" s="25"/>
      <c r="AE32" s="19">
        <f t="shared" si="8"/>
        <v>-113.89830508474688</v>
      </c>
      <c r="AF32" s="494">
        <f t="shared" si="9"/>
        <v>0.95254237288135546</v>
      </c>
      <c r="AG32" s="637"/>
    </row>
    <row r="33" spans="1:33" ht="15.75" customHeight="1">
      <c r="A33" s="654" t="s">
        <v>2604</v>
      </c>
      <c r="B33" s="42" t="s">
        <v>116</v>
      </c>
      <c r="C33" s="653" t="s">
        <v>120</v>
      </c>
      <c r="D33" s="653"/>
      <c r="E33" s="42">
        <v>25.99</v>
      </c>
      <c r="F33" s="500">
        <v>1074</v>
      </c>
      <c r="G33" s="489">
        <f t="shared" si="23"/>
        <v>27913.26</v>
      </c>
      <c r="H33" s="37" t="s">
        <v>91</v>
      </c>
      <c r="I33" s="498">
        <v>18</v>
      </c>
      <c r="J33" s="39">
        <v>2400</v>
      </c>
      <c r="K33" s="17">
        <f t="shared" si="1"/>
        <v>133.33333333333334</v>
      </c>
      <c r="L33" s="498">
        <v>18</v>
      </c>
      <c r="M33" s="18">
        <f t="shared" si="24"/>
        <v>2301.4285714285734</v>
      </c>
      <c r="N33" s="17">
        <f t="shared" si="3"/>
        <v>127.85714285714296</v>
      </c>
      <c r="O33" s="19">
        <f t="shared" si="4"/>
        <v>0</v>
      </c>
      <c r="P33" s="20">
        <f t="shared" si="5"/>
        <v>-5.4761904761903821</v>
      </c>
      <c r="Q33" s="494">
        <f t="shared" si="6"/>
        <v>0.95892857142857213</v>
      </c>
      <c r="R33" s="637"/>
      <c r="S33" s="40">
        <v>0.47500000000000003</v>
      </c>
      <c r="T33" s="40">
        <v>0.49444444444444446</v>
      </c>
      <c r="U33" s="489">
        <f t="shared" si="26"/>
        <v>5.9999999999999787</v>
      </c>
      <c r="V33" s="499">
        <f t="shared" si="25"/>
        <v>27.999999999999979</v>
      </c>
      <c r="W33" s="23">
        <f>T33</f>
        <v>0.49444444444444446</v>
      </c>
      <c r="X33" s="23">
        <f>S34</f>
        <v>0.53402777777777777</v>
      </c>
      <c r="Y33" s="23"/>
      <c r="Z33" s="23"/>
      <c r="AA33" s="632"/>
      <c r="AB33" s="632"/>
      <c r="AC33" s="135"/>
      <c r="AD33" s="25"/>
      <c r="AE33" s="19">
        <f t="shared" si="8"/>
        <v>-98.571428571426623</v>
      </c>
      <c r="AF33" s="494">
        <f t="shared" si="9"/>
        <v>0.95892857142857224</v>
      </c>
      <c r="AG33" s="637"/>
    </row>
    <row r="34" spans="1:33" ht="15.75" customHeight="1">
      <c r="A34" s="654" t="s">
        <v>62</v>
      </c>
      <c r="B34" s="42" t="s">
        <v>116</v>
      </c>
      <c r="C34" s="653" t="s">
        <v>117</v>
      </c>
      <c r="D34" s="653"/>
      <c r="E34" s="42">
        <v>31.29</v>
      </c>
      <c r="F34" s="500">
        <v>3155</v>
      </c>
      <c r="G34" s="489">
        <f t="shared" si="23"/>
        <v>98719.95</v>
      </c>
      <c r="H34" s="37" t="s">
        <v>91</v>
      </c>
      <c r="I34" s="498">
        <v>18</v>
      </c>
      <c r="J34" s="39">
        <v>2400</v>
      </c>
      <c r="K34" s="17">
        <f t="shared" si="1"/>
        <v>133.33333333333334</v>
      </c>
      <c r="L34" s="498">
        <v>18</v>
      </c>
      <c r="M34" s="18">
        <f t="shared" si="24"/>
        <v>2308.5365853658527</v>
      </c>
      <c r="N34" s="17">
        <f t="shared" si="3"/>
        <v>128.25203252032514</v>
      </c>
      <c r="O34" s="19">
        <f t="shared" si="4"/>
        <v>0</v>
      </c>
      <c r="P34" s="20">
        <f t="shared" si="5"/>
        <v>-5.0813008130081982</v>
      </c>
      <c r="Q34" s="494">
        <f t="shared" si="6"/>
        <v>0.96189024390243849</v>
      </c>
      <c r="R34" s="637"/>
      <c r="S34" s="40">
        <v>0.53402777777777777</v>
      </c>
      <c r="T34" s="40">
        <v>0.59097222222222223</v>
      </c>
      <c r="U34" s="489">
        <f t="shared" si="26"/>
        <v>56.999999999999957</v>
      </c>
      <c r="V34" s="499">
        <f t="shared" si="25"/>
        <v>82.000000000000028</v>
      </c>
      <c r="W34" s="23"/>
      <c r="X34" s="23"/>
      <c r="Y34" s="23"/>
      <c r="Z34" s="23"/>
      <c r="AA34" s="632"/>
      <c r="AB34" s="632"/>
      <c r="AC34" s="135"/>
      <c r="AD34" s="25"/>
      <c r="AE34" s="19">
        <f t="shared" si="8"/>
        <v>-91.463414634147284</v>
      </c>
      <c r="AF34" s="494">
        <f t="shared" si="9"/>
        <v>0.9618902439024386</v>
      </c>
      <c r="AG34" s="637"/>
    </row>
    <row r="35" spans="1:33" ht="15.75" customHeight="1">
      <c r="A35" s="654" t="s">
        <v>2605</v>
      </c>
      <c r="B35" s="42" t="s">
        <v>52</v>
      </c>
      <c r="C35" s="638"/>
      <c r="D35" s="638"/>
      <c r="E35" s="495"/>
      <c r="F35" s="500"/>
      <c r="G35" s="489"/>
      <c r="H35" s="500"/>
      <c r="I35" s="29">
        <v>17.166666666666668</v>
      </c>
      <c r="J35" s="39">
        <v>2400</v>
      </c>
      <c r="K35" s="17">
        <f t="shared" si="1"/>
        <v>139.80582524271844</v>
      </c>
      <c r="L35" s="29">
        <v>17.166666666666668</v>
      </c>
      <c r="M35" s="18">
        <f>AVERAGE(M29:M34)</f>
        <v>2293.5666180281305</v>
      </c>
      <c r="N35" s="17">
        <f t="shared" si="3"/>
        <v>133.60582240940565</v>
      </c>
      <c r="O35" s="19">
        <f t="shared" si="4"/>
        <v>0</v>
      </c>
      <c r="P35" s="20">
        <f t="shared" si="5"/>
        <v>-6.2000028333127943</v>
      </c>
      <c r="Q35" s="494">
        <f t="shared" si="6"/>
        <v>0.95565275751172096</v>
      </c>
      <c r="R35" s="637"/>
      <c r="S35" s="40"/>
      <c r="T35" s="40"/>
      <c r="U35" s="489"/>
      <c r="V35" s="499"/>
      <c r="W35" s="489"/>
      <c r="X35" s="489"/>
      <c r="Y35" s="30">
        <f>SUM(Y29:Y34)</f>
        <v>0</v>
      </c>
      <c r="Z35" s="30">
        <f>SUM(Z29:Z34)</f>
        <v>0</v>
      </c>
      <c r="AA35" s="631"/>
      <c r="AB35" s="631"/>
      <c r="AC35" s="30">
        <v>6</v>
      </c>
      <c r="AD35" s="30">
        <f>SUM(AD29:AD34)</f>
        <v>0</v>
      </c>
      <c r="AE35" s="19">
        <f t="shared" si="8"/>
        <v>-106.43338197186949</v>
      </c>
      <c r="AF35" s="494">
        <f t="shared" si="9"/>
        <v>0.95565275751172107</v>
      </c>
      <c r="AG35" s="637"/>
    </row>
    <row r="36" spans="1:33" ht="15.75" customHeight="1">
      <c r="A36" s="651" t="s">
        <v>66</v>
      </c>
      <c r="B36" s="42" t="s">
        <v>116</v>
      </c>
      <c r="C36" s="633" t="s">
        <v>123</v>
      </c>
      <c r="D36" s="633"/>
      <c r="E36" s="42">
        <v>26.18</v>
      </c>
      <c r="F36" s="500">
        <v>5997</v>
      </c>
      <c r="G36" s="489">
        <f t="shared" ref="G36:G42" si="27">E36*F36</f>
        <v>157001.46</v>
      </c>
      <c r="H36" s="37" t="s">
        <v>91</v>
      </c>
      <c r="I36" s="498">
        <v>20</v>
      </c>
      <c r="J36" s="39">
        <v>2400</v>
      </c>
      <c r="K36" s="17">
        <f t="shared" si="1"/>
        <v>120</v>
      </c>
      <c r="L36" s="498">
        <v>20</v>
      </c>
      <c r="M36" s="18">
        <f t="shared" ref="M36:M42" si="28">F36/V36*60</f>
        <v>2291.8471337579622</v>
      </c>
      <c r="N36" s="17">
        <f t="shared" si="3"/>
        <v>114.5923566878981</v>
      </c>
      <c r="O36" s="19">
        <f t="shared" si="4"/>
        <v>0</v>
      </c>
      <c r="P36" s="20">
        <f t="shared" si="5"/>
        <v>-5.4076433121018965</v>
      </c>
      <c r="Q36" s="494">
        <f t="shared" si="6"/>
        <v>0.95493630573248423</v>
      </c>
      <c r="R36" s="637">
        <f>Q43</f>
        <v>0.95945004196809647</v>
      </c>
      <c r="S36" s="40">
        <v>8.3333333333333329E-2</v>
      </c>
      <c r="T36" s="40">
        <v>0.19236111111111109</v>
      </c>
      <c r="U36" s="489"/>
      <c r="V36" s="499">
        <f t="shared" ref="V36:V42" si="29">(T36-S36)*24*60</f>
        <v>156.99999999999997</v>
      </c>
      <c r="W36" s="28">
        <f>T36</f>
        <v>0.19236111111111109</v>
      </c>
      <c r="X36" s="28">
        <f>S37</f>
        <v>0.21111111111111108</v>
      </c>
      <c r="Y36" s="28"/>
      <c r="Z36" s="28"/>
      <c r="AA36" s="632"/>
      <c r="AB36" s="632"/>
      <c r="AC36" s="135">
        <v>7</v>
      </c>
      <c r="AD36" s="25"/>
      <c r="AE36" s="19">
        <f t="shared" si="8"/>
        <v>-108.15286624203782</v>
      </c>
      <c r="AF36" s="494">
        <f t="shared" si="9"/>
        <v>0.95493630573248423</v>
      </c>
      <c r="AG36" s="637">
        <f>AF43</f>
        <v>0.95945004196809636</v>
      </c>
    </row>
    <row r="37" spans="1:33" ht="15.75" customHeight="1">
      <c r="A37" s="651" t="s">
        <v>66</v>
      </c>
      <c r="B37" s="42" t="s">
        <v>116</v>
      </c>
      <c r="C37" s="633" t="s">
        <v>150</v>
      </c>
      <c r="D37" s="633"/>
      <c r="E37" s="42">
        <v>23.89</v>
      </c>
      <c r="F37" s="500">
        <v>1558</v>
      </c>
      <c r="G37" s="489">
        <f t="shared" si="27"/>
        <v>37220.620000000003</v>
      </c>
      <c r="H37" s="37" t="s">
        <v>91</v>
      </c>
      <c r="I37" s="498">
        <v>13</v>
      </c>
      <c r="J37" s="39">
        <v>2400</v>
      </c>
      <c r="K37" s="17">
        <f t="shared" si="1"/>
        <v>184.61538461538461</v>
      </c>
      <c r="L37" s="498">
        <v>13</v>
      </c>
      <c r="M37" s="18">
        <f t="shared" si="28"/>
        <v>2336.9999999999991</v>
      </c>
      <c r="N37" s="17">
        <f t="shared" si="3"/>
        <v>179.76923076923069</v>
      </c>
      <c r="O37" s="19">
        <f t="shared" si="4"/>
        <v>0</v>
      </c>
      <c r="P37" s="20">
        <f t="shared" si="5"/>
        <v>-4.8461538461539249</v>
      </c>
      <c r="Q37" s="494">
        <f t="shared" si="6"/>
        <v>0.97374999999999956</v>
      </c>
      <c r="R37" s="637"/>
      <c r="S37" s="40">
        <v>0.21111111111111108</v>
      </c>
      <c r="T37" s="40">
        <v>0.23888888888888887</v>
      </c>
      <c r="U37" s="489">
        <f t="shared" ref="U37:U42" si="30">(S37-T36)*24*60</f>
        <v>26.999999999999986</v>
      </c>
      <c r="V37" s="499">
        <f t="shared" si="29"/>
        <v>40.000000000000014</v>
      </c>
      <c r="W37" s="489"/>
      <c r="X37" s="489"/>
      <c r="Y37" s="489"/>
      <c r="Z37" s="489"/>
      <c r="AA37" s="632"/>
      <c r="AB37" s="632"/>
      <c r="AC37" s="135"/>
      <c r="AD37" s="25"/>
      <c r="AE37" s="19">
        <f t="shared" si="8"/>
        <v>-63.000000000000909</v>
      </c>
      <c r="AF37" s="494">
        <f t="shared" si="9"/>
        <v>0.97374999999999967</v>
      </c>
      <c r="AG37" s="637"/>
    </row>
    <row r="38" spans="1:33">
      <c r="A38" s="652" t="s">
        <v>2606</v>
      </c>
      <c r="B38" s="42" t="s">
        <v>116</v>
      </c>
      <c r="C38" s="633" t="s">
        <v>119</v>
      </c>
      <c r="D38" s="633"/>
      <c r="E38" s="42">
        <v>26.18</v>
      </c>
      <c r="F38" s="500">
        <v>4100</v>
      </c>
      <c r="G38" s="489">
        <f t="shared" si="27"/>
        <v>107338</v>
      </c>
      <c r="H38" s="37">
        <v>2</v>
      </c>
      <c r="I38" s="498">
        <v>18</v>
      </c>
      <c r="J38" s="39">
        <v>2400</v>
      </c>
      <c r="K38" s="17">
        <f t="shared" si="1"/>
        <v>133.33333333333334</v>
      </c>
      <c r="L38" s="498">
        <v>18</v>
      </c>
      <c r="M38" s="18">
        <f t="shared" si="28"/>
        <v>2299.065420560748</v>
      </c>
      <c r="N38" s="17">
        <f t="shared" si="3"/>
        <v>127.72585669781932</v>
      </c>
      <c r="O38" s="19">
        <f t="shared" si="4"/>
        <v>0</v>
      </c>
      <c r="P38" s="20">
        <f t="shared" si="5"/>
        <v>-5.6074766355140184</v>
      </c>
      <c r="Q38" s="494">
        <f t="shared" si="6"/>
        <v>0.95794392523364491</v>
      </c>
      <c r="R38" s="637"/>
      <c r="S38" s="40">
        <v>0.24374999999999999</v>
      </c>
      <c r="T38" s="40">
        <v>0.31805555555555554</v>
      </c>
      <c r="U38" s="489">
        <f t="shared" si="30"/>
        <v>7.0000000000000151</v>
      </c>
      <c r="V38" s="499">
        <f t="shared" si="29"/>
        <v>106.99999999999999</v>
      </c>
      <c r="W38" s="489"/>
      <c r="X38" s="489"/>
      <c r="Y38" s="489"/>
      <c r="Z38" s="489"/>
      <c r="AA38" s="632"/>
      <c r="AB38" s="632"/>
      <c r="AC38" s="135"/>
      <c r="AD38" s="25"/>
      <c r="AE38" s="19">
        <f t="shared" si="8"/>
        <v>-100.93457943925205</v>
      </c>
      <c r="AF38" s="494">
        <f t="shared" si="9"/>
        <v>0.95794392523364502</v>
      </c>
      <c r="AG38" s="637"/>
    </row>
    <row r="39" spans="1:33">
      <c r="A39" s="652" t="s">
        <v>66</v>
      </c>
      <c r="B39" s="42" t="s">
        <v>116</v>
      </c>
      <c r="C39" s="633" t="s">
        <v>121</v>
      </c>
      <c r="D39" s="633"/>
      <c r="E39" s="42">
        <v>25.99</v>
      </c>
      <c r="F39" s="500">
        <v>3564</v>
      </c>
      <c r="G39" s="489">
        <f t="shared" si="27"/>
        <v>92628.36</v>
      </c>
      <c r="H39" s="37" t="s">
        <v>91</v>
      </c>
      <c r="I39" s="498">
        <v>14</v>
      </c>
      <c r="J39" s="39">
        <v>2400</v>
      </c>
      <c r="K39" s="17">
        <f t="shared" si="1"/>
        <v>171.42857142857142</v>
      </c>
      <c r="L39" s="498">
        <v>14</v>
      </c>
      <c r="M39" s="18">
        <f t="shared" si="28"/>
        <v>2299.3548387096776</v>
      </c>
      <c r="N39" s="17">
        <f t="shared" si="3"/>
        <v>164.23963133640555</v>
      </c>
      <c r="O39" s="19">
        <f t="shared" si="4"/>
        <v>0</v>
      </c>
      <c r="P39" s="20">
        <f t="shared" si="5"/>
        <v>-7.1889400921658648</v>
      </c>
      <c r="Q39" s="494">
        <f t="shared" si="6"/>
        <v>0.95806451612903243</v>
      </c>
      <c r="R39" s="637"/>
      <c r="S39" s="40">
        <v>0.32361111111111107</v>
      </c>
      <c r="T39" s="40">
        <v>0.3881944444444444</v>
      </c>
      <c r="U39" s="489">
        <f t="shared" si="30"/>
        <v>7.9999999999999716</v>
      </c>
      <c r="V39" s="499">
        <f t="shared" si="29"/>
        <v>92.999999999999986</v>
      </c>
      <c r="W39" s="23"/>
      <c r="X39" s="23"/>
      <c r="Y39" s="23"/>
      <c r="Z39" s="23"/>
      <c r="AA39" s="632"/>
      <c r="AB39" s="632"/>
      <c r="AC39" s="135"/>
      <c r="AD39" s="25"/>
      <c r="AE39" s="19">
        <f t="shared" si="8"/>
        <v>-100.64516129032245</v>
      </c>
      <c r="AF39" s="494">
        <f t="shared" si="9"/>
        <v>0.95806451612903232</v>
      </c>
      <c r="AG39" s="637"/>
    </row>
    <row r="40" spans="1:33">
      <c r="A40" s="652" t="s">
        <v>66</v>
      </c>
      <c r="B40" s="42" t="s">
        <v>116</v>
      </c>
      <c r="C40" s="633" t="s">
        <v>126</v>
      </c>
      <c r="D40" s="633"/>
      <c r="E40" s="42">
        <v>34.1</v>
      </c>
      <c r="F40" s="500">
        <v>3400</v>
      </c>
      <c r="G40" s="489">
        <f t="shared" si="27"/>
        <v>115940</v>
      </c>
      <c r="H40" s="37">
        <v>2</v>
      </c>
      <c r="I40" s="498">
        <v>17</v>
      </c>
      <c r="J40" s="39">
        <v>1600</v>
      </c>
      <c r="K40" s="17">
        <f t="shared" si="1"/>
        <v>94.117647058823536</v>
      </c>
      <c r="L40" s="498">
        <v>17</v>
      </c>
      <c r="M40" s="18">
        <f t="shared" si="28"/>
        <v>1522.3880597014925</v>
      </c>
      <c r="N40" s="17">
        <f t="shared" si="3"/>
        <v>89.552238805970148</v>
      </c>
      <c r="O40" s="19">
        <f t="shared" si="4"/>
        <v>0</v>
      </c>
      <c r="P40" s="20">
        <f t="shared" si="5"/>
        <v>-4.5654082528533877</v>
      </c>
      <c r="Q40" s="494">
        <f t="shared" si="6"/>
        <v>0.95149253731343275</v>
      </c>
      <c r="R40" s="637"/>
      <c r="S40" s="40">
        <v>0.39374999999999993</v>
      </c>
      <c r="T40" s="40">
        <v>0.48680555555555549</v>
      </c>
      <c r="U40" s="489">
        <f t="shared" si="30"/>
        <v>7.9999999999999716</v>
      </c>
      <c r="V40" s="499">
        <f t="shared" si="29"/>
        <v>134</v>
      </c>
      <c r="W40" s="23">
        <f>T40</f>
        <v>0.48680555555555549</v>
      </c>
      <c r="X40" s="23">
        <f>S41</f>
        <v>0.52499999999999991</v>
      </c>
      <c r="Y40" s="23"/>
      <c r="Z40" s="23"/>
      <c r="AA40" s="632"/>
      <c r="AB40" s="632"/>
      <c r="AC40" s="135"/>
      <c r="AD40" s="25"/>
      <c r="AE40" s="19">
        <f t="shared" si="8"/>
        <v>-77.611940298507534</v>
      </c>
      <c r="AF40" s="494">
        <f t="shared" si="9"/>
        <v>0.95149253731343275</v>
      </c>
      <c r="AG40" s="637"/>
    </row>
    <row r="41" spans="1:33">
      <c r="A41" s="652" t="s">
        <v>2606</v>
      </c>
      <c r="B41" s="42" t="s">
        <v>116</v>
      </c>
      <c r="C41" s="633" t="s">
        <v>119</v>
      </c>
      <c r="D41" s="633"/>
      <c r="E41" s="42">
        <v>26.18</v>
      </c>
      <c r="F41" s="500">
        <v>3112</v>
      </c>
      <c r="G41" s="489">
        <f t="shared" si="27"/>
        <v>81472.160000000003</v>
      </c>
      <c r="H41" s="37" t="s">
        <v>91</v>
      </c>
      <c r="I41" s="498">
        <v>18</v>
      </c>
      <c r="J41" s="39">
        <v>2400</v>
      </c>
      <c r="K41" s="17">
        <f t="shared" si="1"/>
        <v>133.33333333333334</v>
      </c>
      <c r="L41" s="498">
        <v>18</v>
      </c>
      <c r="M41" s="18">
        <f t="shared" si="28"/>
        <v>2305.1851851851843</v>
      </c>
      <c r="N41" s="17">
        <f t="shared" si="3"/>
        <v>128.06584362139913</v>
      </c>
      <c r="O41" s="19">
        <f t="shared" si="4"/>
        <v>0</v>
      </c>
      <c r="P41" s="20">
        <f t="shared" si="5"/>
        <v>-5.2674897119342177</v>
      </c>
      <c r="Q41" s="494">
        <f t="shared" si="6"/>
        <v>0.96049382716049336</v>
      </c>
      <c r="R41" s="637"/>
      <c r="S41" s="40">
        <v>0.52499999999999991</v>
      </c>
      <c r="T41" s="40">
        <v>0.58124999999999993</v>
      </c>
      <c r="U41" s="489">
        <f t="shared" si="30"/>
        <v>54.999999999999964</v>
      </c>
      <c r="V41" s="499">
        <f t="shared" si="29"/>
        <v>81.000000000000028</v>
      </c>
      <c r="W41" s="23"/>
      <c r="X41" s="23"/>
      <c r="Y41" s="23"/>
      <c r="Z41" s="23"/>
      <c r="AA41" s="632"/>
      <c r="AB41" s="632"/>
      <c r="AC41" s="135"/>
      <c r="AD41" s="25"/>
      <c r="AE41" s="19">
        <f t="shared" si="8"/>
        <v>-94.814814814815691</v>
      </c>
      <c r="AF41" s="494">
        <f t="shared" si="9"/>
        <v>0.96049382716049347</v>
      </c>
      <c r="AG41" s="637"/>
    </row>
    <row r="42" spans="1:33">
      <c r="A42" s="652" t="s">
        <v>66</v>
      </c>
      <c r="B42" s="42" t="s">
        <v>116</v>
      </c>
      <c r="C42" s="633" t="s">
        <v>126</v>
      </c>
      <c r="D42" s="633"/>
      <c r="E42" s="42">
        <v>34.1</v>
      </c>
      <c r="F42" s="500">
        <v>2548</v>
      </c>
      <c r="G42" s="489">
        <f t="shared" si="27"/>
        <v>86886.8</v>
      </c>
      <c r="H42" s="37" t="s">
        <v>91</v>
      </c>
      <c r="I42" s="498">
        <v>17</v>
      </c>
      <c r="J42" s="39">
        <v>1600</v>
      </c>
      <c r="K42" s="17">
        <f t="shared" si="1"/>
        <v>94.117647058823536</v>
      </c>
      <c r="L42" s="498">
        <v>17</v>
      </c>
      <c r="M42" s="18">
        <f t="shared" si="28"/>
        <v>1528.8000000000004</v>
      </c>
      <c r="N42" s="17">
        <f t="shared" si="3"/>
        <v>89.929411764705904</v>
      </c>
      <c r="O42" s="19">
        <f t="shared" si="4"/>
        <v>0</v>
      </c>
      <c r="P42" s="20">
        <f t="shared" si="5"/>
        <v>-4.1882352941176322</v>
      </c>
      <c r="Q42" s="494">
        <f t="shared" si="6"/>
        <v>0.95550000000000013</v>
      </c>
      <c r="R42" s="637"/>
      <c r="S42" s="40">
        <v>0.58611111111111103</v>
      </c>
      <c r="T42" s="40">
        <v>0.65555555555555545</v>
      </c>
      <c r="U42" s="489">
        <f t="shared" si="30"/>
        <v>6.9999999999999751</v>
      </c>
      <c r="V42" s="499">
        <f t="shared" si="29"/>
        <v>99.999999999999972</v>
      </c>
      <c r="W42" s="23"/>
      <c r="X42" s="23"/>
      <c r="Y42" s="26"/>
      <c r="Z42" s="26"/>
      <c r="AA42" s="627"/>
      <c r="AB42" s="628"/>
      <c r="AC42" s="135"/>
      <c r="AD42" s="25"/>
      <c r="AE42" s="19">
        <f t="shared" si="8"/>
        <v>-71.199999999999591</v>
      </c>
      <c r="AF42" s="494">
        <f t="shared" si="9"/>
        <v>0.95550000000000024</v>
      </c>
      <c r="AG42" s="637"/>
    </row>
    <row r="43" spans="1:33">
      <c r="A43" s="652" t="s">
        <v>66</v>
      </c>
      <c r="B43" s="44" t="s">
        <v>2607</v>
      </c>
      <c r="C43" s="638"/>
      <c r="D43" s="638"/>
      <c r="E43" s="495"/>
      <c r="F43" s="44"/>
      <c r="G43" s="17"/>
      <c r="H43" s="500"/>
      <c r="I43" s="29">
        <v>16.714285714285715</v>
      </c>
      <c r="J43" s="39">
        <v>2171.4285714285716</v>
      </c>
      <c r="K43" s="17">
        <f t="shared" si="1"/>
        <v>129.91452991452991</v>
      </c>
      <c r="L43" s="29">
        <v>16.714285714285715</v>
      </c>
      <c r="M43" s="18">
        <f>AVERAGE(M36:M42)</f>
        <v>2083.3772339878665</v>
      </c>
      <c r="N43" s="17">
        <f t="shared" si="3"/>
        <v>124.64650117876124</v>
      </c>
      <c r="O43" s="19">
        <f t="shared" si="4"/>
        <v>0</v>
      </c>
      <c r="P43" s="20">
        <f t="shared" si="5"/>
        <v>-5.2680287357686666</v>
      </c>
      <c r="Q43" s="494">
        <f t="shared" si="6"/>
        <v>0.95945004196809647</v>
      </c>
      <c r="R43" s="637"/>
      <c r="S43" s="40"/>
      <c r="T43" s="40"/>
      <c r="U43" s="17"/>
      <c r="V43" s="499"/>
      <c r="W43" s="17"/>
      <c r="X43" s="17"/>
      <c r="Y43" s="30">
        <f>SUM(Y36:Y42)</f>
        <v>0</v>
      </c>
      <c r="Z43" s="30">
        <f>SUM(Z36:Z42)</f>
        <v>0</v>
      </c>
      <c r="AA43" s="631"/>
      <c r="AB43" s="631"/>
      <c r="AC43" s="30">
        <v>7</v>
      </c>
      <c r="AD43" s="30">
        <f>SUM(AD36:AD42)</f>
        <v>0</v>
      </c>
      <c r="AE43" s="19">
        <f t="shared" si="8"/>
        <v>-88.051337440705083</v>
      </c>
      <c r="AF43" s="494">
        <f t="shared" si="9"/>
        <v>0.95945004196809636</v>
      </c>
      <c r="AG43" s="637"/>
    </row>
    <row r="44" spans="1:33" ht="15.75" customHeight="1">
      <c r="A44" s="648" t="s">
        <v>2608</v>
      </c>
      <c r="B44" s="42" t="s">
        <v>127</v>
      </c>
      <c r="C44" s="625" t="s">
        <v>128</v>
      </c>
      <c r="D44" s="626"/>
      <c r="E44" s="42">
        <v>21.13</v>
      </c>
      <c r="F44" s="500">
        <v>5130</v>
      </c>
      <c r="G44" s="489">
        <f t="shared" ref="G44:G46" si="31">E44*F44</f>
        <v>108396.9</v>
      </c>
      <c r="H44" s="37" t="s">
        <v>91</v>
      </c>
      <c r="I44" s="498">
        <v>10</v>
      </c>
      <c r="J44" s="39">
        <v>3000</v>
      </c>
      <c r="K44" s="17">
        <f t="shared" si="1"/>
        <v>300</v>
      </c>
      <c r="L44" s="498">
        <v>10</v>
      </c>
      <c r="M44" s="18">
        <f t="shared" ref="M44:M46" si="32">F44/V44*60</f>
        <v>2876.635514018692</v>
      </c>
      <c r="N44" s="18">
        <f t="shared" si="3"/>
        <v>287.6635514018692</v>
      </c>
      <c r="O44" s="19">
        <f t="shared" si="4"/>
        <v>0</v>
      </c>
      <c r="P44" s="20">
        <f t="shared" si="5"/>
        <v>-12.336448598130801</v>
      </c>
      <c r="Q44" s="494">
        <f t="shared" si="6"/>
        <v>0.95887850467289737</v>
      </c>
      <c r="R44" s="643">
        <f>Q47</f>
        <v>0.95724927716936969</v>
      </c>
      <c r="S44" s="40">
        <v>0.20833333333333334</v>
      </c>
      <c r="T44" s="40">
        <v>0.28263888888888888</v>
      </c>
      <c r="U44" s="28"/>
      <c r="V44" s="499">
        <f t="shared" ref="V44:V46" si="33">(T44-S44)*24*60</f>
        <v>106.99999999999999</v>
      </c>
      <c r="W44" s="23"/>
      <c r="X44" s="23"/>
      <c r="Y44" s="26"/>
      <c r="Z44" s="26"/>
      <c r="AA44" s="627"/>
      <c r="AB44" s="628"/>
      <c r="AC44" s="135">
        <v>3</v>
      </c>
      <c r="AD44" s="25"/>
      <c r="AE44" s="19">
        <f t="shared" si="8"/>
        <v>-123.36448598130801</v>
      </c>
      <c r="AF44" s="494">
        <f t="shared" si="9"/>
        <v>0.95887850467289737</v>
      </c>
      <c r="AG44" s="643">
        <f>AF47</f>
        <v>0.95724927716936981</v>
      </c>
    </row>
    <row r="45" spans="1:33" ht="15.75" customHeight="1">
      <c r="A45" s="649" t="s">
        <v>70</v>
      </c>
      <c r="B45" s="42" t="s">
        <v>127</v>
      </c>
      <c r="C45" s="625" t="s">
        <v>129</v>
      </c>
      <c r="D45" s="626"/>
      <c r="E45" s="42">
        <v>27.17</v>
      </c>
      <c r="F45" s="500">
        <v>4691</v>
      </c>
      <c r="G45" s="489">
        <f t="shared" si="31"/>
        <v>127454.47</v>
      </c>
      <c r="H45" s="37" t="s">
        <v>91</v>
      </c>
      <c r="I45" s="498">
        <v>10</v>
      </c>
      <c r="J45" s="39">
        <v>3000</v>
      </c>
      <c r="K45" s="17">
        <f t="shared" si="1"/>
        <v>300</v>
      </c>
      <c r="L45" s="498">
        <v>10</v>
      </c>
      <c r="M45" s="18">
        <f t="shared" si="32"/>
        <v>2872.0408163265315</v>
      </c>
      <c r="N45" s="18">
        <f t="shared" si="3"/>
        <v>287.20408163265313</v>
      </c>
      <c r="O45" s="19">
        <f t="shared" si="4"/>
        <v>0</v>
      </c>
      <c r="P45" s="20">
        <f t="shared" si="5"/>
        <v>-12.795918367346871</v>
      </c>
      <c r="Q45" s="494">
        <f t="shared" si="6"/>
        <v>0.95734693877551047</v>
      </c>
      <c r="R45" s="644"/>
      <c r="S45" s="40">
        <v>0.28819444444444442</v>
      </c>
      <c r="T45" s="40">
        <v>0.35624999999999996</v>
      </c>
      <c r="U45" s="489">
        <f t="shared" ref="U45:U46" si="34">(S45-T44)*24*60</f>
        <v>7.9999999999999716</v>
      </c>
      <c r="V45" s="499">
        <f t="shared" si="33"/>
        <v>97.999999999999972</v>
      </c>
      <c r="W45" s="23"/>
      <c r="X45" s="23"/>
      <c r="Y45" s="26"/>
      <c r="Z45" s="26"/>
      <c r="AA45" s="627"/>
      <c r="AB45" s="628"/>
      <c r="AC45" s="135"/>
      <c r="AD45" s="25"/>
      <c r="AE45" s="19">
        <f t="shared" si="8"/>
        <v>-127.95918367346849</v>
      </c>
      <c r="AF45" s="494">
        <f t="shared" si="9"/>
        <v>0.95734693877551047</v>
      </c>
      <c r="AG45" s="644"/>
    </row>
    <row r="46" spans="1:33" ht="15.75" customHeight="1">
      <c r="A46" s="649" t="s">
        <v>70</v>
      </c>
      <c r="B46" s="42" t="s">
        <v>127</v>
      </c>
      <c r="C46" s="625" t="s">
        <v>144</v>
      </c>
      <c r="D46" s="626"/>
      <c r="E46" s="42">
        <v>35.869999999999997</v>
      </c>
      <c r="F46" s="500">
        <v>3201</v>
      </c>
      <c r="G46" s="489">
        <f t="shared" si="31"/>
        <v>114819.87</v>
      </c>
      <c r="H46" s="37" t="s">
        <v>91</v>
      </c>
      <c r="I46" s="498">
        <v>10</v>
      </c>
      <c r="J46" s="39">
        <v>3000</v>
      </c>
      <c r="K46" s="17">
        <f t="shared" si="1"/>
        <v>300</v>
      </c>
      <c r="L46" s="498">
        <v>10</v>
      </c>
      <c r="M46" s="18">
        <f t="shared" si="32"/>
        <v>2866.5671641791046</v>
      </c>
      <c r="N46" s="18">
        <f t="shared" si="3"/>
        <v>286.65671641791045</v>
      </c>
      <c r="O46" s="19">
        <f t="shared" si="4"/>
        <v>0</v>
      </c>
      <c r="P46" s="20">
        <f t="shared" si="5"/>
        <v>-13.343283582089555</v>
      </c>
      <c r="Q46" s="494">
        <f t="shared" si="6"/>
        <v>0.95552238805970147</v>
      </c>
      <c r="R46" s="644"/>
      <c r="S46" s="40">
        <v>0.36111111111111105</v>
      </c>
      <c r="T46" s="40">
        <v>0.40763888888888883</v>
      </c>
      <c r="U46" s="489">
        <f t="shared" si="34"/>
        <v>6.9999999999999751</v>
      </c>
      <c r="V46" s="499">
        <f t="shared" si="33"/>
        <v>67</v>
      </c>
      <c r="W46" s="23"/>
      <c r="X46" s="23"/>
      <c r="Y46" s="26"/>
      <c r="Z46" s="26"/>
      <c r="AA46" s="627"/>
      <c r="AB46" s="628"/>
      <c r="AC46" s="135"/>
      <c r="AD46" s="25"/>
      <c r="AE46" s="19">
        <f t="shared" si="8"/>
        <v>-133.43283582089543</v>
      </c>
      <c r="AF46" s="494">
        <f t="shared" si="9"/>
        <v>0.95552238805970158</v>
      </c>
      <c r="AG46" s="644"/>
    </row>
    <row r="47" spans="1:33" ht="15.75" customHeight="1">
      <c r="A47" s="650" t="s">
        <v>70</v>
      </c>
      <c r="B47" s="42" t="s">
        <v>52</v>
      </c>
      <c r="C47" s="629"/>
      <c r="D47" s="630"/>
      <c r="E47" s="487"/>
      <c r="F47" s="500"/>
      <c r="G47" s="489"/>
      <c r="H47" s="500"/>
      <c r="I47" s="29">
        <v>10</v>
      </c>
      <c r="J47" s="39">
        <v>3000</v>
      </c>
      <c r="K47" s="17">
        <f t="shared" si="1"/>
        <v>300</v>
      </c>
      <c r="L47" s="29">
        <v>10</v>
      </c>
      <c r="M47" s="18">
        <f>AVERAGE(M44:M46)</f>
        <v>2871.7478315081094</v>
      </c>
      <c r="N47" s="17">
        <f t="shared" si="3"/>
        <v>287.17478315081092</v>
      </c>
      <c r="O47" s="19">
        <f t="shared" si="4"/>
        <v>0</v>
      </c>
      <c r="P47" s="20">
        <f t="shared" si="5"/>
        <v>-12.825216849189076</v>
      </c>
      <c r="Q47" s="494">
        <f t="shared" si="6"/>
        <v>0.95724927716936969</v>
      </c>
      <c r="R47" s="645"/>
      <c r="S47" s="40"/>
      <c r="T47" s="40"/>
      <c r="U47" s="489"/>
      <c r="V47" s="499"/>
      <c r="W47" s="23"/>
      <c r="X47" s="23"/>
      <c r="Y47" s="30">
        <f>SUM(Y44:Y46)</f>
        <v>0</v>
      </c>
      <c r="Z47" s="30">
        <f>SUM(Z44:Z46)</f>
        <v>0</v>
      </c>
      <c r="AA47" s="646"/>
      <c r="AB47" s="647"/>
      <c r="AC47" s="30">
        <v>3</v>
      </c>
      <c r="AD47" s="30">
        <f>SUM(AD44:AD46)</f>
        <v>0</v>
      </c>
      <c r="AE47" s="19">
        <f t="shared" si="8"/>
        <v>-128.25216849189064</v>
      </c>
      <c r="AF47" s="494">
        <f t="shared" si="9"/>
        <v>0.95724927716936981</v>
      </c>
      <c r="AG47" s="645"/>
    </row>
    <row r="48" spans="1:33" ht="15.75" customHeight="1">
      <c r="A48" s="641" t="s">
        <v>2609</v>
      </c>
      <c r="B48" s="42" t="s">
        <v>92</v>
      </c>
      <c r="C48" s="633" t="s">
        <v>135</v>
      </c>
      <c r="D48" s="633"/>
      <c r="E48" s="42">
        <v>51.44</v>
      </c>
      <c r="F48" s="48">
        <v>1418</v>
      </c>
      <c r="G48" s="489">
        <f t="shared" ref="G48:G54" si="35">E48*F48</f>
        <v>72941.919999999998</v>
      </c>
      <c r="H48" s="37" t="s">
        <v>91</v>
      </c>
      <c r="I48" s="498">
        <v>25</v>
      </c>
      <c r="J48" s="39">
        <v>2000</v>
      </c>
      <c r="K48" s="17">
        <f t="shared" si="1"/>
        <v>80</v>
      </c>
      <c r="L48" s="498">
        <v>25</v>
      </c>
      <c r="M48" s="18">
        <f t="shared" ref="M48" si="36">F48/V48*60</f>
        <v>1933.6363636363635</v>
      </c>
      <c r="N48" s="18">
        <f t="shared" si="3"/>
        <v>77.345454545454544</v>
      </c>
      <c r="O48" s="19">
        <f t="shared" si="4"/>
        <v>0</v>
      </c>
      <c r="P48" s="20">
        <f t="shared" si="5"/>
        <v>-2.6545454545454561</v>
      </c>
      <c r="Q48" s="494">
        <f t="shared" si="6"/>
        <v>0.9668181818181818</v>
      </c>
      <c r="R48" s="637">
        <f>Q55</f>
        <v>0.96327467830653746</v>
      </c>
      <c r="S48" s="40">
        <v>0.20833333333333334</v>
      </c>
      <c r="T48" s="40">
        <v>0.2388888888888889</v>
      </c>
      <c r="U48" s="28"/>
      <c r="V48" s="499">
        <f t="shared" ref="V48:V54" si="37">(T48-S48)*24*60</f>
        <v>44</v>
      </c>
      <c r="W48" s="23"/>
      <c r="X48" s="23"/>
      <c r="Y48" s="28"/>
      <c r="Z48" s="28"/>
      <c r="AA48" s="632"/>
      <c r="AB48" s="632"/>
      <c r="AC48" s="135">
        <v>7</v>
      </c>
      <c r="AD48" s="25"/>
      <c r="AE48" s="19">
        <f t="shared" si="8"/>
        <v>-66.363636363636488</v>
      </c>
      <c r="AF48" s="494">
        <f t="shared" si="9"/>
        <v>0.9668181818181818</v>
      </c>
      <c r="AG48" s="637">
        <f>AF55</f>
        <v>0.96327467830653746</v>
      </c>
    </row>
    <row r="49" spans="1:33" ht="15.75" customHeight="1">
      <c r="A49" s="641" t="s">
        <v>75</v>
      </c>
      <c r="B49" s="42" t="s">
        <v>92</v>
      </c>
      <c r="C49" s="633" t="s">
        <v>2408</v>
      </c>
      <c r="D49" s="633"/>
      <c r="E49" s="42">
        <v>56.43</v>
      </c>
      <c r="F49" s="48">
        <v>5054</v>
      </c>
      <c r="G49" s="489">
        <f t="shared" si="35"/>
        <v>285197.21999999997</v>
      </c>
      <c r="H49" s="37" t="s">
        <v>91</v>
      </c>
      <c r="I49" s="498">
        <v>23</v>
      </c>
      <c r="J49" s="39">
        <v>2000</v>
      </c>
      <c r="K49" s="17">
        <f t="shared" si="1"/>
        <v>86.956521739130437</v>
      </c>
      <c r="L49" s="498">
        <v>23</v>
      </c>
      <c r="M49" s="18">
        <f>F49/V49*60</f>
        <v>1907.1698113207547</v>
      </c>
      <c r="N49" s="18">
        <f t="shared" si="3"/>
        <v>82.920426579163248</v>
      </c>
      <c r="O49" s="19">
        <f t="shared" si="4"/>
        <v>0</v>
      </c>
      <c r="P49" s="20">
        <f t="shared" si="5"/>
        <v>-4.0360951599671893</v>
      </c>
      <c r="Q49" s="494">
        <f t="shared" si="6"/>
        <v>0.95358490566037735</v>
      </c>
      <c r="R49" s="637"/>
      <c r="S49" s="40">
        <v>0.24305555555555558</v>
      </c>
      <c r="T49" s="40">
        <v>0.35347222222222224</v>
      </c>
      <c r="U49" s="489">
        <f t="shared" ref="U49:U54" si="38">IF(S49=TIME(17,0,0),"",(S49-T48)*24*60)</f>
        <v>6.0000000000000187</v>
      </c>
      <c r="V49" s="499">
        <f t="shared" si="37"/>
        <v>159</v>
      </c>
      <c r="W49" s="23"/>
      <c r="X49" s="23"/>
      <c r="Y49" s="23"/>
      <c r="Z49" s="23"/>
      <c r="AA49" s="632"/>
      <c r="AB49" s="632"/>
      <c r="AC49" s="135"/>
      <c r="AD49" s="25"/>
      <c r="AE49" s="19">
        <f t="shared" si="8"/>
        <v>-92.830188679245339</v>
      </c>
      <c r="AF49" s="494">
        <f t="shared" si="9"/>
        <v>0.95358490566037735</v>
      </c>
      <c r="AG49" s="637"/>
    </row>
    <row r="50" spans="1:33" ht="15.75" customHeight="1">
      <c r="A50" s="641" t="s">
        <v>2610</v>
      </c>
      <c r="B50" s="42" t="s">
        <v>92</v>
      </c>
      <c r="C50" s="625" t="s">
        <v>1852</v>
      </c>
      <c r="D50" s="626"/>
      <c r="E50" s="42">
        <v>56.43</v>
      </c>
      <c r="F50" s="48">
        <v>1743</v>
      </c>
      <c r="G50" s="489">
        <f t="shared" si="35"/>
        <v>98357.49</v>
      </c>
      <c r="H50" s="37" t="s">
        <v>91</v>
      </c>
      <c r="I50" s="498">
        <v>25</v>
      </c>
      <c r="J50" s="39">
        <v>2000</v>
      </c>
      <c r="K50" s="17">
        <f t="shared" si="1"/>
        <v>80</v>
      </c>
      <c r="L50" s="498">
        <v>25</v>
      </c>
      <c r="M50" s="18">
        <f t="shared" ref="M50:M54" si="39">F50/V50*60</f>
        <v>1936.6666666666677</v>
      </c>
      <c r="N50" s="18">
        <f t="shared" si="3"/>
        <v>77.466666666666711</v>
      </c>
      <c r="O50" s="19">
        <f t="shared" si="4"/>
        <v>0</v>
      </c>
      <c r="P50" s="20">
        <f t="shared" si="5"/>
        <v>-2.5333333333332888</v>
      </c>
      <c r="Q50" s="494">
        <f t="shared" si="6"/>
        <v>0.96833333333333393</v>
      </c>
      <c r="R50" s="637"/>
      <c r="S50" s="40">
        <v>0.35694444444444445</v>
      </c>
      <c r="T50" s="40">
        <v>0.39444444444444443</v>
      </c>
      <c r="U50" s="489">
        <f t="shared" si="38"/>
        <v>4.9999999999999822</v>
      </c>
      <c r="V50" s="499">
        <f t="shared" si="37"/>
        <v>53.999999999999972</v>
      </c>
      <c r="W50" s="23"/>
      <c r="X50" s="23"/>
      <c r="Y50" s="26"/>
      <c r="Z50" s="26"/>
      <c r="AA50" s="632"/>
      <c r="AB50" s="632"/>
      <c r="AC50" s="135"/>
      <c r="AD50" s="25"/>
      <c r="AE50" s="19">
        <f t="shared" si="8"/>
        <v>-63.333333333332348</v>
      </c>
      <c r="AF50" s="494">
        <f t="shared" si="9"/>
        <v>0.96833333333333382</v>
      </c>
      <c r="AG50" s="637"/>
    </row>
    <row r="51" spans="1:33" ht="15.75" customHeight="1">
      <c r="A51" s="641" t="s">
        <v>75</v>
      </c>
      <c r="B51" s="42" t="s">
        <v>96</v>
      </c>
      <c r="C51" s="490" t="s">
        <v>136</v>
      </c>
      <c r="D51" s="491"/>
      <c r="E51" s="42">
        <v>46</v>
      </c>
      <c r="F51" s="48">
        <v>1145</v>
      </c>
      <c r="G51" s="489">
        <f t="shared" si="35"/>
        <v>52670</v>
      </c>
      <c r="H51" s="37" t="s">
        <v>91</v>
      </c>
      <c r="I51" s="498">
        <v>16</v>
      </c>
      <c r="J51" s="39">
        <v>2000</v>
      </c>
      <c r="K51" s="17">
        <f t="shared" si="1"/>
        <v>125</v>
      </c>
      <c r="L51" s="498">
        <v>16</v>
      </c>
      <c r="M51" s="18">
        <f t="shared" si="39"/>
        <v>1908.3333333333317</v>
      </c>
      <c r="N51" s="18">
        <f t="shared" si="3"/>
        <v>119.27083333333323</v>
      </c>
      <c r="O51" s="19">
        <f t="shared" si="4"/>
        <v>0</v>
      </c>
      <c r="P51" s="20">
        <f t="shared" si="5"/>
        <v>-5.7291666666667709</v>
      </c>
      <c r="Q51" s="494">
        <f t="shared" si="6"/>
        <v>0.95416666666666583</v>
      </c>
      <c r="R51" s="637"/>
      <c r="S51" s="40">
        <v>0.39861111111111108</v>
      </c>
      <c r="T51" s="40">
        <v>0.4236111111111111</v>
      </c>
      <c r="U51" s="489">
        <f t="shared" si="38"/>
        <v>5.9999999999999787</v>
      </c>
      <c r="V51" s="499">
        <f t="shared" si="37"/>
        <v>36.000000000000028</v>
      </c>
      <c r="W51" s="23"/>
      <c r="X51" s="23"/>
      <c r="Y51" s="26"/>
      <c r="Z51" s="26"/>
      <c r="AA51" s="632"/>
      <c r="AB51" s="632"/>
      <c r="AC51" s="135"/>
      <c r="AD51" s="25"/>
      <c r="AE51" s="19">
        <f t="shared" si="8"/>
        <v>-91.666666666668334</v>
      </c>
      <c r="AF51" s="494">
        <f t="shared" si="9"/>
        <v>0.95416666666666583</v>
      </c>
      <c r="AG51" s="637"/>
    </row>
    <row r="52" spans="1:33" ht="15.75" customHeight="1">
      <c r="A52" s="641" t="s">
        <v>2610</v>
      </c>
      <c r="B52" s="42" t="s">
        <v>96</v>
      </c>
      <c r="C52" s="490" t="s">
        <v>137</v>
      </c>
      <c r="D52" s="491"/>
      <c r="E52" s="42">
        <v>46</v>
      </c>
      <c r="F52" s="48">
        <v>1425</v>
      </c>
      <c r="G52" s="489">
        <f t="shared" si="35"/>
        <v>65550</v>
      </c>
      <c r="H52" s="37" t="s">
        <v>91</v>
      </c>
      <c r="I52" s="498">
        <v>17</v>
      </c>
      <c r="J52" s="39">
        <v>2000</v>
      </c>
      <c r="K52" s="17">
        <f t="shared" si="1"/>
        <v>117.64705882352941</v>
      </c>
      <c r="L52" s="498">
        <v>17</v>
      </c>
      <c r="M52" s="18">
        <f t="shared" si="39"/>
        <v>1943.181818181818</v>
      </c>
      <c r="N52" s="18">
        <f t="shared" si="3"/>
        <v>114.30481283422459</v>
      </c>
      <c r="O52" s="19">
        <f t="shared" si="4"/>
        <v>0</v>
      </c>
      <c r="P52" s="20">
        <f t="shared" si="5"/>
        <v>-3.3422459893048142</v>
      </c>
      <c r="Q52" s="494">
        <f t="shared" si="6"/>
        <v>0.97159090909090906</v>
      </c>
      <c r="R52" s="637"/>
      <c r="S52" s="40">
        <v>0.42777777777777776</v>
      </c>
      <c r="T52" s="40">
        <v>0.45833333333333331</v>
      </c>
      <c r="U52" s="489">
        <f t="shared" si="38"/>
        <v>5.9999999999999787</v>
      </c>
      <c r="V52" s="499">
        <f t="shared" si="37"/>
        <v>44</v>
      </c>
      <c r="W52" s="23"/>
      <c r="X52" s="23"/>
      <c r="Y52" s="26"/>
      <c r="Z52" s="26"/>
      <c r="AA52" s="632"/>
      <c r="AB52" s="632"/>
      <c r="AC52" s="135"/>
      <c r="AD52" s="25"/>
      <c r="AE52" s="19">
        <f t="shared" si="8"/>
        <v>-56.818181818181984</v>
      </c>
      <c r="AF52" s="494">
        <f t="shared" si="9"/>
        <v>0.97159090909090906</v>
      </c>
      <c r="AG52" s="637"/>
    </row>
    <row r="53" spans="1:33" ht="15.75" customHeight="1">
      <c r="A53" s="641" t="s">
        <v>75</v>
      </c>
      <c r="B53" s="42" t="s">
        <v>92</v>
      </c>
      <c r="C53" s="625" t="s">
        <v>138</v>
      </c>
      <c r="D53" s="626"/>
      <c r="E53" s="42">
        <v>55.56</v>
      </c>
      <c r="F53" s="48">
        <v>2094</v>
      </c>
      <c r="G53" s="489">
        <f t="shared" si="35"/>
        <v>116342.64</v>
      </c>
      <c r="H53" s="37" t="s">
        <v>91</v>
      </c>
      <c r="I53" s="498">
        <v>17</v>
      </c>
      <c r="J53" s="39">
        <v>2000</v>
      </c>
      <c r="K53" s="17">
        <f t="shared" si="1"/>
        <v>117.64705882352941</v>
      </c>
      <c r="L53" s="498">
        <v>17</v>
      </c>
      <c r="M53" s="18">
        <f t="shared" si="39"/>
        <v>1932.923076923079</v>
      </c>
      <c r="N53" s="18">
        <f t="shared" si="3"/>
        <v>113.70135746606347</v>
      </c>
      <c r="O53" s="19">
        <f t="shared" si="4"/>
        <v>0</v>
      </c>
      <c r="P53" s="20">
        <f t="shared" si="5"/>
        <v>-3.9457013574659356</v>
      </c>
      <c r="Q53" s="494">
        <f t="shared" si="6"/>
        <v>0.96646153846153959</v>
      </c>
      <c r="R53" s="637"/>
      <c r="S53" s="40">
        <v>0.70833333333333337</v>
      </c>
      <c r="T53" s="40">
        <v>0.75347222222222221</v>
      </c>
      <c r="U53" s="489" t="str">
        <f t="shared" si="38"/>
        <v/>
      </c>
      <c r="V53" s="499">
        <f t="shared" si="37"/>
        <v>64.999999999999929</v>
      </c>
      <c r="W53" s="23"/>
      <c r="X53" s="23"/>
      <c r="Y53" s="26"/>
      <c r="Z53" s="26"/>
      <c r="AA53" s="627"/>
      <c r="AB53" s="628"/>
      <c r="AC53" s="135"/>
      <c r="AD53" s="25"/>
      <c r="AE53" s="19">
        <f t="shared" si="8"/>
        <v>-67.076923076921048</v>
      </c>
      <c r="AF53" s="494">
        <f t="shared" si="9"/>
        <v>0.96646153846153948</v>
      </c>
      <c r="AG53" s="637"/>
    </row>
    <row r="54" spans="1:33" ht="15.75" customHeight="1">
      <c r="A54" s="641" t="s">
        <v>75</v>
      </c>
      <c r="B54" s="42" t="s">
        <v>92</v>
      </c>
      <c r="C54" s="625" t="s">
        <v>420</v>
      </c>
      <c r="D54" s="626"/>
      <c r="E54" s="42">
        <v>58.17</v>
      </c>
      <c r="F54" s="48">
        <v>1956</v>
      </c>
      <c r="G54" s="489">
        <f t="shared" si="35"/>
        <v>113780.52</v>
      </c>
      <c r="H54" s="37" t="s">
        <v>91</v>
      </c>
      <c r="I54" s="498">
        <v>13</v>
      </c>
      <c r="J54" s="39">
        <v>2000</v>
      </c>
      <c r="K54" s="17">
        <f t="shared" si="1"/>
        <v>153.84615384615384</v>
      </c>
      <c r="L54" s="498">
        <v>13</v>
      </c>
      <c r="M54" s="18">
        <f t="shared" si="39"/>
        <v>1923.9344262295099</v>
      </c>
      <c r="N54" s="18">
        <f t="shared" si="3"/>
        <v>147.99495586380846</v>
      </c>
      <c r="O54" s="19">
        <f t="shared" si="4"/>
        <v>0</v>
      </c>
      <c r="P54" s="20">
        <f t="shared" si="5"/>
        <v>-5.8511979823453828</v>
      </c>
      <c r="Q54" s="494">
        <f t="shared" si="6"/>
        <v>0.96196721311475497</v>
      </c>
      <c r="R54" s="637"/>
      <c r="S54" s="40">
        <v>0.75763888888888886</v>
      </c>
      <c r="T54" s="40">
        <v>0.79999999999999993</v>
      </c>
      <c r="U54" s="489">
        <f t="shared" si="38"/>
        <v>5.9999999999999787</v>
      </c>
      <c r="V54" s="499">
        <f t="shared" si="37"/>
        <v>60.999999999999943</v>
      </c>
      <c r="W54" s="23"/>
      <c r="X54" s="23"/>
      <c r="Y54" s="26"/>
      <c r="Z54" s="26"/>
      <c r="AA54" s="627"/>
      <c r="AB54" s="628"/>
      <c r="AC54" s="135"/>
      <c r="AD54" s="25"/>
      <c r="AE54" s="19">
        <f t="shared" si="8"/>
        <v>-76.065573770490118</v>
      </c>
      <c r="AF54" s="494">
        <f t="shared" si="9"/>
        <v>0.96196721311475497</v>
      </c>
      <c r="AG54" s="637"/>
    </row>
    <row r="55" spans="1:33">
      <c r="A55" s="642" t="s">
        <v>75</v>
      </c>
      <c r="B55" s="42" t="s">
        <v>52</v>
      </c>
      <c r="C55" s="638"/>
      <c r="D55" s="638"/>
      <c r="E55" s="495"/>
      <c r="F55" s="44"/>
      <c r="G55" s="17"/>
      <c r="H55" s="500"/>
      <c r="I55" s="29">
        <v>19.428571428571427</v>
      </c>
      <c r="J55" s="39">
        <v>2000</v>
      </c>
      <c r="K55" s="17">
        <f t="shared" si="1"/>
        <v>102.94117647058825</v>
      </c>
      <c r="L55" s="29">
        <v>19.428571428571427</v>
      </c>
      <c r="M55" s="18">
        <f>AVERAGE(M48:M54)</f>
        <v>1926.5493566130749</v>
      </c>
      <c r="N55" s="17">
        <f t="shared" si="3"/>
        <v>99.160628649202394</v>
      </c>
      <c r="O55" s="19">
        <f t="shared" si="4"/>
        <v>0</v>
      </c>
      <c r="P55" s="20">
        <f t="shared" si="5"/>
        <v>-3.7805478213858521</v>
      </c>
      <c r="Q55" s="494">
        <f t="shared" si="6"/>
        <v>0.96327467830653746</v>
      </c>
      <c r="R55" s="637"/>
      <c r="S55" s="40"/>
      <c r="T55" s="40"/>
      <c r="U55" s="489"/>
      <c r="V55" s="499"/>
      <c r="W55" s="17"/>
      <c r="X55" s="17"/>
      <c r="Y55" s="30">
        <f>SUM(Y48:Y54)</f>
        <v>0</v>
      </c>
      <c r="Z55" s="30">
        <f>SUM(Z48:Z54)</f>
        <v>0</v>
      </c>
      <c r="AA55" s="631"/>
      <c r="AB55" s="631"/>
      <c r="AC55" s="30">
        <v>7</v>
      </c>
      <c r="AD55" s="30">
        <f>SUM(AD48:AD54)</f>
        <v>0</v>
      </c>
      <c r="AE55" s="19">
        <f>M55-J55</f>
        <v>-73.450643386925094</v>
      </c>
      <c r="AF55" s="494">
        <f t="shared" si="9"/>
        <v>0.96327467830653746</v>
      </c>
      <c r="AG55" s="637"/>
    </row>
    <row r="56" spans="1:33" ht="15.75" customHeight="1">
      <c r="A56" s="639" t="s">
        <v>83</v>
      </c>
      <c r="B56" s="500" t="s">
        <v>127</v>
      </c>
      <c r="C56" s="633" t="s">
        <v>141</v>
      </c>
      <c r="D56" s="633"/>
      <c r="E56" s="42">
        <v>35.119999999999997</v>
      </c>
      <c r="F56" s="48">
        <v>5300</v>
      </c>
      <c r="G56" s="489">
        <f t="shared" ref="G56:G60" si="40">E56*F56</f>
        <v>186136</v>
      </c>
      <c r="H56" s="37" t="s">
        <v>91</v>
      </c>
      <c r="I56" s="498">
        <v>10</v>
      </c>
      <c r="J56" s="39">
        <v>3000</v>
      </c>
      <c r="K56" s="17">
        <f t="shared" si="1"/>
        <v>300</v>
      </c>
      <c r="L56" s="498">
        <v>10</v>
      </c>
      <c r="M56" s="18">
        <f t="shared" ref="M56:M60" si="41">F56/V56*60</f>
        <v>2864.8648648648655</v>
      </c>
      <c r="N56" s="17">
        <f t="shared" si="3"/>
        <v>286.48648648648657</v>
      </c>
      <c r="O56" s="19">
        <f t="shared" si="4"/>
        <v>0</v>
      </c>
      <c r="P56" s="20">
        <f t="shared" si="5"/>
        <v>-13.513513513513431</v>
      </c>
      <c r="Q56" s="494">
        <f t="shared" si="6"/>
        <v>0.95495495495495519</v>
      </c>
      <c r="R56" s="637">
        <f>Q61</f>
        <v>0.9688109765609767</v>
      </c>
      <c r="S56" s="40">
        <v>0.20833333333333334</v>
      </c>
      <c r="T56" s="40">
        <v>0.28541666666666665</v>
      </c>
      <c r="U56" s="489"/>
      <c r="V56" s="499">
        <f t="shared" ref="V56:V60" si="42">(T56-S56)*24*60</f>
        <v>110.99999999999997</v>
      </c>
      <c r="W56" s="23"/>
      <c r="X56" s="23"/>
      <c r="Y56" s="28"/>
      <c r="Z56" s="28"/>
      <c r="AA56" s="632"/>
      <c r="AB56" s="632"/>
      <c r="AC56" s="135">
        <v>5</v>
      </c>
      <c r="AD56" s="25"/>
      <c r="AE56" s="19">
        <f t="shared" ref="AE56:AE68" si="43">M56-J56</f>
        <v>-135.13513513513453</v>
      </c>
      <c r="AF56" s="494">
        <f t="shared" si="9"/>
        <v>0.95495495495495519</v>
      </c>
      <c r="AG56" s="637">
        <f>AF61</f>
        <v>0.9688109765609767</v>
      </c>
    </row>
    <row r="57" spans="1:33" ht="15.75" customHeight="1">
      <c r="A57" s="639" t="s">
        <v>83</v>
      </c>
      <c r="B57" s="500" t="s">
        <v>127</v>
      </c>
      <c r="C57" s="633" t="s">
        <v>142</v>
      </c>
      <c r="D57" s="633"/>
      <c r="E57" s="42">
        <v>26.78</v>
      </c>
      <c r="F57" s="48">
        <v>2319</v>
      </c>
      <c r="G57" s="489">
        <f t="shared" si="40"/>
        <v>62102.82</v>
      </c>
      <c r="H57" s="37" t="s">
        <v>91</v>
      </c>
      <c r="I57" s="498">
        <v>10</v>
      </c>
      <c r="J57" s="39">
        <v>3000</v>
      </c>
      <c r="K57" s="17">
        <f t="shared" si="1"/>
        <v>300</v>
      </c>
      <c r="L57" s="498">
        <v>10</v>
      </c>
      <c r="M57" s="18">
        <f t="shared" si="41"/>
        <v>2898.7500000000009</v>
      </c>
      <c r="N57" s="17">
        <f t="shared" si="3"/>
        <v>289.87500000000011</v>
      </c>
      <c r="O57" s="19">
        <f t="shared" si="4"/>
        <v>0</v>
      </c>
      <c r="P57" s="20">
        <f t="shared" si="5"/>
        <v>-10.124999999999886</v>
      </c>
      <c r="Q57" s="494">
        <f t="shared" si="6"/>
        <v>0.96625000000000039</v>
      </c>
      <c r="R57" s="637"/>
      <c r="S57" s="40">
        <v>0.29097222222222219</v>
      </c>
      <c r="T57" s="40">
        <v>0.32430555555555551</v>
      </c>
      <c r="U57" s="489">
        <f t="shared" ref="U57:U60" si="44">(S57-T56)*24*60</f>
        <v>7.9999999999999716</v>
      </c>
      <c r="V57" s="499">
        <f t="shared" si="42"/>
        <v>47.999999999999986</v>
      </c>
      <c r="W57" s="489"/>
      <c r="X57" s="489"/>
      <c r="Y57" s="489"/>
      <c r="Z57" s="489"/>
      <c r="AA57" s="632"/>
      <c r="AB57" s="632"/>
      <c r="AC57" s="135"/>
      <c r="AD57" s="25"/>
      <c r="AE57" s="19">
        <f t="shared" si="43"/>
        <v>-101.24999999999909</v>
      </c>
      <c r="AF57" s="494">
        <f t="shared" si="9"/>
        <v>0.96625000000000028</v>
      </c>
      <c r="AG57" s="637"/>
    </row>
    <row r="58" spans="1:33" ht="15.75" customHeight="1">
      <c r="A58" s="639" t="s">
        <v>83</v>
      </c>
      <c r="B58" s="500" t="s">
        <v>127</v>
      </c>
      <c r="C58" s="633" t="s">
        <v>143</v>
      </c>
      <c r="D58" s="633"/>
      <c r="E58" s="42">
        <v>36.14</v>
      </c>
      <c r="F58" s="48">
        <v>890</v>
      </c>
      <c r="G58" s="489">
        <f t="shared" si="40"/>
        <v>32164.600000000002</v>
      </c>
      <c r="H58" s="37" t="s">
        <v>91</v>
      </c>
      <c r="I58" s="498">
        <v>11</v>
      </c>
      <c r="J58" s="39">
        <v>3000</v>
      </c>
      <c r="K58" s="17">
        <f t="shared" si="1"/>
        <v>272.72727272727275</v>
      </c>
      <c r="L58" s="498">
        <v>11</v>
      </c>
      <c r="M58" s="18">
        <f t="shared" si="41"/>
        <v>2966.6666666666642</v>
      </c>
      <c r="N58" s="17">
        <f t="shared" si="3"/>
        <v>269.69696969696946</v>
      </c>
      <c r="O58" s="19">
        <f t="shared" si="4"/>
        <v>0</v>
      </c>
      <c r="P58" s="20">
        <f t="shared" si="5"/>
        <v>-3.030303030303287</v>
      </c>
      <c r="Q58" s="494">
        <f t="shared" si="6"/>
        <v>0.98888888888888793</v>
      </c>
      <c r="R58" s="637"/>
      <c r="S58" s="40">
        <v>0.32916666666666661</v>
      </c>
      <c r="T58" s="40">
        <v>0.34166666666666662</v>
      </c>
      <c r="U58" s="489">
        <f t="shared" si="44"/>
        <v>6.9999999999999751</v>
      </c>
      <c r="V58" s="499">
        <f t="shared" si="42"/>
        <v>18.000000000000014</v>
      </c>
      <c r="W58" s="489"/>
      <c r="X58" s="489"/>
      <c r="Y58" s="489"/>
      <c r="Z58" s="489"/>
      <c r="AA58" s="632"/>
      <c r="AB58" s="632"/>
      <c r="AC58" s="135"/>
      <c r="AD58" s="25"/>
      <c r="AE58" s="19">
        <f t="shared" si="43"/>
        <v>-33.333333333335759</v>
      </c>
      <c r="AF58" s="494">
        <f t="shared" si="9"/>
        <v>0.98888888888888804</v>
      </c>
      <c r="AG58" s="637"/>
    </row>
    <row r="59" spans="1:33" ht="15.75" customHeight="1">
      <c r="A59" s="639" t="s">
        <v>2611</v>
      </c>
      <c r="B59" s="500" t="s">
        <v>127</v>
      </c>
      <c r="C59" s="633" t="s">
        <v>130</v>
      </c>
      <c r="D59" s="633"/>
      <c r="E59" s="42">
        <v>35.869999999999997</v>
      </c>
      <c r="F59" s="48">
        <v>1361</v>
      </c>
      <c r="G59" s="489">
        <f t="shared" si="40"/>
        <v>48819.07</v>
      </c>
      <c r="H59" s="37" t="s">
        <v>91</v>
      </c>
      <c r="I59" s="498">
        <v>9</v>
      </c>
      <c r="J59" s="39">
        <v>3000</v>
      </c>
      <c r="K59" s="17">
        <f t="shared" si="1"/>
        <v>333.33333333333331</v>
      </c>
      <c r="L59" s="498">
        <v>9</v>
      </c>
      <c r="M59" s="18">
        <f t="shared" si="41"/>
        <v>2916.4285714285738</v>
      </c>
      <c r="N59" s="17">
        <f t="shared" si="3"/>
        <v>324.04761904761932</v>
      </c>
      <c r="O59" s="19">
        <f t="shared" si="4"/>
        <v>0</v>
      </c>
      <c r="P59" s="20">
        <f t="shared" si="5"/>
        <v>-9.2857142857139934</v>
      </c>
      <c r="Q59" s="494">
        <f t="shared" si="6"/>
        <v>0.97214285714285797</v>
      </c>
      <c r="R59" s="637"/>
      <c r="S59" s="40">
        <v>0.34583333333333327</v>
      </c>
      <c r="T59" s="40">
        <v>0.3652777777777777</v>
      </c>
      <c r="U59" s="489">
        <f t="shared" si="44"/>
        <v>5.9999999999999787</v>
      </c>
      <c r="V59" s="499">
        <f t="shared" si="42"/>
        <v>27.999999999999979</v>
      </c>
      <c r="W59" s="489"/>
      <c r="X59" s="489"/>
      <c r="Y59" s="489"/>
      <c r="Z59" s="489"/>
      <c r="AA59" s="632"/>
      <c r="AB59" s="632"/>
      <c r="AC59" s="135"/>
      <c r="AD59" s="25"/>
      <c r="AE59" s="19">
        <f t="shared" si="43"/>
        <v>-83.571428571426168</v>
      </c>
      <c r="AF59" s="494">
        <f t="shared" si="9"/>
        <v>0.97214285714285797</v>
      </c>
      <c r="AG59" s="637"/>
    </row>
    <row r="60" spans="1:33">
      <c r="A60" s="640" t="s">
        <v>2612</v>
      </c>
      <c r="B60" s="500" t="s">
        <v>127</v>
      </c>
      <c r="C60" s="633" t="s">
        <v>1857</v>
      </c>
      <c r="D60" s="633"/>
      <c r="E60" s="42">
        <v>33.770000000000003</v>
      </c>
      <c r="F60" s="48">
        <v>3703</v>
      </c>
      <c r="G60" s="489">
        <f t="shared" si="40"/>
        <v>125050.31000000001</v>
      </c>
      <c r="H60" s="37" t="s">
        <v>91</v>
      </c>
      <c r="I60" s="498">
        <v>12</v>
      </c>
      <c r="J60" s="39">
        <v>3000</v>
      </c>
      <c r="K60" s="17">
        <f t="shared" si="1"/>
        <v>250</v>
      </c>
      <c r="L60" s="498">
        <v>12</v>
      </c>
      <c r="M60" s="18">
        <f t="shared" si="41"/>
        <v>2885.4545454545441</v>
      </c>
      <c r="N60" s="17">
        <f t="shared" si="3"/>
        <v>240.45454545454535</v>
      </c>
      <c r="O60" s="19">
        <f t="shared" si="4"/>
        <v>0</v>
      </c>
      <c r="P60" s="20">
        <f t="shared" si="5"/>
        <v>-9.5454545454546462</v>
      </c>
      <c r="Q60" s="494">
        <f t="shared" si="6"/>
        <v>0.96181818181818146</v>
      </c>
      <c r="R60" s="637"/>
      <c r="S60" s="40">
        <v>0.37083333333333324</v>
      </c>
      <c r="T60" s="40">
        <v>0.42430555555555549</v>
      </c>
      <c r="U60" s="489">
        <f t="shared" si="44"/>
        <v>7.9999999999999716</v>
      </c>
      <c r="V60" s="499">
        <f t="shared" si="42"/>
        <v>77.000000000000043</v>
      </c>
      <c r="W60" s="23"/>
      <c r="X60" s="23"/>
      <c r="Y60" s="23"/>
      <c r="Z60" s="23"/>
      <c r="AA60" s="632"/>
      <c r="AB60" s="632"/>
      <c r="AC60" s="135"/>
      <c r="AD60" s="25"/>
      <c r="AE60" s="19">
        <f t="shared" si="43"/>
        <v>-114.54545454545587</v>
      </c>
      <c r="AF60" s="494">
        <f t="shared" si="9"/>
        <v>0.96181818181818135</v>
      </c>
      <c r="AG60" s="637"/>
    </row>
    <row r="61" spans="1:33">
      <c r="A61" s="640" t="s">
        <v>2613</v>
      </c>
      <c r="B61" s="42" t="s">
        <v>2614</v>
      </c>
      <c r="C61" s="638"/>
      <c r="D61" s="638"/>
      <c r="E61" s="495"/>
      <c r="F61" s="44"/>
      <c r="G61" s="17"/>
      <c r="H61" s="500"/>
      <c r="I61" s="29">
        <v>10.4</v>
      </c>
      <c r="J61" s="39">
        <v>3000</v>
      </c>
      <c r="K61" s="17">
        <f t="shared" si="1"/>
        <v>288.46153846153845</v>
      </c>
      <c r="L61" s="29">
        <v>10.4</v>
      </c>
      <c r="M61" s="18">
        <f>AVERAGE(M56:M60)</f>
        <v>2906.4329296829301</v>
      </c>
      <c r="N61" s="17">
        <f t="shared" si="3"/>
        <v>279.46470477720482</v>
      </c>
      <c r="O61" s="19">
        <f t="shared" si="4"/>
        <v>0</v>
      </c>
      <c r="P61" s="20">
        <f t="shared" si="5"/>
        <v>-8.9968336843336374</v>
      </c>
      <c r="Q61" s="494">
        <f t="shared" si="6"/>
        <v>0.9688109765609767</v>
      </c>
      <c r="R61" s="637"/>
      <c r="S61" s="40"/>
      <c r="T61" s="40"/>
      <c r="U61" s="17"/>
      <c r="V61" s="499"/>
      <c r="W61" s="17"/>
      <c r="X61" s="17"/>
      <c r="Y61" s="30">
        <f>SUM(Y56:Y60)</f>
        <v>0</v>
      </c>
      <c r="Z61" s="30">
        <f>SUM(Z56:Z60)</f>
        <v>0</v>
      </c>
      <c r="AA61" s="631"/>
      <c r="AB61" s="631"/>
      <c r="AC61" s="30">
        <v>5</v>
      </c>
      <c r="AD61" s="30">
        <f>SUM(AD56:AD60)</f>
        <v>0</v>
      </c>
      <c r="AE61" s="19">
        <f t="shared" si="43"/>
        <v>-93.56707031706992</v>
      </c>
      <c r="AF61" s="494">
        <f t="shared" si="9"/>
        <v>0.9688109765609767</v>
      </c>
      <c r="AG61" s="637"/>
    </row>
    <row r="62" spans="1:33" ht="15.75" customHeight="1">
      <c r="A62" s="634" t="s">
        <v>2615</v>
      </c>
      <c r="B62" s="500" t="s">
        <v>116</v>
      </c>
      <c r="C62" s="633" t="s">
        <v>145</v>
      </c>
      <c r="D62" s="633"/>
      <c r="E62" s="42">
        <v>19.02</v>
      </c>
      <c r="F62" s="500">
        <v>5100</v>
      </c>
      <c r="G62" s="489">
        <f t="shared" ref="G62:G67" si="45">E62*F62</f>
        <v>97002</v>
      </c>
      <c r="H62" s="37">
        <v>2</v>
      </c>
      <c r="I62" s="498">
        <v>14</v>
      </c>
      <c r="J62" s="39">
        <v>2400</v>
      </c>
      <c r="K62" s="17">
        <f t="shared" si="1"/>
        <v>171.42857142857142</v>
      </c>
      <c r="L62" s="498">
        <v>14</v>
      </c>
      <c r="M62" s="18">
        <f t="shared" ref="M62:M67" si="46">F62/V62*60</f>
        <v>2283.5820895522393</v>
      </c>
      <c r="N62" s="17">
        <f t="shared" si="3"/>
        <v>163.11300639658853</v>
      </c>
      <c r="O62" s="19">
        <f t="shared" si="4"/>
        <v>0</v>
      </c>
      <c r="P62" s="20">
        <f t="shared" si="5"/>
        <v>-8.3155650319828851</v>
      </c>
      <c r="Q62" s="494">
        <f t="shared" si="6"/>
        <v>0.9514925373134332</v>
      </c>
      <c r="R62" s="637">
        <f>Q68</f>
        <v>0.95578725985357516</v>
      </c>
      <c r="S62" s="40">
        <v>8.3333333333333329E-2</v>
      </c>
      <c r="T62" s="40">
        <v>0.17638888888888887</v>
      </c>
      <c r="U62" s="28"/>
      <c r="V62" s="499">
        <f t="shared" ref="V62:V67" si="47">(T62-S62)*24*60</f>
        <v>133.99999999999997</v>
      </c>
      <c r="W62" s="23">
        <f>T62</f>
        <v>0.17638888888888887</v>
      </c>
      <c r="X62" s="23">
        <f>S63</f>
        <v>0.19722222222222222</v>
      </c>
      <c r="Y62" s="23"/>
      <c r="Z62" s="23"/>
      <c r="AA62" s="632"/>
      <c r="AB62" s="632"/>
      <c r="AC62" s="135">
        <v>6</v>
      </c>
      <c r="AD62" s="25"/>
      <c r="AE62" s="19">
        <f t="shared" si="43"/>
        <v>-116.41791044776073</v>
      </c>
      <c r="AF62" s="494">
        <f t="shared" si="9"/>
        <v>0.95149253731343297</v>
      </c>
      <c r="AG62" s="637">
        <f>AF68</f>
        <v>0.95578725985357527</v>
      </c>
    </row>
    <row r="63" spans="1:33" ht="15.75" customHeight="1">
      <c r="A63" s="635" t="s">
        <v>2616</v>
      </c>
      <c r="B63" s="500" t="s">
        <v>116</v>
      </c>
      <c r="C63" s="633" t="s">
        <v>146</v>
      </c>
      <c r="D63" s="633"/>
      <c r="E63" s="42">
        <v>20.36</v>
      </c>
      <c r="F63" s="500">
        <v>3983</v>
      </c>
      <c r="G63" s="489">
        <f t="shared" si="45"/>
        <v>81093.88</v>
      </c>
      <c r="H63" s="37" t="s">
        <v>91</v>
      </c>
      <c r="I63" s="498">
        <v>17</v>
      </c>
      <c r="J63" s="39">
        <v>2400</v>
      </c>
      <c r="K63" s="17">
        <f t="shared" si="1"/>
        <v>141.1764705882353</v>
      </c>
      <c r="L63" s="498">
        <v>17</v>
      </c>
      <c r="M63" s="18">
        <f t="shared" si="46"/>
        <v>2297.8846153846157</v>
      </c>
      <c r="N63" s="17">
        <f t="shared" si="3"/>
        <v>135.16968325791856</v>
      </c>
      <c r="O63" s="19">
        <f t="shared" si="4"/>
        <v>0</v>
      </c>
      <c r="P63" s="20">
        <f t="shared" si="5"/>
        <v>-6.0067873303167403</v>
      </c>
      <c r="Q63" s="494">
        <f t="shared" si="6"/>
        <v>0.95745192307692306</v>
      </c>
      <c r="R63" s="637"/>
      <c r="S63" s="40">
        <v>0.19722222222222222</v>
      </c>
      <c r="T63" s="40">
        <v>0.26944444444444443</v>
      </c>
      <c r="U63" s="489">
        <f t="shared" ref="U63:U67" si="48">(S63-T62)*24*60</f>
        <v>30.000000000000014</v>
      </c>
      <c r="V63" s="499">
        <f t="shared" si="47"/>
        <v>103.99999999999999</v>
      </c>
      <c r="W63" s="23"/>
      <c r="X63" s="23"/>
      <c r="Y63" s="23"/>
      <c r="Z63" s="23"/>
      <c r="AA63" s="632"/>
      <c r="AB63" s="632"/>
      <c r="AC63" s="135"/>
      <c r="AD63" s="25"/>
      <c r="AE63" s="19">
        <f t="shared" si="43"/>
        <v>-102.1153846153843</v>
      </c>
      <c r="AF63" s="494">
        <f t="shared" si="9"/>
        <v>0.95745192307692317</v>
      </c>
      <c r="AG63" s="637"/>
    </row>
    <row r="64" spans="1:33" ht="15.75" customHeight="1">
      <c r="A64" s="635" t="s">
        <v>315</v>
      </c>
      <c r="B64" s="500" t="s">
        <v>116</v>
      </c>
      <c r="C64" s="633" t="s">
        <v>149</v>
      </c>
      <c r="D64" s="633"/>
      <c r="E64" s="42">
        <v>24.25</v>
      </c>
      <c r="F64" s="500">
        <v>2646</v>
      </c>
      <c r="G64" s="489">
        <f t="shared" si="45"/>
        <v>64165.5</v>
      </c>
      <c r="H64" s="37" t="s">
        <v>91</v>
      </c>
      <c r="I64" s="498">
        <v>16</v>
      </c>
      <c r="J64" s="39">
        <v>2400</v>
      </c>
      <c r="K64" s="17">
        <f t="shared" si="1"/>
        <v>150</v>
      </c>
      <c r="L64" s="498">
        <v>16</v>
      </c>
      <c r="M64" s="18">
        <f t="shared" si="46"/>
        <v>2300.8695652173915</v>
      </c>
      <c r="N64" s="17">
        <f t="shared" si="3"/>
        <v>143.80434782608697</v>
      </c>
      <c r="O64" s="19">
        <f t="shared" si="4"/>
        <v>0</v>
      </c>
      <c r="P64" s="20">
        <f t="shared" si="5"/>
        <v>-6.1956521739130324</v>
      </c>
      <c r="Q64" s="494">
        <f t="shared" si="6"/>
        <v>0.95869565217391317</v>
      </c>
      <c r="R64" s="637"/>
      <c r="S64" s="40">
        <v>0.27291666666666664</v>
      </c>
      <c r="T64" s="40">
        <v>0.3208333333333333</v>
      </c>
      <c r="U64" s="489">
        <f t="shared" si="48"/>
        <v>4.9999999999999822</v>
      </c>
      <c r="V64" s="499">
        <f t="shared" si="47"/>
        <v>69</v>
      </c>
      <c r="W64" s="23"/>
      <c r="X64" s="23"/>
      <c r="Y64" s="23"/>
      <c r="Z64" s="23"/>
      <c r="AA64" s="632"/>
      <c r="AB64" s="632"/>
      <c r="AC64" s="135"/>
      <c r="AD64" s="25"/>
      <c r="AE64" s="19">
        <f t="shared" si="43"/>
        <v>-99.130434782608518</v>
      </c>
      <c r="AF64" s="494">
        <f t="shared" si="9"/>
        <v>0.95869565217391317</v>
      </c>
      <c r="AG64" s="637"/>
    </row>
    <row r="65" spans="1:33" ht="15.75" customHeight="1">
      <c r="A65" s="635" t="s">
        <v>315</v>
      </c>
      <c r="B65" s="500" t="s">
        <v>116</v>
      </c>
      <c r="C65" s="633" t="s">
        <v>148</v>
      </c>
      <c r="D65" s="633"/>
      <c r="E65" s="42">
        <v>28.29</v>
      </c>
      <c r="F65" s="500">
        <v>3319</v>
      </c>
      <c r="G65" s="489">
        <f t="shared" si="45"/>
        <v>93894.51</v>
      </c>
      <c r="H65" s="37" t="s">
        <v>91</v>
      </c>
      <c r="I65" s="498">
        <v>19</v>
      </c>
      <c r="J65" s="39">
        <v>2400</v>
      </c>
      <c r="K65" s="17">
        <f t="shared" si="1"/>
        <v>126.31578947368421</v>
      </c>
      <c r="L65" s="498">
        <v>19</v>
      </c>
      <c r="M65" s="18">
        <f t="shared" si="46"/>
        <v>2288.9655172413791</v>
      </c>
      <c r="N65" s="17">
        <f t="shared" si="3"/>
        <v>120.47186932849364</v>
      </c>
      <c r="O65" s="19">
        <f t="shared" si="4"/>
        <v>0</v>
      </c>
      <c r="P65" s="20">
        <f t="shared" si="5"/>
        <v>-5.843920145190566</v>
      </c>
      <c r="Q65" s="494">
        <f t="shared" si="6"/>
        <v>0.953735632183908</v>
      </c>
      <c r="R65" s="637"/>
      <c r="S65" s="40">
        <v>0.32499999999999996</v>
      </c>
      <c r="T65" s="40">
        <v>0.38541666666666663</v>
      </c>
      <c r="U65" s="489">
        <f t="shared" si="48"/>
        <v>5.9999999999999787</v>
      </c>
      <c r="V65" s="499">
        <f t="shared" si="47"/>
        <v>87.000000000000014</v>
      </c>
      <c r="W65" s="23"/>
      <c r="X65" s="23"/>
      <c r="Y65" s="23"/>
      <c r="Z65" s="23"/>
      <c r="AA65" s="632"/>
      <c r="AB65" s="632"/>
      <c r="AC65" s="135"/>
      <c r="AD65" s="25"/>
      <c r="AE65" s="19">
        <f t="shared" si="43"/>
        <v>-111.03448275862092</v>
      </c>
      <c r="AF65" s="494">
        <f t="shared" si="9"/>
        <v>0.953735632183908</v>
      </c>
      <c r="AG65" s="637"/>
    </row>
    <row r="66" spans="1:33" ht="15.75" customHeight="1">
      <c r="A66" s="635" t="s">
        <v>2617</v>
      </c>
      <c r="B66" s="500" t="s">
        <v>116</v>
      </c>
      <c r="C66" s="633" t="s">
        <v>1859</v>
      </c>
      <c r="D66" s="633"/>
      <c r="E66" s="42">
        <v>25.98</v>
      </c>
      <c r="F66" s="500">
        <v>5615</v>
      </c>
      <c r="G66" s="489">
        <f t="shared" si="45"/>
        <v>145877.70000000001</v>
      </c>
      <c r="H66" s="37" t="s">
        <v>91</v>
      </c>
      <c r="I66" s="498">
        <v>19</v>
      </c>
      <c r="J66" s="39">
        <v>2400</v>
      </c>
      <c r="K66" s="17">
        <f t="shared" si="1"/>
        <v>126.31578947368421</v>
      </c>
      <c r="L66" s="498">
        <v>19</v>
      </c>
      <c r="M66" s="18">
        <f t="shared" si="46"/>
        <v>2291.8367346938771</v>
      </c>
      <c r="N66" s="17">
        <f t="shared" si="3"/>
        <v>120.62298603651985</v>
      </c>
      <c r="O66" s="19">
        <f t="shared" si="4"/>
        <v>0</v>
      </c>
      <c r="P66" s="20">
        <f t="shared" si="5"/>
        <v>-5.6928034371643577</v>
      </c>
      <c r="Q66" s="494">
        <f t="shared" si="6"/>
        <v>0.95493197278911546</v>
      </c>
      <c r="R66" s="637"/>
      <c r="S66" s="40">
        <v>0.38888888888888884</v>
      </c>
      <c r="T66" s="40">
        <v>0.4909722222222222</v>
      </c>
      <c r="U66" s="489">
        <f t="shared" si="48"/>
        <v>4.9999999999999822</v>
      </c>
      <c r="V66" s="499">
        <f t="shared" si="47"/>
        <v>147.00000000000003</v>
      </c>
      <c r="W66" s="23">
        <f>T66</f>
        <v>0.4909722222222222</v>
      </c>
      <c r="X66" s="23">
        <f>S67</f>
        <v>0.52986111111111101</v>
      </c>
      <c r="Y66" s="23"/>
      <c r="Z66" s="23"/>
      <c r="AA66" s="632"/>
      <c r="AB66" s="632"/>
      <c r="AC66" s="135"/>
      <c r="AD66" s="25"/>
      <c r="AE66" s="19">
        <f t="shared" si="43"/>
        <v>-108.16326530612287</v>
      </c>
      <c r="AF66" s="494">
        <f t="shared" si="9"/>
        <v>0.95493197278911546</v>
      </c>
      <c r="AG66" s="637"/>
    </row>
    <row r="67" spans="1:33" ht="15.75" customHeight="1">
      <c r="A67" s="635" t="s">
        <v>2615</v>
      </c>
      <c r="B67" s="500" t="s">
        <v>116</v>
      </c>
      <c r="C67" s="633" t="s">
        <v>145</v>
      </c>
      <c r="D67" s="633"/>
      <c r="E67" s="42">
        <v>19.02</v>
      </c>
      <c r="F67" s="500">
        <v>3872</v>
      </c>
      <c r="G67" s="489">
        <f t="shared" si="45"/>
        <v>73645.440000000002</v>
      </c>
      <c r="H67" s="37" t="s">
        <v>91</v>
      </c>
      <c r="I67" s="498">
        <v>14</v>
      </c>
      <c r="J67" s="39">
        <v>2400</v>
      </c>
      <c r="K67" s="17">
        <f t="shared" si="1"/>
        <v>171.42857142857142</v>
      </c>
      <c r="L67" s="498">
        <v>14</v>
      </c>
      <c r="M67" s="18">
        <f t="shared" si="46"/>
        <v>2300.198019801981</v>
      </c>
      <c r="N67" s="17">
        <f t="shared" si="3"/>
        <v>164.29985855728435</v>
      </c>
      <c r="O67" s="19">
        <f t="shared" si="4"/>
        <v>0</v>
      </c>
      <c r="P67" s="20">
        <f t="shared" si="5"/>
        <v>-7.128712871287064</v>
      </c>
      <c r="Q67" s="494">
        <f t="shared" si="6"/>
        <v>0.95841584158415882</v>
      </c>
      <c r="R67" s="637"/>
      <c r="S67" s="40">
        <v>0.52986111111111101</v>
      </c>
      <c r="T67" s="40">
        <v>0.59999999999999987</v>
      </c>
      <c r="U67" s="489">
        <f t="shared" si="48"/>
        <v>55.999999999999879</v>
      </c>
      <c r="V67" s="499">
        <f t="shared" si="47"/>
        <v>100.99999999999996</v>
      </c>
      <c r="W67" s="23"/>
      <c r="X67" s="23"/>
      <c r="Y67" s="23"/>
      <c r="Z67" s="23"/>
      <c r="AA67" s="632"/>
      <c r="AB67" s="632"/>
      <c r="AC67" s="135"/>
      <c r="AD67" s="25"/>
      <c r="AE67" s="19">
        <f t="shared" si="43"/>
        <v>-99.80198019801901</v>
      </c>
      <c r="AF67" s="494">
        <f t="shared" si="9"/>
        <v>0.95841584158415871</v>
      </c>
      <c r="AG67" s="637"/>
    </row>
    <row r="68" spans="1:33" ht="16.5" customHeight="1">
      <c r="A68" s="636" t="s">
        <v>315</v>
      </c>
      <c r="B68" s="42" t="s">
        <v>52</v>
      </c>
      <c r="C68" s="629"/>
      <c r="D68" s="630"/>
      <c r="E68" s="495"/>
      <c r="F68" s="44"/>
      <c r="G68" s="17"/>
      <c r="H68" s="500"/>
      <c r="I68" s="29">
        <v>16.5</v>
      </c>
      <c r="J68" s="39">
        <v>2400</v>
      </c>
      <c r="K68" s="17">
        <f t="shared" si="1"/>
        <v>145.45454545454547</v>
      </c>
      <c r="L68" s="29">
        <v>16.5</v>
      </c>
      <c r="M68" s="18">
        <f>AVERAGE(M62:M67)</f>
        <v>2293.8894236485808</v>
      </c>
      <c r="N68" s="17">
        <f t="shared" si="3"/>
        <v>139.02360143324731</v>
      </c>
      <c r="O68" s="19">
        <f t="shared" si="4"/>
        <v>0</v>
      </c>
      <c r="P68" s="20">
        <f t="shared" si="5"/>
        <v>-6.4309440212981599</v>
      </c>
      <c r="Q68" s="494">
        <f t="shared" si="6"/>
        <v>0.95578725985357516</v>
      </c>
      <c r="R68" s="637"/>
      <c r="S68" s="40"/>
      <c r="T68" s="40"/>
      <c r="U68" s="17"/>
      <c r="V68" s="499"/>
      <c r="W68" s="17"/>
      <c r="X68" s="17"/>
      <c r="Y68" s="30">
        <f>SUM(Y62:Y67)</f>
        <v>0</v>
      </c>
      <c r="Z68" s="30">
        <f>SUM(Z62:Z67)</f>
        <v>0</v>
      </c>
      <c r="AA68" s="631"/>
      <c r="AB68" s="631"/>
      <c r="AC68" s="30">
        <v>6</v>
      </c>
      <c r="AD68" s="30">
        <f>SUM(AD62:AD67)</f>
        <v>0</v>
      </c>
      <c r="AE68" s="19">
        <f t="shared" si="43"/>
        <v>-106.11057635141924</v>
      </c>
      <c r="AF68" s="494">
        <f t="shared" si="9"/>
        <v>0.95578725985357527</v>
      </c>
      <c r="AG68" s="637"/>
    </row>
    <row r="69" spans="1:33">
      <c r="D69" s="33"/>
      <c r="E69" s="33"/>
    </row>
  </sheetData>
  <mergeCells count="185">
    <mergeCell ref="AG62:AG68"/>
    <mergeCell ref="C63:D63"/>
    <mergeCell ref="AA63:AB63"/>
    <mergeCell ref="C64:D64"/>
    <mergeCell ref="AA64:AB64"/>
    <mergeCell ref="C65:D65"/>
    <mergeCell ref="AA65:AB65"/>
    <mergeCell ref="C66:D66"/>
    <mergeCell ref="AA66:AB66"/>
    <mergeCell ref="C67:D67"/>
    <mergeCell ref="A62:A68"/>
    <mergeCell ref="C62:D62"/>
    <mergeCell ref="R62:R68"/>
    <mergeCell ref="AA62:AB62"/>
    <mergeCell ref="AA67:AB67"/>
    <mergeCell ref="A56:A61"/>
    <mergeCell ref="C56:D56"/>
    <mergeCell ref="R56:R61"/>
    <mergeCell ref="AA56:AB56"/>
    <mergeCell ref="C68:D68"/>
    <mergeCell ref="AA68:AB68"/>
    <mergeCell ref="AG56:AG61"/>
    <mergeCell ref="C57:D57"/>
    <mergeCell ref="AA57:AB57"/>
    <mergeCell ref="C58:D58"/>
    <mergeCell ref="AA58:AB58"/>
    <mergeCell ref="C59:D59"/>
    <mergeCell ref="AA52:AB52"/>
    <mergeCell ref="C53:D53"/>
    <mergeCell ref="AA53:AB53"/>
    <mergeCell ref="C54:D54"/>
    <mergeCell ref="AA54:AB54"/>
    <mergeCell ref="C55:D55"/>
    <mergeCell ref="AA55:AB55"/>
    <mergeCell ref="AA59:AB59"/>
    <mergeCell ref="C60:D60"/>
    <mergeCell ref="AA60:AB60"/>
    <mergeCell ref="C61:D61"/>
    <mergeCell ref="AA61:AB61"/>
    <mergeCell ref="A48:A55"/>
    <mergeCell ref="C48:D48"/>
    <mergeCell ref="R48:R55"/>
    <mergeCell ref="AA48:AB48"/>
    <mergeCell ref="AG48:AG55"/>
    <mergeCell ref="C49:D49"/>
    <mergeCell ref="AA49:AB49"/>
    <mergeCell ref="C50:D50"/>
    <mergeCell ref="AA50:AB50"/>
    <mergeCell ref="AA51:AB51"/>
    <mergeCell ref="AG44:AG47"/>
    <mergeCell ref="C45:D45"/>
    <mergeCell ref="AA45:AB45"/>
    <mergeCell ref="C46:D46"/>
    <mergeCell ref="AA46:AB46"/>
    <mergeCell ref="C47:D47"/>
    <mergeCell ref="AA47:AB47"/>
    <mergeCell ref="C42:D42"/>
    <mergeCell ref="AA42:AB42"/>
    <mergeCell ref="C43:D43"/>
    <mergeCell ref="AA43:AB43"/>
    <mergeCell ref="AG36:AG43"/>
    <mergeCell ref="C37:D37"/>
    <mergeCell ref="AA37:AB37"/>
    <mergeCell ref="C38:D38"/>
    <mergeCell ref="AA38:AB38"/>
    <mergeCell ref="A44:A47"/>
    <mergeCell ref="C44:D44"/>
    <mergeCell ref="R44:R47"/>
    <mergeCell ref="AA44:AB44"/>
    <mergeCell ref="C39:D39"/>
    <mergeCell ref="AA39:AB39"/>
    <mergeCell ref="C40:D40"/>
    <mergeCell ref="AA40:AB40"/>
    <mergeCell ref="C41:D41"/>
    <mergeCell ref="AA41:AB41"/>
    <mergeCell ref="AG29:AG35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C34:D34"/>
    <mergeCell ref="A29:A35"/>
    <mergeCell ref="C29:D29"/>
    <mergeCell ref="R29:R35"/>
    <mergeCell ref="AA29:AB29"/>
    <mergeCell ref="AA34:AB34"/>
    <mergeCell ref="C35:D35"/>
    <mergeCell ref="AA35:AB35"/>
    <mergeCell ref="A36:A43"/>
    <mergeCell ref="C36:D36"/>
    <mergeCell ref="R36:R43"/>
    <mergeCell ref="AA36:AB36"/>
    <mergeCell ref="AG21:AG28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27:D27"/>
    <mergeCell ref="AA27:AB27"/>
    <mergeCell ref="C28:D28"/>
    <mergeCell ref="AA28:AB28"/>
    <mergeCell ref="A21:A28"/>
    <mergeCell ref="C21:D21"/>
    <mergeCell ref="R21:R28"/>
    <mergeCell ref="AA21:AB21"/>
    <mergeCell ref="AA26:AB26"/>
    <mergeCell ref="A13:A20"/>
    <mergeCell ref="C13:D13"/>
    <mergeCell ref="R13:R20"/>
    <mergeCell ref="AA13:AB13"/>
    <mergeCell ref="AG13:AG20"/>
    <mergeCell ref="C14:D14"/>
    <mergeCell ref="AA14:AB14"/>
    <mergeCell ref="C15:D15"/>
    <mergeCell ref="AA15:AB15"/>
    <mergeCell ref="C16:D16"/>
    <mergeCell ref="AG9:AG12"/>
    <mergeCell ref="C10:D10"/>
    <mergeCell ref="AA10:AB10"/>
    <mergeCell ref="C11:D11"/>
    <mergeCell ref="AA11:AB11"/>
    <mergeCell ref="C12:D12"/>
    <mergeCell ref="AA12:AB12"/>
    <mergeCell ref="AA16:AB16"/>
    <mergeCell ref="C17:D17"/>
    <mergeCell ref="AA17:AB17"/>
    <mergeCell ref="C20:D20"/>
    <mergeCell ref="AA20:AB20"/>
    <mergeCell ref="A9:A12"/>
    <mergeCell ref="C9:D9"/>
    <mergeCell ref="R9:R12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</mergeCells>
  <phoneticPr fontId="3" type="noConversion"/>
  <conditionalFormatting sqref="O55:O56 O59:O68 O5:O9 O12:O14 O20:O53">
    <cfRule type="cellIs" dxfId="1900" priority="48" operator="greaterThan">
      <formula>0</formula>
    </cfRule>
  </conditionalFormatting>
  <conditionalFormatting sqref="P5:P7 P59:P60 AE59:AE60 P62:P67 P29:P34 P56 P9 P12:P14 P21:P27 P48:P53 P36:P46 AE5:AE56 AE62:AE68">
    <cfRule type="cellIs" dxfId="1899" priority="52" operator="lessThan">
      <formula>0</formula>
    </cfRule>
  </conditionalFormatting>
  <conditionalFormatting sqref="AF59:AF60 Q55:Q56 Q59:Q68 Q5:Q9 Q12:Q14 Q20:Q53 AF5:AF56 AF62:AF68">
    <cfRule type="cellIs" dxfId="1898" priority="49" operator="greaterThan">
      <formula>1</formula>
    </cfRule>
    <cfRule type="cellIs" dxfId="1897" priority="50" operator="lessThan">
      <formula>0.8</formula>
    </cfRule>
  </conditionalFormatting>
  <conditionalFormatting sqref="AG13:AG14 R13:R14 AG59 R20:R26 AG20:AG26 AG55:AG56 R55:R56 R59:R68 AG5:AG9 R5:R9 AG28:AG53 R28:R53">
    <cfRule type="cellIs" dxfId="1896" priority="54" operator="lessThan">
      <formula>0.8</formula>
    </cfRule>
  </conditionalFormatting>
  <conditionalFormatting sqref="AG44">
    <cfRule type="cellIs" dxfId="1895" priority="56" operator="lessThan">
      <formula>0.8</formula>
    </cfRule>
  </conditionalFormatting>
  <conditionalFormatting sqref="AG21:AG26">
    <cfRule type="cellIs" dxfId="1894" priority="53" operator="lessThan">
      <formula>0.8</formula>
    </cfRule>
  </conditionalFormatting>
  <conditionalFormatting sqref="AG29">
    <cfRule type="cellIs" dxfId="1893" priority="55" operator="lessThan">
      <formula>0.8</formula>
    </cfRule>
  </conditionalFormatting>
  <conditionalFormatting sqref="AG36:AG42">
    <cfRule type="cellIs" dxfId="1892" priority="51" operator="lessThan">
      <formula>0.8</formula>
    </cfRule>
  </conditionalFormatting>
  <conditionalFormatting sqref="AE61">
    <cfRule type="cellIs" dxfId="1891" priority="47" operator="lessThan">
      <formula>0</formula>
    </cfRule>
  </conditionalFormatting>
  <conditionalFormatting sqref="AF61">
    <cfRule type="cellIs" dxfId="1890" priority="45" operator="greaterThan">
      <formula>1</formula>
    </cfRule>
    <cfRule type="cellIs" dxfId="1889" priority="46" operator="lessThan">
      <formula>0.8</formula>
    </cfRule>
  </conditionalFormatting>
  <conditionalFormatting sqref="O15:O16">
    <cfRule type="cellIs" dxfId="1888" priority="40" operator="greaterThan">
      <formula>0</formula>
    </cfRule>
  </conditionalFormatting>
  <conditionalFormatting sqref="P15:P16">
    <cfRule type="cellIs" dxfId="1887" priority="43" operator="lessThan">
      <formula>0</formula>
    </cfRule>
  </conditionalFormatting>
  <conditionalFormatting sqref="Q15:Q16">
    <cfRule type="cellIs" dxfId="1886" priority="41" operator="greaterThan">
      <formula>1</formula>
    </cfRule>
    <cfRule type="cellIs" dxfId="1885" priority="42" operator="lessThan">
      <formula>0.8</formula>
    </cfRule>
  </conditionalFormatting>
  <conditionalFormatting sqref="R15:R16 AG15:AG16">
    <cfRule type="cellIs" dxfId="1884" priority="44" operator="lessThan">
      <formula>0.8</formula>
    </cfRule>
  </conditionalFormatting>
  <conditionalFormatting sqref="O10:O11">
    <cfRule type="cellIs" dxfId="1883" priority="36" operator="greaterThan">
      <formula>0</formula>
    </cfRule>
  </conditionalFormatting>
  <conditionalFormatting sqref="P10:P11">
    <cfRule type="cellIs" dxfId="1882" priority="39" operator="lessThan">
      <formula>0</formula>
    </cfRule>
  </conditionalFormatting>
  <conditionalFormatting sqref="Q10:Q11">
    <cfRule type="cellIs" dxfId="1881" priority="37" operator="greaterThan">
      <formula>1</formula>
    </cfRule>
    <cfRule type="cellIs" dxfId="1880" priority="38" operator="lessThan">
      <formula>0.8</formula>
    </cfRule>
  </conditionalFormatting>
  <conditionalFormatting sqref="O54">
    <cfRule type="cellIs" dxfId="1879" priority="31" operator="greaterThan">
      <formula>0</formula>
    </cfRule>
  </conditionalFormatting>
  <conditionalFormatting sqref="P54">
    <cfRule type="cellIs" dxfId="1878" priority="34" operator="lessThan">
      <formula>0</formula>
    </cfRule>
  </conditionalFormatting>
  <conditionalFormatting sqref="Q54">
    <cfRule type="cellIs" dxfId="1877" priority="32" operator="greaterThan">
      <formula>1</formula>
    </cfRule>
    <cfRule type="cellIs" dxfId="1876" priority="33" operator="lessThan">
      <formula>0.8</formula>
    </cfRule>
  </conditionalFormatting>
  <conditionalFormatting sqref="R54 AG54">
    <cfRule type="cellIs" dxfId="1875" priority="35" operator="lessThan">
      <formula>0.8</formula>
    </cfRule>
  </conditionalFormatting>
  <conditionalFormatting sqref="O58">
    <cfRule type="cellIs" dxfId="1874" priority="26" operator="greaterThan">
      <formula>0</formula>
    </cfRule>
  </conditionalFormatting>
  <conditionalFormatting sqref="P58 AE58">
    <cfRule type="cellIs" dxfId="1873" priority="29" operator="lessThan">
      <formula>0</formula>
    </cfRule>
  </conditionalFormatting>
  <conditionalFormatting sqref="Q58 AF58">
    <cfRule type="cellIs" dxfId="1872" priority="27" operator="greaterThan">
      <formula>1</formula>
    </cfRule>
    <cfRule type="cellIs" dxfId="1871" priority="28" operator="lessThan">
      <formula>0.8</formula>
    </cfRule>
  </conditionalFormatting>
  <conditionalFormatting sqref="R58 AG58">
    <cfRule type="cellIs" dxfId="1870" priority="30" operator="lessThan">
      <formula>0.8</formula>
    </cfRule>
  </conditionalFormatting>
  <conditionalFormatting sqref="O17:O18">
    <cfRule type="cellIs" dxfId="1869" priority="21" operator="greaterThan">
      <formula>0</formula>
    </cfRule>
  </conditionalFormatting>
  <conditionalFormatting sqref="P17:P18">
    <cfRule type="cellIs" dxfId="1868" priority="24" operator="lessThan">
      <formula>0</formula>
    </cfRule>
  </conditionalFormatting>
  <conditionalFormatting sqref="Q17:Q18">
    <cfRule type="cellIs" dxfId="1867" priority="22" operator="greaterThan">
      <formula>1</formula>
    </cfRule>
    <cfRule type="cellIs" dxfId="1866" priority="23" operator="lessThan">
      <formula>0.8</formula>
    </cfRule>
  </conditionalFormatting>
  <conditionalFormatting sqref="R17:R18 AG17:AG18">
    <cfRule type="cellIs" dxfId="1865" priority="25" operator="lessThan">
      <formula>0.8</formula>
    </cfRule>
  </conditionalFormatting>
  <conditionalFormatting sqref="R27 AG27">
    <cfRule type="cellIs" dxfId="1864" priority="20" operator="lessThan">
      <formula>0.8</formula>
    </cfRule>
  </conditionalFormatting>
  <conditionalFormatting sqref="AG27">
    <cfRule type="cellIs" dxfId="1863" priority="19" operator="lessThan">
      <formula>0.8</formula>
    </cfRule>
  </conditionalFormatting>
  <conditionalFormatting sqref="O57">
    <cfRule type="cellIs" dxfId="1862" priority="14" operator="greaterThan">
      <formula>0</formula>
    </cfRule>
  </conditionalFormatting>
  <conditionalFormatting sqref="P57 AE57">
    <cfRule type="cellIs" dxfId="1861" priority="17" operator="lessThan">
      <formula>0</formula>
    </cfRule>
  </conditionalFormatting>
  <conditionalFormatting sqref="Q57 AF57">
    <cfRule type="cellIs" dxfId="1860" priority="15" operator="greaterThan">
      <formula>1</formula>
    </cfRule>
    <cfRule type="cellIs" dxfId="1859" priority="16" operator="lessThan">
      <formula>0.8</formula>
    </cfRule>
  </conditionalFormatting>
  <conditionalFormatting sqref="R57 AG57">
    <cfRule type="cellIs" dxfId="1858" priority="18" operator="lessThan">
      <formula>0.8</formula>
    </cfRule>
  </conditionalFormatting>
  <conditionalFormatting sqref="O19">
    <cfRule type="cellIs" dxfId="1857" priority="9" operator="greaterThan">
      <formula>0</formula>
    </cfRule>
  </conditionalFormatting>
  <conditionalFormatting sqref="P19">
    <cfRule type="cellIs" dxfId="1856" priority="12" operator="lessThan">
      <formula>0</formula>
    </cfRule>
  </conditionalFormatting>
  <conditionalFormatting sqref="Q19">
    <cfRule type="cellIs" dxfId="1855" priority="10" operator="greaterThan">
      <formula>1</formula>
    </cfRule>
    <cfRule type="cellIs" dxfId="1854" priority="11" operator="lessThan">
      <formula>0.8</formula>
    </cfRule>
  </conditionalFormatting>
  <conditionalFormatting sqref="AG19 R19">
    <cfRule type="cellIs" dxfId="1853" priority="13" operator="lessThan">
      <formula>0.8</formula>
    </cfRule>
  </conditionalFormatting>
  <conditionalFormatting sqref="P8">
    <cfRule type="cellIs" dxfId="1852" priority="8" operator="lessThan">
      <formula>0</formula>
    </cfRule>
  </conditionalFormatting>
  <conditionalFormatting sqref="P20">
    <cfRule type="cellIs" dxfId="1851" priority="7" operator="lessThan">
      <formula>0</formula>
    </cfRule>
  </conditionalFormatting>
  <conditionalFormatting sqref="P28">
    <cfRule type="cellIs" dxfId="1850" priority="6" operator="lessThan">
      <formula>0</formula>
    </cfRule>
  </conditionalFormatting>
  <conditionalFormatting sqref="P35">
    <cfRule type="cellIs" dxfId="1849" priority="5" operator="lessThan">
      <formula>0</formula>
    </cfRule>
  </conditionalFormatting>
  <conditionalFormatting sqref="P47">
    <cfRule type="cellIs" dxfId="1848" priority="4" operator="lessThan">
      <formula>0</formula>
    </cfRule>
  </conditionalFormatting>
  <conditionalFormatting sqref="P55">
    <cfRule type="cellIs" dxfId="1847" priority="3" operator="lessThan">
      <formula>0</formula>
    </cfRule>
  </conditionalFormatting>
  <conditionalFormatting sqref="P61">
    <cfRule type="cellIs" dxfId="1846" priority="2" operator="lessThan">
      <formula>0</formula>
    </cfRule>
  </conditionalFormatting>
  <conditionalFormatting sqref="P68">
    <cfRule type="cellIs" dxfId="1845" priority="1" operator="lessThan">
      <formula>0</formula>
    </cfRule>
  </conditionalFormatting>
  <dataValidations count="1">
    <dataValidation type="list" allowBlank="1" showInputMessage="1" showErrorMessage="1" sqref="AB8 AA5:AB7 AB60 AA8:AA60 AB10:AB56 AA61:AB68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R7" sqref="R7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612" t="s">
        <v>2410</v>
      </c>
      <c r="C1" s="612"/>
      <c r="D1" s="612"/>
      <c r="E1" s="612"/>
      <c r="F1" s="612"/>
      <c r="G1" s="612"/>
      <c r="H1" s="612"/>
      <c r="I1" s="612"/>
      <c r="J1" s="612"/>
      <c r="K1" s="51"/>
      <c r="L1" s="51"/>
      <c r="M1" s="51"/>
      <c r="N1" s="51"/>
      <c r="O1" s="51"/>
      <c r="P1" s="51"/>
    </row>
    <row r="2" spans="2:17" ht="27.75" customHeight="1">
      <c r="B2" s="613"/>
      <c r="C2" s="613"/>
      <c r="D2" s="613"/>
      <c r="E2" s="613"/>
      <c r="F2" s="613"/>
      <c r="G2" s="613"/>
      <c r="H2" s="613"/>
      <c r="I2" s="613"/>
      <c r="J2" s="613"/>
      <c r="K2" s="53"/>
      <c r="L2" s="53"/>
      <c r="M2" s="53"/>
      <c r="N2" s="51"/>
      <c r="O2" s="51"/>
      <c r="P2" s="51"/>
    </row>
    <row r="3" spans="2:17" ht="46.5" customHeight="1">
      <c r="B3" s="54" t="s">
        <v>2411</v>
      </c>
      <c r="C3" s="614" t="str">
        <f>TEXT('0826 4度C'!A2,"yyyy.mm.ddaaaa")</f>
        <v>2026.08.26星期三</v>
      </c>
      <c r="D3" s="615"/>
      <c r="E3" s="54" t="s">
        <v>2412</v>
      </c>
      <c r="F3" s="616">
        <f>'0826 4度C'!D1</f>
        <v>166432</v>
      </c>
      <c r="G3" s="617"/>
      <c r="H3" s="54" t="s">
        <v>2413</v>
      </c>
      <c r="I3" s="618">
        <f>'0826 4度C'!F1</f>
        <v>6009867.6899999995</v>
      </c>
      <c r="J3" s="619"/>
      <c r="K3" s="55"/>
      <c r="L3" s="56"/>
      <c r="M3" s="57"/>
      <c r="N3" s="57"/>
    </row>
    <row r="4" spans="2:17" ht="28.5" customHeight="1">
      <c r="B4" s="620" t="s">
        <v>2414</v>
      </c>
      <c r="C4" s="606" t="s">
        <v>2415</v>
      </c>
      <c r="D4" s="607"/>
      <c r="E4" s="623" t="s">
        <v>2416</v>
      </c>
      <c r="F4" s="624"/>
      <c r="G4" s="623" t="s">
        <v>2417</v>
      </c>
      <c r="H4" s="624"/>
      <c r="I4" s="623" t="s">
        <v>2418</v>
      </c>
      <c r="J4" s="624"/>
      <c r="K4" s="604" t="s">
        <v>2419</v>
      </c>
      <c r="L4" s="605"/>
      <c r="M4" s="605" t="s">
        <v>2420</v>
      </c>
      <c r="N4" s="605"/>
    </row>
    <row r="5" spans="2:17" ht="28.5" customHeight="1">
      <c r="B5" s="621"/>
      <c r="C5" s="606" t="s">
        <v>2421</v>
      </c>
      <c r="D5" s="607"/>
      <c r="E5" s="606" t="s">
        <v>2422</v>
      </c>
      <c r="F5" s="607"/>
      <c r="G5" s="608" t="s">
        <v>2423</v>
      </c>
      <c r="H5" s="609"/>
      <c r="I5" s="610" t="s">
        <v>2424</v>
      </c>
      <c r="J5" s="611"/>
      <c r="K5" s="58" t="s">
        <v>2425</v>
      </c>
      <c r="L5" s="59" t="s">
        <v>2426</v>
      </c>
      <c r="M5" s="58" t="s">
        <v>2425</v>
      </c>
      <c r="N5" s="59" t="s">
        <v>2427</v>
      </c>
    </row>
    <row r="6" spans="2:17" ht="28.5" customHeight="1">
      <c r="B6" s="621"/>
      <c r="C6" s="606" t="s">
        <v>169</v>
      </c>
      <c r="D6" s="607"/>
      <c r="E6" s="598">
        <f>AVERAGE(D13:M13)</f>
        <v>154.71234453819267</v>
      </c>
      <c r="F6" s="599">
        <f>AVERAGE(D31:O31,D13:J13)</f>
        <v>161.7069349671618</v>
      </c>
      <c r="G6" s="600">
        <f>AVERAGE(D13:J13)</f>
        <v>161.7069349671618</v>
      </c>
      <c r="H6" s="601"/>
      <c r="I6" s="600">
        <f>AVERAGE(K13:M13)</f>
        <v>138.39163353726462</v>
      </c>
      <c r="J6" s="601"/>
      <c r="K6" s="602">
        <f>'0826 4度C'!Y2</f>
        <v>0</v>
      </c>
      <c r="L6" s="587">
        <f>'0826 4度C'!Z2</f>
        <v>0</v>
      </c>
      <c r="M6" s="603">
        <f>'0826 4度C'!AC2</f>
        <v>55</v>
      </c>
      <c r="N6" s="587">
        <f>'0826 4度C'!AD2</f>
        <v>0</v>
      </c>
    </row>
    <row r="7" spans="2:17" ht="28.5" customHeight="1">
      <c r="B7" s="621"/>
      <c r="C7" s="588" t="s">
        <v>170</v>
      </c>
      <c r="D7" s="589"/>
      <c r="E7" s="590">
        <f>AVERAGE(D14:M14)</f>
        <v>148.13735866062069</v>
      </c>
      <c r="F7" s="591">
        <f>AVERAGE(D32:O32,D14:J14)</f>
        <v>154.93447265240138</v>
      </c>
      <c r="G7" s="592">
        <f>AVERAGE(D14:J14)</f>
        <v>154.93447265240138</v>
      </c>
      <c r="H7" s="593"/>
      <c r="I7" s="592">
        <f>AVERAGE(K14:M14)</f>
        <v>132.27742601313238</v>
      </c>
      <c r="J7" s="593"/>
      <c r="K7" s="602"/>
      <c r="L7" s="587"/>
      <c r="M7" s="603"/>
      <c r="N7" s="587"/>
    </row>
    <row r="8" spans="2:17" ht="28.5" customHeight="1">
      <c r="B8" s="622"/>
      <c r="C8" s="588" t="s">
        <v>171</v>
      </c>
      <c r="D8" s="589"/>
      <c r="E8" s="594">
        <f>AVERAGE(D15:M15)</f>
        <v>0.95742534046178507</v>
      </c>
      <c r="F8" s="595">
        <f>AVERAGE(D15:J15,D33:O33)</f>
        <v>0.95812881015330686</v>
      </c>
      <c r="G8" s="596">
        <f>AVERAGE(D15:J15)</f>
        <v>0.95812881015330686</v>
      </c>
      <c r="H8" s="597"/>
      <c r="I8" s="596">
        <f>AVERAGE(K15:M15)</f>
        <v>0.95578391118156703</v>
      </c>
      <c r="J8" s="597"/>
      <c r="K8" s="602"/>
      <c r="L8" s="587"/>
      <c r="M8" s="603"/>
      <c r="N8" s="587"/>
    </row>
    <row r="9" spans="2:17" ht="28.5" customHeight="1" thickBot="1">
      <c r="H9" s="61"/>
      <c r="K9" s="62" t="s">
        <v>2428</v>
      </c>
      <c r="N9" s="57"/>
      <c r="O9" s="57"/>
      <c r="P9" s="57"/>
      <c r="Q9" s="57"/>
    </row>
    <row r="10" spans="2:17" ht="30" customHeight="1">
      <c r="B10" s="570" t="s">
        <v>2429</v>
      </c>
      <c r="C10" s="571"/>
      <c r="D10" s="572" t="s">
        <v>2430</v>
      </c>
      <c r="E10" s="573"/>
      <c r="F10" s="573"/>
      <c r="G10" s="573"/>
      <c r="H10" s="573"/>
      <c r="I10" s="573"/>
      <c r="J10" s="574"/>
      <c r="K10" s="575" t="s">
        <v>2431</v>
      </c>
      <c r="L10" s="576"/>
      <c r="M10" s="577"/>
      <c r="P10" s="63"/>
      <c r="Q10" s="63"/>
    </row>
    <row r="11" spans="2:17" ht="17.25" customHeight="1">
      <c r="B11" s="578" t="s">
        <v>2432</v>
      </c>
      <c r="C11" s="579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80"/>
      <c r="C12" s="581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582" t="s">
        <v>2433</v>
      </c>
      <c r="C13" s="70" t="s">
        <v>2434</v>
      </c>
      <c r="D13" s="71">
        <f>SUMIFS('0826 4度C'!$K:$K,'0826 4度C'!$A:$A,"新豐6線",'0826 4度C'!$B:$B,"平均")</f>
        <v>129.03225806451613</v>
      </c>
      <c r="E13" s="72">
        <f>SUMIFS('0826 4度C'!$K:$K,'0826 4度C'!$A:$A,"新豐2線",'0826 4度C'!$B:$B,"平均")</f>
        <v>88.235294117647058</v>
      </c>
      <c r="F13" s="73">
        <f>SUMIFS('0826 4度C'!$K:$K,'0826 4度C'!$A:$A,"新豐5線",'0826 4度C'!$B:$B,"平均")</f>
        <v>96.899224806201559</v>
      </c>
      <c r="G13" s="73">
        <f>SUMIFS('0826 4度C'!$K:$K,'0826 4度C'!$A:$A,"新豐7線",'0826 4度C'!$B:$B,"平均")</f>
        <v>121.21212121212122</v>
      </c>
      <c r="H13" s="73">
        <f>SUMIFS('0826 4度C'!$K:$K,'0826 4度C'!$A:$A,"新豐3線",'0826 4度C'!$B:$B,"平均")</f>
        <v>300</v>
      </c>
      <c r="I13" s="73">
        <f>SUMIFS('0826 4度C'!$K:$K,'0826 4度C'!$A:$A,"新豐1線",'0826 4度C'!$B:$B,"平均")</f>
        <v>108.10810810810811</v>
      </c>
      <c r="J13" s="74">
        <f>SUMIFS('0826 4度C'!$K:$K,'0826 4度C'!$A:$A,"新豐10線",'0826 4度C'!$B:$B,"平均")</f>
        <v>288.46153846153845</v>
      </c>
      <c r="K13" s="75">
        <f>SUMIFS('0826 4度C'!$K:$K,'0826 4度C'!$A:$A,"新豐8線",'0826 4度C'!$B:$B,"平均")</f>
        <v>139.80582524271844</v>
      </c>
      <c r="L13" s="76">
        <f>SUMIFS('0826 4度C'!$K:$K,'0826 4度C'!$A:$A,"新豐9線",'0826 4度C'!$B:$B,"平均")</f>
        <v>129.91452991452991</v>
      </c>
      <c r="M13" s="74">
        <f>SUMIFS('0826 4度C'!$K:$K,'0826 4度C'!$A:$A,"新豐4線",'0826 4度C'!$B:$B,"平均")</f>
        <v>145.45454545454547</v>
      </c>
    </row>
    <row r="14" spans="2:17" ht="39.6" customHeight="1">
      <c r="B14" s="583"/>
      <c r="C14" s="77" t="s">
        <v>2435</v>
      </c>
      <c r="D14" s="78">
        <f>SUMIFS('0826 4度C'!$N:$N,'0826 4度C'!$A:$A,"新豐6線",'0826 4度C'!$B:$B,"平均")</f>
        <v>123.85213456168744</v>
      </c>
      <c r="E14" s="79">
        <f>SUMIFS('0826 4度C'!$N:$N,'0826 4度C'!$A:$A,"新豐2線",'0826 4度C'!$B:$B,"平均")</f>
        <v>84.27467705485742</v>
      </c>
      <c r="F14" s="79">
        <f>SUMIFS('0826 4度C'!$N:$N,'0826 4度C'!$A:$A,"新豐5線",'0826 4度C'!$B:$B,"平均")</f>
        <v>93.149147209279249</v>
      </c>
      <c r="G14" s="79">
        <f>SUMIFS('0826 4度C'!$N:$N,'0826 4度C'!$A:$A,"新豐7線",'0826 4度C'!$B:$B,"平均")</f>
        <v>116.27801498773135</v>
      </c>
      <c r="H14" s="79">
        <f>SUMIFS('0826 4度C'!$N:$N,'0826 4度C'!$A:$A,"新豐3線",'0826 4度C'!$B:$B,"平均")</f>
        <v>286.46470389330568</v>
      </c>
      <c r="I14" s="79">
        <f>SUMIFS('0826 4度C'!$N:$N,'0826 4度C'!$A:$A,"新豐1線",'0826 4度C'!$B:$B,"平均")</f>
        <v>103.28201708201163</v>
      </c>
      <c r="J14" s="80">
        <f>SUMIFS('0826 4度C'!$N:$N,'0826 4度C'!$A:$A,"新豐10線",'0826 4度C'!$B:$B,"平均")</f>
        <v>277.24061377793697</v>
      </c>
      <c r="K14" s="81">
        <f>SUMIFS('0826 4度C'!$N:$N,'0826 4度C'!$A:$A,"新豐8線",'0826 4度C'!$B:$B,"平均")</f>
        <v>133.57460665361253</v>
      </c>
      <c r="L14" s="82">
        <f>SUMIFS('0826 4度C'!$N:$N,'0826 4度C'!$A:$A,"新豐9線",'0826 4度C'!$B:$B,"平均")</f>
        <v>124.06332977799858</v>
      </c>
      <c r="M14" s="80">
        <f>SUMIFS('0826 4度C'!$N:$N,'0826 4度C'!$A:$A,"新豐4線",'0826 4度C'!$B:$B,"平均")</f>
        <v>139.19434160778601</v>
      </c>
    </row>
    <row r="15" spans="2:17" ht="40.15" customHeight="1">
      <c r="B15" s="584"/>
      <c r="C15" s="83" t="s">
        <v>2436</v>
      </c>
      <c r="D15" s="84">
        <f t="shared" ref="D15:M15" si="0">D14/D13</f>
        <v>0.95985404285307763</v>
      </c>
      <c r="E15" s="85">
        <f t="shared" si="0"/>
        <v>0.95511300662171739</v>
      </c>
      <c r="F15" s="85">
        <f t="shared" si="0"/>
        <v>0.96129919919976181</v>
      </c>
      <c r="G15" s="85">
        <f t="shared" si="0"/>
        <v>0.95929362364878357</v>
      </c>
      <c r="H15" s="85">
        <f t="shared" si="0"/>
        <v>0.95488234631101898</v>
      </c>
      <c r="I15" s="85">
        <f t="shared" si="0"/>
        <v>0.95535865800860753</v>
      </c>
      <c r="J15" s="86">
        <f t="shared" si="0"/>
        <v>0.96110079443018148</v>
      </c>
      <c r="K15" s="84">
        <f t="shared" si="0"/>
        <v>0.95542947814736745</v>
      </c>
      <c r="L15" s="85">
        <f t="shared" si="0"/>
        <v>0.95496115684380489</v>
      </c>
      <c r="M15" s="86">
        <f t="shared" si="0"/>
        <v>0.95696109855352873</v>
      </c>
    </row>
    <row r="16" spans="2:17" ht="17.25" customHeight="1">
      <c r="B16" s="585" t="s">
        <v>2437</v>
      </c>
      <c r="C16" s="87" t="s">
        <v>2438</v>
      </c>
      <c r="D16" s="88">
        <f>VLOOKUP("新豐6線",'0826 4度C'!$A:$T,19,0)</f>
        <v>0.70833333333333337</v>
      </c>
      <c r="E16" s="89">
        <f>VLOOKUP("新豐2線",'0826 4度C'!$A:$T,19,0)</f>
        <v>8.3333333333333329E-2</v>
      </c>
      <c r="F16" s="89">
        <f>VLOOKUP("新豐5線",'0826 4度C'!$A:$T,19,0)</f>
        <v>0.20833333333333334</v>
      </c>
      <c r="G16" s="89">
        <f>VLOOKUP("新豐7線",'0826 4度C'!$A:$T,19,0)</f>
        <v>0.20833333333333334</v>
      </c>
      <c r="H16" s="89">
        <f>VLOOKUP("新豐3線",'0826 4度C'!$A:$T,19,0)</f>
        <v>0.20833333333333334</v>
      </c>
      <c r="I16" s="89">
        <f>VLOOKUP("新豐1線",'0826 4度C'!$A:$T,19,0)</f>
        <v>0.20833333333333334</v>
      </c>
      <c r="J16" s="90">
        <f>VLOOKUP("新豐10線",'0826 4度C'!$A:$T,19,0)</f>
        <v>0.20833333333333334</v>
      </c>
      <c r="K16" s="91">
        <f>VLOOKUP("新豐8線",'0826 4度C'!$A:$T,19,0)</f>
        <v>8.3333333333333329E-2</v>
      </c>
      <c r="L16" s="92">
        <f>VLOOKUP("新豐9線",'0826 4度C'!$A:$T,19,0)</f>
        <v>8.3333333333333329E-2</v>
      </c>
      <c r="M16" s="93">
        <f>VLOOKUP("新豐4線",'0826 4度C'!$A:$T,19,0)</f>
        <v>8.3333333333333329E-2</v>
      </c>
    </row>
    <row r="17" spans="2:13" ht="17.25" customHeight="1">
      <c r="B17" s="586"/>
      <c r="C17" s="87" t="s">
        <v>2439</v>
      </c>
      <c r="D17" s="91">
        <f>LOOKUP(2,1/(('0826 4度C'!$A:$A="新豐6線")*('0826 4度C'!$T:$T&lt;&gt;"")),'0826 4度C'!$T:$T)</f>
        <v>0.9145833333333333</v>
      </c>
      <c r="E17" s="89">
        <f>LOOKUP(2,1/(('0826 4度C'!$A:$A="新豐2線")*('0826 4度C'!$T:$T&lt;&gt;"")),'0826 4度C'!$T:$T)</f>
        <v>0.45208333333333328</v>
      </c>
      <c r="F17" s="89">
        <f>LOOKUP(2,1/(('0826 4度C'!$A:$A="新豐5線")*('0826 4度C'!$T:$T&lt;&gt;"")),'0826 4度C'!$T:$T)</f>
        <v>0.84375</v>
      </c>
      <c r="G17" s="89">
        <f>LOOKUP(2,1/(('0826 4度C'!$A:$A="新豐7線")*('0826 4度C'!$T:$T&lt;&gt;"")),'0826 4度C'!$T:$T)</f>
        <v>0.8354166666666667</v>
      </c>
      <c r="H17" s="89">
        <f>LOOKUP(2,1/(('0826 4度C'!$A:$A="新豐3線")*('0826 4度C'!$T:$T&lt;&gt;"")),'0826 4度C'!$T:$T)</f>
        <v>0.41249999999999992</v>
      </c>
      <c r="I17" s="89">
        <f>LOOKUP(2,1/(('0826 4度C'!$A:$A="新豐1線")*('0826 4度C'!$T:$T&lt;&gt;"")),'0826 4度C'!$T:$T)</f>
        <v>0.83888888888888891</v>
      </c>
      <c r="J17" s="90">
        <f>LOOKUP(2,1/(('0826 4度C'!$A:$A="新豐10線")*('0826 4度C'!$T:$T&lt;&gt;"")),'0826 4度C'!$T:$T)</f>
        <v>0.41180555555555548</v>
      </c>
      <c r="K17" s="88">
        <f>LOOKUP(2,1/(('0826 4度C'!$A:$A="新豐8線")*('0826 4度C'!$T:$T&lt;&gt;"")),'0826 4度C'!$T:$T)</f>
        <v>0.61666666666666659</v>
      </c>
      <c r="L17" s="89">
        <f>LOOKUP(2,1/(('0826 4度C'!$A:$A="新豐9線")*('0826 4度C'!$T:$T&lt;&gt;"")),'0826 4度C'!$T:$T)</f>
        <v>0.68472222222222212</v>
      </c>
      <c r="M17" s="90">
        <f>LOOKUP(2,1/(('0826 4度C'!$A:$A="新豐4線")*('0826 4度C'!$T:$T&lt;&gt;"")),'0826 4度C'!$T:$T)</f>
        <v>0.59583333333333321</v>
      </c>
    </row>
    <row r="18" spans="2:13" ht="17.25" customHeight="1">
      <c r="B18" s="564" t="s">
        <v>2440</v>
      </c>
      <c r="C18" s="94" t="s">
        <v>2441</v>
      </c>
      <c r="D18" s="95">
        <f>SUMIFS('0826 4度C'!$Y:$Y,'0826 4度C'!$A:$A,"新豐6線",'0826 4度C'!$B:$B,"平均")</f>
        <v>0</v>
      </c>
      <c r="E18" s="96">
        <f>SUMIFS('0826 4度C'!$Y:$Y,'0826 4度C'!$A:$A,"新豐2線",'0826 4度C'!$B:$B,"平均")</f>
        <v>0</v>
      </c>
      <c r="F18" s="96">
        <f>SUMIFS('0826 4度C'!$Y:$Y,'0826 4度C'!$A:$A,"新豐5線",'0826 4度C'!$B:$B,"平均")</f>
        <v>0</v>
      </c>
      <c r="G18" s="96">
        <f>SUMIFS('0826 4度C'!$Y:$Y,'0826 4度C'!$A:$A,"新豐7線",'0826 4度C'!$B:$B,"平均")</f>
        <v>0</v>
      </c>
      <c r="H18" s="96">
        <f>SUMIFS('0826 4度C'!$Y:$Y,'0826 4度C'!$A:$A,"新豐3線",'0826 4度C'!$B:$B,"平均")</f>
        <v>0</v>
      </c>
      <c r="I18" s="96">
        <f>SUMIFS('0826 4度C'!$Y:$Y,'0826 4度C'!$A:$A,"新豐1線",'0826 4度C'!$B:$B,"平均")</f>
        <v>0</v>
      </c>
      <c r="J18" s="97">
        <f>SUMIFS('0826 4度C'!$Y:$Y,'0826 4度C'!$A:$A,"新豐10線",'0826 4度C'!$B:$B,"平均")</f>
        <v>0</v>
      </c>
      <c r="K18" s="98">
        <f>SUMIFS('0826 4度C'!$Y:$Y,'0826 4度C'!$A:$A,"新豐8線",'0826 4度C'!$B:$B,"平均")</f>
        <v>0</v>
      </c>
      <c r="L18" s="96">
        <f>SUMIFS('0826 4度C'!$Y:$Y,'0826 4度C'!$A:$A,"新豐9線",'0826 4度C'!$B:$B,"平均")</f>
        <v>0</v>
      </c>
      <c r="M18" s="97">
        <f>SUMIFS('0826 4度C'!$Y:$Y,'0826 4度C'!$A:$A,"新豐4線",'0826 4度C'!$B:$B,"平均")</f>
        <v>0</v>
      </c>
    </row>
    <row r="19" spans="2:13" ht="17.25" customHeight="1">
      <c r="B19" s="565"/>
      <c r="C19" s="94" t="s">
        <v>2442</v>
      </c>
      <c r="D19" s="95">
        <f>SUMIFS('0826 4度C'!$Z:$Z,'0826 4度C'!$A:$A,"新豐6線",'0826 4度C'!$B:$B,"平均")</f>
        <v>0</v>
      </c>
      <c r="E19" s="96">
        <f>SUMIFS('0826 4度C'!$Z:$Z,'0826 4度C'!$A:$A,"新豐2線",'0826 4度C'!$B:$B,"平均")</f>
        <v>0</v>
      </c>
      <c r="F19" s="96">
        <f>SUMIFS('0826 4度C'!$Z:$Z,'0826 4度C'!$A:$A,"新豐5線",'0826 4度C'!$B:$B,"平均")</f>
        <v>0</v>
      </c>
      <c r="G19" s="96">
        <f>SUMIFS('0826 4度C'!$Z:$Z,'0826 4度C'!$A:$A,"新豐7線",'0826 4度C'!$B:$B,"平均")</f>
        <v>0</v>
      </c>
      <c r="H19" s="96">
        <f>SUMIFS('0826 4度C'!$Z:$Z,'0826 4度C'!$A:$A,"新豐3線",'0826 4度C'!$B:$B,"平均")</f>
        <v>0</v>
      </c>
      <c r="I19" s="96">
        <f>SUMIFS('0826 4度C'!$Z:$Z,'0826 4度C'!$A:$A,"新豐1線",'0826 4度C'!$B:$B,"平均")</f>
        <v>0</v>
      </c>
      <c r="J19" s="97">
        <f>SUMIFS('0826 4度C'!$Z:$Z,'0826 4度C'!$A:$A,"新豐10線",'0826 4度C'!$B:$B,"平均")</f>
        <v>0</v>
      </c>
      <c r="K19" s="98">
        <f>SUMIFS('0826 4度C'!$Z:$Z,'0826 4度C'!$A:$A,"新豐8線",'0826 4度C'!$B:$B,"平均")</f>
        <v>0</v>
      </c>
      <c r="L19" s="96">
        <f>SUMIFS('0826 4度C'!$Z:$Z,'0826 4度C'!$A:$A,"新豐9線",'0826 4度C'!$B:$B,"平均")</f>
        <v>0</v>
      </c>
      <c r="M19" s="97">
        <f>SUMIFS('0826 4度C'!$Z:$Z,'0826 4度C'!$A:$A,"新豐4線",'0826 4度C'!$B:$B,"平均")</f>
        <v>0</v>
      </c>
    </row>
    <row r="20" spans="2:13" ht="17.25" customHeight="1">
      <c r="B20" s="564" t="s">
        <v>2443</v>
      </c>
      <c r="C20" s="94" t="s">
        <v>2441</v>
      </c>
      <c r="D20" s="95">
        <f>SUMIFS('0826 4度C'!$AC:$AC,'0826 4度C'!$A:$A,"新豐6線",'0826 4度C'!$B:$B,"平均")</f>
        <v>4</v>
      </c>
      <c r="E20" s="96">
        <f>SUMIFS('0826 4度C'!$AC:$AC,'0826 4度C'!$A:$A,"新豐2線",'0826 4度C'!$B:$B,"平均")</f>
        <v>3</v>
      </c>
      <c r="F20" s="96">
        <f>SUMIFS('0826 4度C'!$AC:$AC,'0826 4度C'!$A:$A,"新豐5線",'0826 4度C'!$B:$B,"平均")</f>
        <v>7</v>
      </c>
      <c r="G20" s="96">
        <f>SUMIFS('0826 4度C'!$AC:$AC,'0826 4度C'!$A:$A,"新豐7線",'0826 4度C'!$B:$B,"平均")</f>
        <v>8</v>
      </c>
      <c r="H20" s="96">
        <f>SUMIFS('0826 4度C'!$AC:$AC,'0826 4度C'!$A:$A,"新豐3線",'0826 4度C'!$B:$B,"平均")</f>
        <v>3</v>
      </c>
      <c r="I20" s="96">
        <f>SUMIFS('0826 4度C'!$AC:$AC,'0826 4度C'!$A:$A,"新豐1線",'0826 4度C'!$B:$B,"平均")</f>
        <v>6</v>
      </c>
      <c r="J20" s="97">
        <f>SUMIFS('0826 4度C'!$AC:$AC,'0826 4度C'!$A:$A,"新豐10線",'0826 4度C'!$B:$B,"平均")</f>
        <v>5</v>
      </c>
      <c r="K20" s="98">
        <f>SUMIFS('0826 4度C'!$AC:$AC,'0826 4度C'!$A:$A,"新豐8線",'0826 4度C'!$B:$B,"平均")</f>
        <v>6</v>
      </c>
      <c r="L20" s="96">
        <f>SUMIFS('0826 4度C'!$AC:$AC,'0826 4度C'!$A:$A,"新豐9線",'0826 4度C'!$B:$B,"平均")</f>
        <v>7</v>
      </c>
      <c r="M20" s="97">
        <f>SUMIFS('0826 4度C'!$AC:$AC,'0826 4度C'!$A:$A,"新豐4線",'0826 4度C'!$B:$B,"平均")</f>
        <v>6</v>
      </c>
    </row>
    <row r="21" spans="2:13" ht="17.25" customHeight="1">
      <c r="B21" s="565"/>
      <c r="C21" s="94" t="s">
        <v>2444</v>
      </c>
      <c r="D21" s="95">
        <f>SUMIFS('0826 4度C'!$AD:$AD,'0826 4度C'!$A:$A,"新豐6線",'0826 4度C'!$B:$B,"平均")</f>
        <v>0</v>
      </c>
      <c r="E21" s="96">
        <f>SUMIFS('0826 4度C'!$AD:$AD,'0826 4度C'!$A:$A,"新豐2線",'0826 4度C'!$B:$B,"平均")</f>
        <v>0</v>
      </c>
      <c r="F21" s="96">
        <f>SUMIFS('0826 4度C'!$AD:$AD,'0826 4度C'!$A:$A,"新豐5線",'0826 4度C'!$B:$B,"平均")</f>
        <v>0</v>
      </c>
      <c r="G21" s="96">
        <f>SUMIFS('0826 4度C'!$AD:$AD,'0826 4度C'!$A:$A,"新豐7線",'0826 4度C'!$B:$B,"平均")</f>
        <v>0</v>
      </c>
      <c r="H21" s="96">
        <f>SUMIFS('0826 4度C'!$AD:$AD,'0826 4度C'!$A:$A,"新豐3線",'0826 4度C'!$B:$B,"平均")</f>
        <v>0</v>
      </c>
      <c r="I21" s="96">
        <f>SUMIFS('0826 4度C'!$AD:$AD,'0826 4度C'!$A:$A,"新豐1線",'0826 4度C'!$B:$B,"平均")</f>
        <v>0</v>
      </c>
      <c r="J21" s="97">
        <f>SUMIFS('0826 4度C'!$AD:$AD,'0826 4度C'!$A:$A,"新豐10線",'0826 4度C'!$B:$B,"平均")</f>
        <v>0</v>
      </c>
      <c r="K21" s="98">
        <f>SUMIFS('0826 4度C'!$AD:$AD,'0826 4度C'!$A:$A,"新豐8線",'0826 4度C'!$B:$B,"平均")</f>
        <v>0</v>
      </c>
      <c r="L21" s="96">
        <f>SUMIFS('0826 4度C'!$AD:$AD,'0826 4度C'!$A:$A,"新豐9線",'0826 4度C'!$B:$B,"平均")</f>
        <v>0</v>
      </c>
      <c r="M21" s="97">
        <f>SUMIFS('0826 4度C'!$AD:$AD,'0826 4度C'!$A:$A,"新豐4線",'0826 4度C'!$B:$B,"平均")</f>
        <v>0</v>
      </c>
    </row>
    <row r="22" spans="2:13" ht="17.25" customHeight="1">
      <c r="B22" s="566" t="s">
        <v>2445</v>
      </c>
      <c r="C22" s="567"/>
      <c r="D22" s="99">
        <f>SUMIFS('0826 4度C'!$I:$I,'0826 4度C'!$A:$A,"新豐6線",'0826 4度C'!$B:$B,"平均")</f>
        <v>15.5</v>
      </c>
      <c r="E22" s="100">
        <f>SUMIFS('0826 4度C'!$I:$I,'0826 4度C'!$A:$A,"新豐2線",'0826 4度C'!$B:$B,"平均")</f>
        <v>17</v>
      </c>
      <c r="F22" s="100">
        <f>SUMIFS('0826 4度C'!$I:$I,'0826 4度C'!$A:$A,"新豐5線",'0826 4度C'!$B:$B,"平均")</f>
        <v>18.428571428571427</v>
      </c>
      <c r="G22" s="100">
        <f>SUMIFS('0826 4度C'!$I:$I,'0826 4度C'!$A:$A,"新豐7線",'0826 4度C'!$B:$B,"平均")</f>
        <v>16.5</v>
      </c>
      <c r="H22" s="100">
        <f>SUMIFS('0826 4度C'!$I:$I,'0826 4度C'!$A:$A,"新豐3線",'0826 4度C'!$B:$B,"平均")</f>
        <v>10</v>
      </c>
      <c r="I22" s="100">
        <f>SUMIFS('0826 4度C'!$I:$I,'0826 4度C'!$A:$A,"新豐1線",'0826 4度C'!$B:$B,"平均")</f>
        <v>18.5</v>
      </c>
      <c r="J22" s="101">
        <f>SUMIFS('0826 4度C'!$I:$I,'0826 4度C'!$A:$A,"新豐10線",'0826 4度C'!$B:$B,"平均")</f>
        <v>10.4</v>
      </c>
      <c r="K22" s="99">
        <f>SUMIFS('0826 4度C'!$I:$I,'0826 4度C'!$A:$A,"新豐8線",'0826 4度C'!$B:$B,"平均")</f>
        <v>17.166666666666668</v>
      </c>
      <c r="L22" s="100">
        <f>SUMIFS('0826 4度C'!$I:$I,'0826 4度C'!$A:$A,"新豐9線",'0826 4度C'!$B:$B,"平均")</f>
        <v>16.714285714285715</v>
      </c>
      <c r="M22" s="101">
        <f>SUMIFS('0826 4度C'!$I:$I,'0826 4度C'!$A:$A,"新豐4線",'0826 4度C'!$B:$B,"平均")</f>
        <v>16.5</v>
      </c>
    </row>
    <row r="23" spans="2:13" ht="17.25" customHeight="1">
      <c r="B23" s="566" t="s">
        <v>2446</v>
      </c>
      <c r="C23" s="567"/>
      <c r="D23" s="102" t="s">
        <v>202</v>
      </c>
      <c r="E23" s="103" t="s">
        <v>203</v>
      </c>
      <c r="F23" s="103" t="s">
        <v>2447</v>
      </c>
      <c r="G23" s="103" t="s">
        <v>2447</v>
      </c>
      <c r="H23" s="103" t="s">
        <v>205</v>
      </c>
      <c r="I23" s="103" t="s">
        <v>202</v>
      </c>
      <c r="J23" s="104" t="s">
        <v>205</v>
      </c>
      <c r="K23" s="102" t="s">
        <v>2448</v>
      </c>
      <c r="L23" s="103" t="s">
        <v>2448</v>
      </c>
      <c r="M23" s="104" t="s">
        <v>2448</v>
      </c>
    </row>
    <row r="24" spans="2:13" ht="17.25" customHeight="1">
      <c r="B24" s="566" t="s">
        <v>2449</v>
      </c>
      <c r="C24" s="567"/>
      <c r="D24" s="102"/>
      <c r="E24" s="103"/>
      <c r="F24" s="103" t="s">
        <v>209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68" t="s">
        <v>2450</v>
      </c>
      <c r="C25" s="569"/>
      <c r="D25" s="105"/>
      <c r="E25" s="106" t="s">
        <v>2451</v>
      </c>
      <c r="F25" s="562" t="s">
        <v>212</v>
      </c>
      <c r="G25" s="563"/>
      <c r="H25" s="106" t="s">
        <v>2452</v>
      </c>
      <c r="I25" s="106" t="s">
        <v>214</v>
      </c>
      <c r="J25" s="107" t="s">
        <v>2453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84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0"/>
  <sheetViews>
    <sheetView zoomScale="80" zoomScaleNormal="80" workbookViewId="0">
      <pane ySplit="4" topLeftCell="A5" activePane="bottomLeft" state="frozen"/>
      <selection activeCell="A10" sqref="A10"/>
      <selection pane="bottomLeft" activeCell="A10" sqref="A10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41" customWidth="1"/>
    <col min="20" max="20" width="7.625" style="41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2454</v>
      </c>
      <c r="B1" s="1"/>
      <c r="C1" s="2" t="s">
        <v>2455</v>
      </c>
      <c r="D1" s="3">
        <f>SUM(F5:F69)</f>
        <v>166432</v>
      </c>
      <c r="E1" s="473" t="s">
        <v>2456</v>
      </c>
      <c r="F1" s="1">
        <f>SUM(G5:G69)</f>
        <v>6009867.6899999995</v>
      </c>
      <c r="G1" s="1" t="s">
        <v>2457</v>
      </c>
      <c r="H1" s="5">
        <f>L9+L13+L49+L56+L21+L62+L37+L45+L30+L69</f>
        <v>156.70952380952383</v>
      </c>
      <c r="I1" s="676" t="s">
        <v>4</v>
      </c>
      <c r="J1" s="676"/>
      <c r="K1" s="676"/>
      <c r="L1" s="676" t="s">
        <v>5</v>
      </c>
      <c r="M1" s="676"/>
      <c r="N1" s="676"/>
      <c r="O1" s="676" t="s">
        <v>2458</v>
      </c>
      <c r="P1" s="676"/>
      <c r="Q1" s="676"/>
      <c r="R1" s="676"/>
      <c r="S1" s="676" t="s">
        <v>7</v>
      </c>
      <c r="T1" s="676"/>
      <c r="U1" s="676"/>
      <c r="V1" s="676"/>
      <c r="W1" s="676"/>
      <c r="X1" s="676"/>
      <c r="Y1" s="6" t="s">
        <v>8</v>
      </c>
      <c r="Z1" s="7" t="s">
        <v>9</v>
      </c>
      <c r="AA1" s="677" t="s">
        <v>10</v>
      </c>
      <c r="AB1" s="677"/>
      <c r="AC1" s="8" t="s">
        <v>8</v>
      </c>
      <c r="AD1" s="7" t="s">
        <v>276</v>
      </c>
      <c r="AE1" s="676" t="s">
        <v>2459</v>
      </c>
      <c r="AF1" s="678"/>
      <c r="AG1" s="678"/>
    </row>
    <row r="2" spans="1:33" ht="26.25" customHeight="1">
      <c r="A2" s="35">
        <v>46260</v>
      </c>
      <c r="B2" s="36" t="s">
        <v>583</v>
      </c>
      <c r="C2" s="2" t="s">
        <v>2433</v>
      </c>
      <c r="D2" s="10">
        <f>AVERAGE(N9,N13,N49,N56,N21,N62,N30,N37,N45,N69)</f>
        <v>148.13735866062069</v>
      </c>
      <c r="E2" s="11" t="s">
        <v>14</v>
      </c>
      <c r="F2" s="12">
        <f>F1/D1</f>
        <v>36.110049089117474</v>
      </c>
      <c r="G2" s="1" t="s">
        <v>2460</v>
      </c>
      <c r="H2" s="472">
        <f>COUNT(H5:H69)</f>
        <v>5</v>
      </c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14">
        <f>SUM(Y9+Y13+Y21+Y30+Y37+Y45+Y49+Y56+Y62+Y69)</f>
        <v>0</v>
      </c>
      <c r="Z2" s="14">
        <f>SUM(Z9+Z13+Z21+Z30+Z37+Z45+Z49+Z56+Z62+Z69)</f>
        <v>0</v>
      </c>
      <c r="AA2" s="677"/>
      <c r="AB2" s="677"/>
      <c r="AC2" s="14">
        <v>55</v>
      </c>
      <c r="AD2" s="14">
        <f>SUM(AD9+AD13+AD21+AD30+AD37+AD45+AD49+AD56+AD62+AD69)</f>
        <v>0</v>
      </c>
      <c r="AE2" s="678"/>
      <c r="AF2" s="678"/>
      <c r="AG2" s="678"/>
    </row>
    <row r="3" spans="1:33" ht="40.5" customHeight="1">
      <c r="A3" s="632" t="s">
        <v>16</v>
      </c>
      <c r="B3" s="632" t="s">
        <v>2461</v>
      </c>
      <c r="C3" s="632" t="s">
        <v>18</v>
      </c>
      <c r="D3" s="632"/>
      <c r="E3" s="674" t="s">
        <v>2462</v>
      </c>
      <c r="F3" s="632" t="s">
        <v>2463</v>
      </c>
      <c r="G3" s="674" t="s">
        <v>286</v>
      </c>
      <c r="H3" s="667" t="s">
        <v>491</v>
      </c>
      <c r="I3" s="665" t="s">
        <v>23</v>
      </c>
      <c r="J3" s="662" t="s">
        <v>24</v>
      </c>
      <c r="K3" s="672" t="s">
        <v>2433</v>
      </c>
      <c r="L3" s="665" t="s">
        <v>2464</v>
      </c>
      <c r="M3" s="662" t="s">
        <v>24</v>
      </c>
      <c r="N3" s="672" t="s">
        <v>13</v>
      </c>
      <c r="O3" s="665" t="s">
        <v>23</v>
      </c>
      <c r="P3" s="672" t="s">
        <v>13</v>
      </c>
      <c r="Q3" s="663" t="s">
        <v>2465</v>
      </c>
      <c r="R3" s="641" t="s">
        <v>38</v>
      </c>
      <c r="S3" s="673" t="s">
        <v>29</v>
      </c>
      <c r="T3" s="673"/>
      <c r="U3" s="667" t="s">
        <v>30</v>
      </c>
      <c r="V3" s="667" t="s">
        <v>2466</v>
      </c>
      <c r="W3" s="632" t="s">
        <v>2467</v>
      </c>
      <c r="X3" s="632"/>
      <c r="Y3" s="668" t="s">
        <v>2468</v>
      </c>
      <c r="Z3" s="631"/>
      <c r="AA3" s="669" t="s">
        <v>2469</v>
      </c>
      <c r="AB3" s="670"/>
      <c r="AC3" s="668" t="s">
        <v>2470</v>
      </c>
      <c r="AD3" s="631"/>
      <c r="AE3" s="662" t="s">
        <v>2471</v>
      </c>
      <c r="AF3" s="663" t="s">
        <v>2472</v>
      </c>
      <c r="AG3" s="641" t="s">
        <v>2473</v>
      </c>
    </row>
    <row r="4" spans="1:33" ht="15.75" customHeight="1">
      <c r="A4" s="632"/>
      <c r="B4" s="632"/>
      <c r="C4" s="632"/>
      <c r="D4" s="632"/>
      <c r="E4" s="675"/>
      <c r="F4" s="632"/>
      <c r="G4" s="675"/>
      <c r="H4" s="667"/>
      <c r="I4" s="665"/>
      <c r="J4" s="662"/>
      <c r="K4" s="672"/>
      <c r="L4" s="665"/>
      <c r="M4" s="662"/>
      <c r="N4" s="672"/>
      <c r="O4" s="665"/>
      <c r="P4" s="672"/>
      <c r="Q4" s="663"/>
      <c r="R4" s="641"/>
      <c r="S4" s="478" t="s">
        <v>39</v>
      </c>
      <c r="T4" s="478" t="s">
        <v>40</v>
      </c>
      <c r="U4" s="667"/>
      <c r="V4" s="667"/>
      <c r="W4" s="473" t="s">
        <v>2474</v>
      </c>
      <c r="X4" s="473" t="s">
        <v>2475</v>
      </c>
      <c r="Y4" s="477" t="s">
        <v>247</v>
      </c>
      <c r="Z4" s="477" t="s">
        <v>2476</v>
      </c>
      <c r="AA4" s="671"/>
      <c r="AB4" s="670"/>
      <c r="AC4" s="477" t="s">
        <v>45</v>
      </c>
      <c r="AD4" s="477" t="s">
        <v>2477</v>
      </c>
      <c r="AE4" s="662"/>
      <c r="AF4" s="663"/>
      <c r="AG4" s="641"/>
    </row>
    <row r="5" spans="1:33">
      <c r="A5" s="664" t="s">
        <v>2478</v>
      </c>
      <c r="B5" s="42" t="s">
        <v>92</v>
      </c>
      <c r="C5" s="666" t="s">
        <v>93</v>
      </c>
      <c r="D5" s="666"/>
      <c r="E5" s="42">
        <v>50.92</v>
      </c>
      <c r="F5" s="478">
        <v>2529</v>
      </c>
      <c r="G5" s="473">
        <f t="shared" ref="G5:G8" si="0">E5*F5</f>
        <v>128776.68000000001</v>
      </c>
      <c r="H5" s="37" t="s">
        <v>91</v>
      </c>
      <c r="I5" s="474">
        <v>15</v>
      </c>
      <c r="J5" s="39">
        <v>2000</v>
      </c>
      <c r="K5" s="17">
        <f t="shared" ref="K5:K68" si="1">J5/I5</f>
        <v>133.33333333333334</v>
      </c>
      <c r="L5" s="474">
        <v>15</v>
      </c>
      <c r="M5" s="18">
        <f t="shared" ref="M5:M8" si="2">F5/V5*60</f>
        <v>1920.7594936708851</v>
      </c>
      <c r="N5" s="17">
        <f t="shared" ref="N5:N68" si="3">M5/L5</f>
        <v>128.05063291139234</v>
      </c>
      <c r="O5" s="19">
        <f t="shared" ref="O5:O68" si="4">L5-I5</f>
        <v>0</v>
      </c>
      <c r="P5" s="20">
        <f t="shared" ref="P5:P68" si="5">N5-K5</f>
        <v>-5.2827004219410014</v>
      </c>
      <c r="Q5" s="475">
        <f t="shared" ref="Q5:Q68" si="6">N5/K5</f>
        <v>0.96037974683544247</v>
      </c>
      <c r="R5" s="637">
        <f>Q9</f>
        <v>0.95985404285307763</v>
      </c>
      <c r="S5" s="40">
        <v>0.70833333333333337</v>
      </c>
      <c r="T5" s="40">
        <v>0.76319444444444451</v>
      </c>
      <c r="U5" s="473"/>
      <c r="V5" s="476">
        <f t="shared" ref="V5:V8" si="7">(T5-S5)*24*60</f>
        <v>79.000000000000043</v>
      </c>
      <c r="W5" s="23"/>
      <c r="X5" s="23"/>
      <c r="Y5" s="24"/>
      <c r="Z5" s="24"/>
      <c r="AA5" s="632"/>
      <c r="AB5" s="632"/>
      <c r="AC5" s="25">
        <v>4</v>
      </c>
      <c r="AD5" s="25"/>
      <c r="AE5" s="19">
        <f t="shared" ref="AE5:AE55" si="8">M5-J5</f>
        <v>-79.240506329114851</v>
      </c>
      <c r="AF5" s="475">
        <f t="shared" ref="AF5:AF68" si="9">M5/J5</f>
        <v>0.96037974683544258</v>
      </c>
      <c r="AG5" s="637">
        <f>AF9</f>
        <v>0.95985404285307763</v>
      </c>
    </row>
    <row r="6" spans="1:33">
      <c r="A6" s="665" t="s">
        <v>2479</v>
      </c>
      <c r="B6" s="42" t="s">
        <v>92</v>
      </c>
      <c r="C6" s="666" t="s">
        <v>94</v>
      </c>
      <c r="D6" s="666"/>
      <c r="E6" s="42">
        <v>50.98</v>
      </c>
      <c r="F6" s="478">
        <v>1000</v>
      </c>
      <c r="G6" s="473">
        <f t="shared" si="0"/>
        <v>50980</v>
      </c>
      <c r="H6" s="37">
        <v>2</v>
      </c>
      <c r="I6" s="474">
        <v>16</v>
      </c>
      <c r="J6" s="39">
        <v>2000</v>
      </c>
      <c r="K6" s="17">
        <f t="shared" si="1"/>
        <v>125</v>
      </c>
      <c r="L6" s="474">
        <v>16</v>
      </c>
      <c r="M6" s="18">
        <f t="shared" si="2"/>
        <v>1935.483870967739</v>
      </c>
      <c r="N6" s="17">
        <f t="shared" si="3"/>
        <v>120.96774193548369</v>
      </c>
      <c r="O6" s="19">
        <f t="shared" si="4"/>
        <v>0</v>
      </c>
      <c r="P6" s="20">
        <f t="shared" si="5"/>
        <v>-4.0322580645163129</v>
      </c>
      <c r="Q6" s="475">
        <f t="shared" si="6"/>
        <v>0.96774193548386944</v>
      </c>
      <c r="R6" s="637"/>
      <c r="S6" s="40">
        <v>0.76666666666666672</v>
      </c>
      <c r="T6" s="40">
        <v>0.78819444444444453</v>
      </c>
      <c r="U6" s="473">
        <f t="shared" ref="U6:U8" si="10">IF(S6=TIME(17,0,0),"",(S6-T5)*24*60)</f>
        <v>4.9999999999999822</v>
      </c>
      <c r="V6" s="476">
        <f t="shared" si="7"/>
        <v>31.00000000000005</v>
      </c>
      <c r="W6" s="23"/>
      <c r="X6" s="23"/>
      <c r="Y6" s="23"/>
      <c r="Z6" s="23"/>
      <c r="AA6" s="632"/>
      <c r="AB6" s="632"/>
      <c r="AC6" s="25"/>
      <c r="AD6" s="25"/>
      <c r="AE6" s="19">
        <f t="shared" si="8"/>
        <v>-64.516129032261006</v>
      </c>
      <c r="AF6" s="475">
        <f t="shared" si="9"/>
        <v>0.96774193548386944</v>
      </c>
      <c r="AG6" s="637"/>
    </row>
    <row r="7" spans="1:33">
      <c r="A7" s="665" t="s">
        <v>2479</v>
      </c>
      <c r="B7" s="42" t="s">
        <v>92</v>
      </c>
      <c r="C7" s="660" t="s">
        <v>109</v>
      </c>
      <c r="D7" s="661"/>
      <c r="E7" s="42">
        <v>50.49</v>
      </c>
      <c r="F7" s="478">
        <v>2131</v>
      </c>
      <c r="G7" s="473">
        <f t="shared" si="0"/>
        <v>107594.19</v>
      </c>
      <c r="H7" s="37" t="s">
        <v>91</v>
      </c>
      <c r="I7" s="474">
        <v>15</v>
      </c>
      <c r="J7" s="39">
        <v>2000</v>
      </c>
      <c r="K7" s="17">
        <f t="shared" si="1"/>
        <v>133.33333333333334</v>
      </c>
      <c r="L7" s="474">
        <v>15</v>
      </c>
      <c r="M7" s="18">
        <f t="shared" si="2"/>
        <v>1908.3582089552262</v>
      </c>
      <c r="N7" s="17">
        <f t="shared" si="3"/>
        <v>127.22388059701508</v>
      </c>
      <c r="O7" s="19">
        <f t="shared" si="4"/>
        <v>0</v>
      </c>
      <c r="P7" s="20">
        <f t="shared" si="5"/>
        <v>-6.1094527363182607</v>
      </c>
      <c r="Q7" s="475">
        <f t="shared" si="6"/>
        <v>0.954179104477613</v>
      </c>
      <c r="R7" s="637"/>
      <c r="S7" s="40">
        <v>0.79166666666666674</v>
      </c>
      <c r="T7" s="40">
        <v>0.83819444444444446</v>
      </c>
      <c r="U7" s="473">
        <f t="shared" si="10"/>
        <v>4.9999999999999822</v>
      </c>
      <c r="V7" s="476">
        <f t="shared" si="7"/>
        <v>66.999999999999915</v>
      </c>
      <c r="W7" s="23">
        <f>T7</f>
        <v>0.83819444444444446</v>
      </c>
      <c r="X7" s="23">
        <f>S8</f>
        <v>0.87847222222222221</v>
      </c>
      <c r="Y7" s="26"/>
      <c r="Z7" s="26"/>
      <c r="AA7" s="627"/>
      <c r="AB7" s="628"/>
      <c r="AC7" s="27"/>
      <c r="AD7" s="27"/>
      <c r="AE7" s="19">
        <f t="shared" si="8"/>
        <v>-91.641791044773754</v>
      </c>
      <c r="AF7" s="475">
        <f t="shared" si="9"/>
        <v>0.95417910447761312</v>
      </c>
      <c r="AG7" s="637"/>
    </row>
    <row r="8" spans="1:33">
      <c r="A8" s="665" t="s">
        <v>2480</v>
      </c>
      <c r="B8" s="42" t="s">
        <v>92</v>
      </c>
      <c r="C8" s="660" t="s">
        <v>94</v>
      </c>
      <c r="D8" s="661"/>
      <c r="E8" s="42">
        <v>50.98</v>
      </c>
      <c r="F8" s="478">
        <v>1659</v>
      </c>
      <c r="G8" s="473">
        <f t="shared" si="0"/>
        <v>84575.819999999992</v>
      </c>
      <c r="H8" s="37" t="s">
        <v>91</v>
      </c>
      <c r="I8" s="474">
        <v>16</v>
      </c>
      <c r="J8" s="39">
        <v>2000</v>
      </c>
      <c r="K8" s="17">
        <f t="shared" si="1"/>
        <v>125</v>
      </c>
      <c r="L8" s="474">
        <v>16</v>
      </c>
      <c r="M8" s="18">
        <f t="shared" si="2"/>
        <v>1914.2307692307702</v>
      </c>
      <c r="N8" s="17">
        <f t="shared" si="3"/>
        <v>119.63942307692314</v>
      </c>
      <c r="O8" s="19">
        <f t="shared" si="4"/>
        <v>0</v>
      </c>
      <c r="P8" s="20">
        <f t="shared" si="5"/>
        <v>-5.360576923076863</v>
      </c>
      <c r="Q8" s="475">
        <f t="shared" si="6"/>
        <v>0.95711538461538515</v>
      </c>
      <c r="R8" s="637"/>
      <c r="S8" s="40">
        <v>0.87847222222222221</v>
      </c>
      <c r="T8" s="40">
        <v>0.9145833333333333</v>
      </c>
      <c r="U8" s="473">
        <f t="shared" si="10"/>
        <v>57.999999999999957</v>
      </c>
      <c r="V8" s="476">
        <f t="shared" si="7"/>
        <v>51.999999999999972</v>
      </c>
      <c r="W8" s="28"/>
      <c r="X8" s="28"/>
      <c r="Y8" s="136"/>
      <c r="Z8" s="136"/>
      <c r="AA8" s="627"/>
      <c r="AB8" s="628"/>
      <c r="AC8" s="27"/>
      <c r="AD8" s="27"/>
      <c r="AE8" s="19">
        <f t="shared" si="8"/>
        <v>-85.769230769229807</v>
      </c>
      <c r="AF8" s="475">
        <f t="shared" si="9"/>
        <v>0.95711538461538515</v>
      </c>
      <c r="AG8" s="637"/>
    </row>
    <row r="9" spans="1:33">
      <c r="A9" s="665" t="s">
        <v>2481</v>
      </c>
      <c r="B9" s="42" t="s">
        <v>52</v>
      </c>
      <c r="C9" s="638"/>
      <c r="D9" s="638"/>
      <c r="E9" s="481"/>
      <c r="F9" s="44"/>
      <c r="G9" s="17"/>
      <c r="H9" s="478"/>
      <c r="I9" s="29">
        <v>15.5</v>
      </c>
      <c r="J9" s="39">
        <v>2000</v>
      </c>
      <c r="K9" s="17">
        <f t="shared" si="1"/>
        <v>129.03225806451613</v>
      </c>
      <c r="L9" s="29">
        <v>15.5</v>
      </c>
      <c r="M9" s="18">
        <f>AVERAGE(M5:M8)</f>
        <v>1919.7080857061553</v>
      </c>
      <c r="N9" s="17">
        <f t="shared" si="3"/>
        <v>123.85213456168744</v>
      </c>
      <c r="O9" s="19">
        <f t="shared" si="4"/>
        <v>0</v>
      </c>
      <c r="P9" s="20">
        <f t="shared" si="5"/>
        <v>-5.1801235028286925</v>
      </c>
      <c r="Q9" s="475">
        <f t="shared" si="6"/>
        <v>0.95985404285307763</v>
      </c>
      <c r="R9" s="637"/>
      <c r="S9" s="40"/>
      <c r="T9" s="40"/>
      <c r="U9" s="473"/>
      <c r="V9" s="476"/>
      <c r="W9" s="17"/>
      <c r="X9" s="17"/>
      <c r="Y9" s="30">
        <f>SUM(Y5:Y8)</f>
        <v>0</v>
      </c>
      <c r="Z9" s="30">
        <f>SUM(Z5:Z8)</f>
        <v>0</v>
      </c>
      <c r="AA9" s="631"/>
      <c r="AB9" s="631"/>
      <c r="AC9" s="30">
        <v>4</v>
      </c>
      <c r="AD9" s="30">
        <f>SUM(AD5:AD8)</f>
        <v>0</v>
      </c>
      <c r="AE9" s="19">
        <f t="shared" si="8"/>
        <v>-80.291914293844684</v>
      </c>
      <c r="AF9" s="475">
        <f t="shared" si="9"/>
        <v>0.95985404285307763</v>
      </c>
      <c r="AG9" s="637"/>
    </row>
    <row r="10" spans="1:33" ht="15.75" customHeight="1">
      <c r="A10" s="659" t="s">
        <v>306</v>
      </c>
      <c r="B10" s="42" t="s">
        <v>96</v>
      </c>
      <c r="C10" s="660" t="s">
        <v>100</v>
      </c>
      <c r="D10" s="661"/>
      <c r="E10" s="42">
        <v>39.619999999999997</v>
      </c>
      <c r="F10" s="478">
        <v>3916</v>
      </c>
      <c r="G10" s="473">
        <f t="shared" ref="G10:G12" si="11">E10*F10</f>
        <v>155151.91999999998</v>
      </c>
      <c r="H10" s="37" t="s">
        <v>91</v>
      </c>
      <c r="I10" s="474">
        <v>19</v>
      </c>
      <c r="J10" s="39">
        <v>1500</v>
      </c>
      <c r="K10" s="17">
        <f t="shared" si="1"/>
        <v>78.94736842105263</v>
      </c>
      <c r="L10" s="474">
        <v>19</v>
      </c>
      <c r="M10" s="18">
        <f t="shared" ref="M10:M12" si="12">F10/V10*60</f>
        <v>1432.6829268292684</v>
      </c>
      <c r="N10" s="17">
        <f t="shared" si="3"/>
        <v>75.404364569961487</v>
      </c>
      <c r="O10" s="19">
        <f t="shared" si="4"/>
        <v>0</v>
      </c>
      <c r="P10" s="20">
        <f t="shared" si="5"/>
        <v>-3.543003851091143</v>
      </c>
      <c r="Q10" s="475">
        <f t="shared" si="6"/>
        <v>0.95512195121951216</v>
      </c>
      <c r="R10" s="637">
        <f>Q13</f>
        <v>0.95511300662171739</v>
      </c>
      <c r="S10" s="40">
        <v>8.3333333333333329E-2</v>
      </c>
      <c r="T10" s="40">
        <v>0.19722222222222222</v>
      </c>
      <c r="U10" s="473"/>
      <c r="V10" s="476">
        <f t="shared" ref="V10:V12" si="13">(T10-S10)*24*60</f>
        <v>164</v>
      </c>
      <c r="W10" s="23">
        <f>T10</f>
        <v>0.19722222222222222</v>
      </c>
      <c r="X10" s="23">
        <f>S11</f>
        <v>0.2159722222222222</v>
      </c>
      <c r="Y10" s="23"/>
      <c r="Z10" s="23"/>
      <c r="AA10" s="632"/>
      <c r="AB10" s="632"/>
      <c r="AC10" s="25">
        <v>3</v>
      </c>
      <c r="AD10" s="25"/>
      <c r="AE10" s="19">
        <f t="shared" si="8"/>
        <v>-67.317073170731646</v>
      </c>
      <c r="AF10" s="475">
        <f t="shared" si="9"/>
        <v>0.95512195121951227</v>
      </c>
      <c r="AG10" s="637">
        <f>AF13</f>
        <v>0.95511300662171739</v>
      </c>
    </row>
    <row r="11" spans="1:33" ht="15.75" customHeight="1">
      <c r="A11" s="659" t="s">
        <v>306</v>
      </c>
      <c r="B11" s="42" t="s">
        <v>96</v>
      </c>
      <c r="C11" s="660" t="s">
        <v>97</v>
      </c>
      <c r="D11" s="661"/>
      <c r="E11" s="42">
        <v>39.799999999999997</v>
      </c>
      <c r="F11" s="478">
        <v>5834</v>
      </c>
      <c r="G11" s="473">
        <f t="shared" si="11"/>
        <v>232193.19999999998</v>
      </c>
      <c r="H11" s="37" t="s">
        <v>91</v>
      </c>
      <c r="I11" s="474">
        <v>17</v>
      </c>
      <c r="J11" s="39">
        <v>1500</v>
      </c>
      <c r="K11" s="17">
        <f t="shared" si="1"/>
        <v>88.235294117647058</v>
      </c>
      <c r="L11" s="474">
        <v>17</v>
      </c>
      <c r="M11" s="18">
        <f t="shared" si="12"/>
        <v>1428.7346938775511</v>
      </c>
      <c r="N11" s="17">
        <f t="shared" si="3"/>
        <v>84.043217286914768</v>
      </c>
      <c r="O11" s="19">
        <f t="shared" si="4"/>
        <v>0</v>
      </c>
      <c r="P11" s="20">
        <f t="shared" si="5"/>
        <v>-4.1920768307322902</v>
      </c>
      <c r="Q11" s="475">
        <f t="shared" si="6"/>
        <v>0.95248979591836735</v>
      </c>
      <c r="R11" s="637"/>
      <c r="S11" s="40">
        <v>0.2159722222222222</v>
      </c>
      <c r="T11" s="40">
        <v>0.38611111111111107</v>
      </c>
      <c r="U11" s="473">
        <f t="shared" ref="U11:U12" si="14">IF(S11=TIME(17,0,0),"",(S11-T10)*24*60)</f>
        <v>26.999999999999986</v>
      </c>
      <c r="V11" s="476">
        <f t="shared" si="13"/>
        <v>244.99999999999997</v>
      </c>
      <c r="W11" s="23"/>
      <c r="X11" s="23"/>
      <c r="Y11" s="23"/>
      <c r="Z11" s="23"/>
      <c r="AA11" s="632"/>
      <c r="AB11" s="632"/>
      <c r="AC11" s="25"/>
      <c r="AD11" s="25"/>
      <c r="AE11" s="19">
        <f t="shared" si="8"/>
        <v>-71.265306122448919</v>
      </c>
      <c r="AF11" s="475">
        <f t="shared" si="9"/>
        <v>0.95248979591836735</v>
      </c>
      <c r="AG11" s="637"/>
    </row>
    <row r="12" spans="1:33" ht="15.75" customHeight="1">
      <c r="A12" s="659" t="s">
        <v>2482</v>
      </c>
      <c r="B12" s="42" t="s">
        <v>96</v>
      </c>
      <c r="C12" s="660" t="s">
        <v>98</v>
      </c>
      <c r="D12" s="661"/>
      <c r="E12" s="42">
        <v>39.46</v>
      </c>
      <c r="F12" s="478">
        <v>2107</v>
      </c>
      <c r="G12" s="473">
        <f t="shared" si="11"/>
        <v>83142.22</v>
      </c>
      <c r="H12" s="37" t="s">
        <v>91</v>
      </c>
      <c r="I12" s="474">
        <v>15</v>
      </c>
      <c r="J12" s="39">
        <v>1500</v>
      </c>
      <c r="K12" s="17">
        <f t="shared" si="1"/>
        <v>100</v>
      </c>
      <c r="L12" s="474">
        <v>15</v>
      </c>
      <c r="M12" s="18">
        <f t="shared" si="12"/>
        <v>1436.590909090909</v>
      </c>
      <c r="N12" s="17">
        <f t="shared" si="3"/>
        <v>95.772727272727266</v>
      </c>
      <c r="O12" s="19">
        <f t="shared" si="4"/>
        <v>0</v>
      </c>
      <c r="P12" s="20">
        <f t="shared" si="5"/>
        <v>-4.2272727272727337</v>
      </c>
      <c r="Q12" s="475">
        <f t="shared" si="6"/>
        <v>0.95772727272727265</v>
      </c>
      <c r="R12" s="637"/>
      <c r="S12" s="40">
        <v>0.39097222222222217</v>
      </c>
      <c r="T12" s="40">
        <v>0.45208333333333328</v>
      </c>
      <c r="U12" s="473">
        <f t="shared" si="14"/>
        <v>6.9999999999999751</v>
      </c>
      <c r="V12" s="476">
        <f t="shared" si="13"/>
        <v>88</v>
      </c>
      <c r="W12" s="23"/>
      <c r="X12" s="23"/>
      <c r="Y12" s="23"/>
      <c r="Z12" s="23"/>
      <c r="AA12" s="632"/>
      <c r="AB12" s="632"/>
      <c r="AC12" s="25"/>
      <c r="AD12" s="25"/>
      <c r="AE12" s="19">
        <f t="shared" si="8"/>
        <v>-63.409090909090992</v>
      </c>
      <c r="AF12" s="475">
        <f t="shared" si="9"/>
        <v>0.95772727272727265</v>
      </c>
      <c r="AG12" s="637"/>
    </row>
    <row r="13" spans="1:33" ht="16.5" customHeight="1">
      <c r="A13" s="659" t="s">
        <v>1262</v>
      </c>
      <c r="B13" s="42" t="s">
        <v>2483</v>
      </c>
      <c r="C13" s="638"/>
      <c r="D13" s="638"/>
      <c r="E13" s="481"/>
      <c r="F13" s="39"/>
      <c r="G13" s="18"/>
      <c r="H13" s="478"/>
      <c r="I13" s="29">
        <v>17</v>
      </c>
      <c r="J13" s="39">
        <v>1500</v>
      </c>
      <c r="K13" s="17">
        <f t="shared" si="1"/>
        <v>88.235294117647058</v>
      </c>
      <c r="L13" s="29">
        <v>17</v>
      </c>
      <c r="M13" s="18">
        <f>AVERAGE(M10:M12)</f>
        <v>1432.6695099325761</v>
      </c>
      <c r="N13" s="17">
        <f t="shared" si="3"/>
        <v>84.27467705485742</v>
      </c>
      <c r="O13" s="19">
        <f t="shared" si="4"/>
        <v>0</v>
      </c>
      <c r="P13" s="20">
        <f t="shared" si="5"/>
        <v>-3.9606170627896375</v>
      </c>
      <c r="Q13" s="475">
        <f t="shared" si="6"/>
        <v>0.95511300662171739</v>
      </c>
      <c r="R13" s="637"/>
      <c r="S13" s="40"/>
      <c r="T13" s="40"/>
      <c r="U13" s="17"/>
      <c r="V13" s="476"/>
      <c r="W13" s="17"/>
      <c r="X13" s="17"/>
      <c r="Y13" s="30">
        <f>SUM(Y10:Y12)</f>
        <v>0</v>
      </c>
      <c r="Z13" s="30">
        <f>SUM(Z10:Z12)</f>
        <v>0</v>
      </c>
      <c r="AA13" s="631"/>
      <c r="AB13" s="631"/>
      <c r="AC13" s="30">
        <v>3</v>
      </c>
      <c r="AD13" s="30">
        <f>SUM(AD10:AD12)</f>
        <v>0</v>
      </c>
      <c r="AE13" s="19">
        <f t="shared" si="8"/>
        <v>-67.330490067423852</v>
      </c>
      <c r="AF13" s="475">
        <f t="shared" si="9"/>
        <v>0.95511300662171739</v>
      </c>
      <c r="AG13" s="637"/>
    </row>
    <row r="14" spans="1:33" ht="16.5" customHeight="1">
      <c r="A14" s="657" t="s">
        <v>2484</v>
      </c>
      <c r="B14" s="478" t="s">
        <v>101</v>
      </c>
      <c r="C14" s="653" t="s">
        <v>102</v>
      </c>
      <c r="D14" s="653"/>
      <c r="E14" s="42">
        <v>31.11</v>
      </c>
      <c r="F14" s="478">
        <v>2253</v>
      </c>
      <c r="G14" s="473">
        <f t="shared" ref="G14:G20" si="15">E14*F14</f>
        <v>70090.83</v>
      </c>
      <c r="H14" s="37" t="s">
        <v>91</v>
      </c>
      <c r="I14" s="474">
        <v>14</v>
      </c>
      <c r="J14" s="39">
        <v>2000</v>
      </c>
      <c r="K14" s="17">
        <f t="shared" si="1"/>
        <v>142.85714285714286</v>
      </c>
      <c r="L14" s="474">
        <v>14</v>
      </c>
      <c r="M14" s="18">
        <f t="shared" ref="M14:M20" si="16">F14/V14*60</f>
        <v>1931.1428571428567</v>
      </c>
      <c r="N14" s="17">
        <f t="shared" si="3"/>
        <v>137.93877551020404</v>
      </c>
      <c r="O14" s="19">
        <f t="shared" si="4"/>
        <v>0</v>
      </c>
      <c r="P14" s="20">
        <f t="shared" si="5"/>
        <v>-4.9183673469388225</v>
      </c>
      <c r="Q14" s="475">
        <f t="shared" si="6"/>
        <v>0.96557142857142819</v>
      </c>
      <c r="R14" s="637">
        <f>Q21</f>
        <v>0.96129919919976181</v>
      </c>
      <c r="S14" s="40">
        <v>0.20833333333333334</v>
      </c>
      <c r="T14" s="40">
        <v>0.25694444444444448</v>
      </c>
      <c r="U14" s="473"/>
      <c r="V14" s="476">
        <f t="shared" ref="V14:V20" si="17">(T14-S14)*24*60</f>
        <v>70.000000000000028</v>
      </c>
      <c r="W14" s="23"/>
      <c r="X14" s="23"/>
      <c r="Y14" s="28"/>
      <c r="Z14" s="28"/>
      <c r="AA14" s="632"/>
      <c r="AB14" s="632"/>
      <c r="AC14" s="25">
        <v>7</v>
      </c>
      <c r="AD14" s="25"/>
      <c r="AE14" s="19">
        <f t="shared" si="8"/>
        <v>-68.857142857143344</v>
      </c>
      <c r="AF14" s="475">
        <f t="shared" si="9"/>
        <v>0.9655714285714283</v>
      </c>
      <c r="AG14" s="637">
        <f>AF21</f>
        <v>0.9612991991997617</v>
      </c>
    </row>
    <row r="15" spans="1:33" ht="16.5" customHeight="1">
      <c r="A15" s="658" t="s">
        <v>55</v>
      </c>
      <c r="B15" s="478" t="s">
        <v>103</v>
      </c>
      <c r="C15" s="653" t="s">
        <v>105</v>
      </c>
      <c r="D15" s="653"/>
      <c r="E15" s="42">
        <v>41</v>
      </c>
      <c r="F15" s="478">
        <v>1858</v>
      </c>
      <c r="G15" s="473">
        <f t="shared" si="15"/>
        <v>76178</v>
      </c>
      <c r="H15" s="37" t="s">
        <v>91</v>
      </c>
      <c r="I15" s="474">
        <v>26</v>
      </c>
      <c r="J15" s="39">
        <v>1500</v>
      </c>
      <c r="K15" s="17">
        <f t="shared" si="1"/>
        <v>57.692307692307693</v>
      </c>
      <c r="L15" s="474">
        <v>26</v>
      </c>
      <c r="M15" s="18">
        <f t="shared" si="16"/>
        <v>1429.23076923077</v>
      </c>
      <c r="N15" s="17">
        <f t="shared" si="3"/>
        <v>54.970414201183459</v>
      </c>
      <c r="O15" s="19">
        <f t="shared" si="4"/>
        <v>0</v>
      </c>
      <c r="P15" s="20">
        <f t="shared" si="5"/>
        <v>-2.7218934911242343</v>
      </c>
      <c r="Q15" s="475">
        <f t="shared" si="6"/>
        <v>0.95282051282051328</v>
      </c>
      <c r="R15" s="637"/>
      <c r="S15" s="40">
        <v>0.26111111111111113</v>
      </c>
      <c r="T15" s="40">
        <v>0.31527777777777777</v>
      </c>
      <c r="U15" s="473">
        <f t="shared" ref="U15:U20" si="18">IF(S15=TIME(17,0,0),"",(S15-T14)*24*60)</f>
        <v>5.9999999999999787</v>
      </c>
      <c r="V15" s="476">
        <f t="shared" si="17"/>
        <v>77.999999999999957</v>
      </c>
      <c r="W15" s="23"/>
      <c r="X15" s="23"/>
      <c r="Y15" s="23"/>
      <c r="Z15" s="23"/>
      <c r="AA15" s="632"/>
      <c r="AB15" s="632"/>
      <c r="AC15" s="25"/>
      <c r="AD15" s="25"/>
      <c r="AE15" s="19">
        <f t="shared" si="8"/>
        <v>-70.769230769230035</v>
      </c>
      <c r="AF15" s="475">
        <f t="shared" si="9"/>
        <v>0.95282051282051328</v>
      </c>
      <c r="AG15" s="637"/>
    </row>
    <row r="16" spans="1:33" ht="16.5" customHeight="1">
      <c r="A16" s="658" t="s">
        <v>55</v>
      </c>
      <c r="B16" s="478" t="s">
        <v>101</v>
      </c>
      <c r="C16" s="653" t="s">
        <v>2402</v>
      </c>
      <c r="D16" s="653"/>
      <c r="E16" s="42">
        <v>68.88</v>
      </c>
      <c r="F16" s="478">
        <v>3671</v>
      </c>
      <c r="G16" s="473">
        <f t="shared" si="15"/>
        <v>252858.47999999998</v>
      </c>
      <c r="H16" s="37" t="s">
        <v>91</v>
      </c>
      <c r="I16" s="474">
        <v>16</v>
      </c>
      <c r="J16" s="39">
        <v>2000</v>
      </c>
      <c r="K16" s="17">
        <f t="shared" si="1"/>
        <v>125</v>
      </c>
      <c r="L16" s="474">
        <v>16</v>
      </c>
      <c r="M16" s="18">
        <f t="shared" si="16"/>
        <v>1915.3043478260872</v>
      </c>
      <c r="N16" s="17">
        <f t="shared" si="3"/>
        <v>119.70652173913045</v>
      </c>
      <c r="O16" s="19">
        <f t="shared" si="4"/>
        <v>0</v>
      </c>
      <c r="P16" s="20">
        <f t="shared" si="5"/>
        <v>-5.2934782608695485</v>
      </c>
      <c r="Q16" s="475">
        <f t="shared" si="6"/>
        <v>0.95765217391304358</v>
      </c>
      <c r="R16" s="637"/>
      <c r="S16" s="40">
        <v>0.3208333333333333</v>
      </c>
      <c r="T16" s="40">
        <v>0.40069444444444441</v>
      </c>
      <c r="U16" s="473">
        <f t="shared" si="18"/>
        <v>7.9999999999999716</v>
      </c>
      <c r="V16" s="476">
        <f t="shared" si="17"/>
        <v>114.99999999999999</v>
      </c>
      <c r="W16" s="23"/>
      <c r="X16" s="23"/>
      <c r="Y16" s="23"/>
      <c r="Z16" s="23"/>
      <c r="AA16" s="632"/>
      <c r="AB16" s="632"/>
      <c r="AC16" s="25"/>
      <c r="AD16" s="25"/>
      <c r="AE16" s="19">
        <f t="shared" si="8"/>
        <v>-84.695652173912777</v>
      </c>
      <c r="AF16" s="475">
        <f t="shared" si="9"/>
        <v>0.95765217391304358</v>
      </c>
      <c r="AG16" s="637"/>
    </row>
    <row r="17" spans="1:33" ht="16.5" customHeight="1">
      <c r="A17" s="658" t="s">
        <v>2485</v>
      </c>
      <c r="B17" s="478" t="s">
        <v>96</v>
      </c>
      <c r="C17" s="653" t="s">
        <v>99</v>
      </c>
      <c r="D17" s="653"/>
      <c r="E17" s="42">
        <v>39.520000000000003</v>
      </c>
      <c r="F17" s="478">
        <v>2028</v>
      </c>
      <c r="G17" s="473">
        <f t="shared" si="15"/>
        <v>80146.560000000012</v>
      </c>
      <c r="H17" s="37" t="s">
        <v>91</v>
      </c>
      <c r="I17" s="474">
        <v>19</v>
      </c>
      <c r="J17" s="39">
        <v>1500</v>
      </c>
      <c r="K17" s="17">
        <f t="shared" si="1"/>
        <v>78.94736842105263</v>
      </c>
      <c r="L17" s="474">
        <v>19</v>
      </c>
      <c r="M17" s="18">
        <f t="shared" si="16"/>
        <v>1431.5294117647056</v>
      </c>
      <c r="N17" s="17">
        <f t="shared" si="3"/>
        <v>75.343653250773983</v>
      </c>
      <c r="O17" s="19">
        <f t="shared" si="4"/>
        <v>0</v>
      </c>
      <c r="P17" s="20">
        <f t="shared" si="5"/>
        <v>-3.6037151702786474</v>
      </c>
      <c r="Q17" s="475">
        <f t="shared" si="6"/>
        <v>0.95435294117647052</v>
      </c>
      <c r="R17" s="637"/>
      <c r="S17" s="40">
        <v>0.40624999999999994</v>
      </c>
      <c r="T17" s="40">
        <v>0.46527777777777773</v>
      </c>
      <c r="U17" s="473">
        <f t="shared" si="18"/>
        <v>7.9999999999999716</v>
      </c>
      <c r="V17" s="476">
        <f t="shared" si="17"/>
        <v>85.000000000000014</v>
      </c>
      <c r="W17" s="23"/>
      <c r="X17" s="23"/>
      <c r="Y17" s="23"/>
      <c r="Z17" s="23"/>
      <c r="AA17" s="632"/>
      <c r="AB17" s="632"/>
      <c r="AC17" s="25"/>
      <c r="AD17" s="25"/>
      <c r="AE17" s="19">
        <f t="shared" si="8"/>
        <v>-68.470588235294372</v>
      </c>
      <c r="AF17" s="475">
        <f t="shared" si="9"/>
        <v>0.9543529411764704</v>
      </c>
      <c r="AG17" s="637"/>
    </row>
    <row r="18" spans="1:33" ht="16.5" customHeight="1">
      <c r="A18" s="658" t="s">
        <v>55</v>
      </c>
      <c r="B18" s="478" t="s">
        <v>92</v>
      </c>
      <c r="C18" s="653" t="s">
        <v>108</v>
      </c>
      <c r="D18" s="653"/>
      <c r="E18" s="42">
        <v>54.5</v>
      </c>
      <c r="F18" s="478">
        <v>1354</v>
      </c>
      <c r="G18" s="473">
        <f t="shared" si="15"/>
        <v>73793</v>
      </c>
      <c r="H18" s="37" t="s">
        <v>91</v>
      </c>
      <c r="I18" s="474">
        <v>19</v>
      </c>
      <c r="J18" s="39">
        <v>1500</v>
      </c>
      <c r="K18" s="17">
        <f t="shared" si="1"/>
        <v>78.94736842105263</v>
      </c>
      <c r="L18" s="474">
        <v>19</v>
      </c>
      <c r="M18" s="18">
        <f t="shared" si="16"/>
        <v>1450.7142857142869</v>
      </c>
      <c r="N18" s="17">
        <f t="shared" si="3"/>
        <v>76.353383458646675</v>
      </c>
      <c r="O18" s="19">
        <f t="shared" si="4"/>
        <v>0</v>
      </c>
      <c r="P18" s="20">
        <f t="shared" si="5"/>
        <v>-2.5939849624059548</v>
      </c>
      <c r="Q18" s="475">
        <f t="shared" si="6"/>
        <v>0.96714285714285786</v>
      </c>
      <c r="R18" s="637"/>
      <c r="S18" s="40">
        <v>0.70833333333333337</v>
      </c>
      <c r="T18" s="40">
        <v>0.74722222222222223</v>
      </c>
      <c r="U18" s="473" t="str">
        <f t="shared" si="18"/>
        <v/>
      </c>
      <c r="V18" s="476">
        <f t="shared" si="17"/>
        <v>55.999999999999957</v>
      </c>
      <c r="W18" s="23"/>
      <c r="X18" s="23"/>
      <c r="Y18" s="23"/>
      <c r="Z18" s="23"/>
      <c r="AA18" s="632"/>
      <c r="AB18" s="632"/>
      <c r="AC18" s="25"/>
      <c r="AD18" s="25"/>
      <c r="AE18" s="19">
        <f t="shared" si="8"/>
        <v>-49.285714285713084</v>
      </c>
      <c r="AF18" s="475">
        <f t="shared" si="9"/>
        <v>0.96714285714285797</v>
      </c>
      <c r="AG18" s="637"/>
    </row>
    <row r="19" spans="1:33" ht="16.5" customHeight="1">
      <c r="A19" s="658" t="s">
        <v>55</v>
      </c>
      <c r="B19" s="478" t="s">
        <v>92</v>
      </c>
      <c r="C19" s="482" t="s">
        <v>107</v>
      </c>
      <c r="D19" s="483"/>
      <c r="E19" s="42">
        <v>50.67</v>
      </c>
      <c r="F19" s="478">
        <v>1735</v>
      </c>
      <c r="G19" s="473">
        <f t="shared" si="15"/>
        <v>87912.45</v>
      </c>
      <c r="H19" s="37" t="s">
        <v>91</v>
      </c>
      <c r="I19" s="474">
        <v>17</v>
      </c>
      <c r="J19" s="39">
        <v>2000</v>
      </c>
      <c r="K19" s="17">
        <f t="shared" si="1"/>
        <v>117.64705882352941</v>
      </c>
      <c r="L19" s="474">
        <v>17</v>
      </c>
      <c r="M19" s="18">
        <f t="shared" si="16"/>
        <v>1927.7777777777787</v>
      </c>
      <c r="N19" s="17">
        <f t="shared" si="3"/>
        <v>113.39869281045758</v>
      </c>
      <c r="O19" s="19">
        <f t="shared" si="4"/>
        <v>0</v>
      </c>
      <c r="P19" s="20">
        <f t="shared" si="5"/>
        <v>-4.2483660130718306</v>
      </c>
      <c r="Q19" s="475">
        <f t="shared" si="6"/>
        <v>0.96388888888888946</v>
      </c>
      <c r="R19" s="637"/>
      <c r="S19" s="40">
        <v>0.75138888888888888</v>
      </c>
      <c r="T19" s="40">
        <v>0.78888888888888886</v>
      </c>
      <c r="U19" s="473">
        <f t="shared" si="18"/>
        <v>5.9999999999999787</v>
      </c>
      <c r="V19" s="476">
        <f t="shared" si="17"/>
        <v>53.999999999999972</v>
      </c>
      <c r="W19" s="23"/>
      <c r="X19" s="23"/>
      <c r="Y19" s="26"/>
      <c r="Z19" s="26"/>
      <c r="AA19" s="479"/>
      <c r="AB19" s="480"/>
      <c r="AC19" s="25"/>
      <c r="AD19" s="25"/>
      <c r="AE19" s="19">
        <f t="shared" si="8"/>
        <v>-72.222222222221262</v>
      </c>
      <c r="AF19" s="475">
        <f t="shared" si="9"/>
        <v>0.96388888888888935</v>
      </c>
      <c r="AG19" s="637"/>
    </row>
    <row r="20" spans="1:33" ht="16.5" customHeight="1">
      <c r="A20" s="658" t="s">
        <v>55</v>
      </c>
      <c r="B20" s="478" t="s">
        <v>92</v>
      </c>
      <c r="C20" s="482" t="s">
        <v>114</v>
      </c>
      <c r="D20" s="483"/>
      <c r="E20" s="42">
        <v>54.09</v>
      </c>
      <c r="F20" s="478">
        <v>2381</v>
      </c>
      <c r="G20" s="473">
        <f t="shared" si="15"/>
        <v>128788.29000000001</v>
      </c>
      <c r="H20" s="37" t="s">
        <v>91</v>
      </c>
      <c r="I20" s="474">
        <v>18</v>
      </c>
      <c r="J20" s="39">
        <v>2000</v>
      </c>
      <c r="K20" s="17">
        <f t="shared" si="1"/>
        <v>111.11111111111111</v>
      </c>
      <c r="L20" s="474">
        <v>18</v>
      </c>
      <c r="M20" s="18">
        <f t="shared" si="16"/>
        <v>1930.540540540539</v>
      </c>
      <c r="N20" s="17">
        <f t="shared" si="3"/>
        <v>107.25225225225216</v>
      </c>
      <c r="O20" s="19">
        <f t="shared" si="4"/>
        <v>0</v>
      </c>
      <c r="P20" s="20">
        <f t="shared" si="5"/>
        <v>-3.8588588588589516</v>
      </c>
      <c r="Q20" s="475">
        <f t="shared" si="6"/>
        <v>0.96527027027026946</v>
      </c>
      <c r="R20" s="637"/>
      <c r="S20" s="40">
        <v>0.79236111111111107</v>
      </c>
      <c r="T20" s="40">
        <v>0.84375</v>
      </c>
      <c r="U20" s="473">
        <f t="shared" si="18"/>
        <v>4.9999999999999822</v>
      </c>
      <c r="V20" s="476">
        <f t="shared" si="17"/>
        <v>74.000000000000057</v>
      </c>
      <c r="W20" s="23"/>
      <c r="X20" s="23"/>
      <c r="Y20" s="26"/>
      <c r="Z20" s="26"/>
      <c r="AA20" s="479"/>
      <c r="AB20" s="480"/>
      <c r="AC20" s="25"/>
      <c r="AD20" s="25"/>
      <c r="AE20" s="19">
        <f t="shared" si="8"/>
        <v>-69.459459459460959</v>
      </c>
      <c r="AF20" s="475">
        <f t="shared" si="9"/>
        <v>0.96527027027026957</v>
      </c>
      <c r="AG20" s="637"/>
    </row>
    <row r="21" spans="1:33" ht="16.5" customHeight="1">
      <c r="A21" s="658" t="s">
        <v>2484</v>
      </c>
      <c r="B21" s="42" t="s">
        <v>2483</v>
      </c>
      <c r="C21" s="638"/>
      <c r="D21" s="638"/>
      <c r="E21" s="481"/>
      <c r="F21" s="44"/>
      <c r="G21" s="17"/>
      <c r="H21" s="478"/>
      <c r="I21" s="29">
        <v>18.428571428571427</v>
      </c>
      <c r="J21" s="39">
        <v>1785.7142857142858</v>
      </c>
      <c r="K21" s="17">
        <f t="shared" si="1"/>
        <v>96.899224806201559</v>
      </c>
      <c r="L21" s="29">
        <v>18.428571428571427</v>
      </c>
      <c r="M21" s="18">
        <f>AVERAGE(M14:M20)</f>
        <v>1716.6057128567174</v>
      </c>
      <c r="N21" s="17">
        <f t="shared" si="3"/>
        <v>93.149147209279249</v>
      </c>
      <c r="O21" s="19">
        <f t="shared" si="4"/>
        <v>0</v>
      </c>
      <c r="P21" s="20">
        <f t="shared" si="5"/>
        <v>-3.7500775969223099</v>
      </c>
      <c r="Q21" s="475">
        <f t="shared" si="6"/>
        <v>0.96129919919976181</v>
      </c>
      <c r="R21" s="637"/>
      <c r="S21" s="40"/>
      <c r="T21" s="40"/>
      <c r="U21" s="473"/>
      <c r="V21" s="476"/>
      <c r="W21" s="17"/>
      <c r="X21" s="17"/>
      <c r="Y21" s="30">
        <f>SUM(Y14:Y20)</f>
        <v>0</v>
      </c>
      <c r="Z21" s="30">
        <f>SUM(Z14:Z20)</f>
        <v>0</v>
      </c>
      <c r="AA21" s="631"/>
      <c r="AB21" s="631"/>
      <c r="AC21" s="30">
        <v>7</v>
      </c>
      <c r="AD21" s="30">
        <f>SUM(AD14:AD20)</f>
        <v>0</v>
      </c>
      <c r="AE21" s="19">
        <f t="shared" si="8"/>
        <v>-69.108572857568333</v>
      </c>
      <c r="AF21" s="475">
        <f t="shared" si="9"/>
        <v>0.9612991991997617</v>
      </c>
      <c r="AG21" s="637"/>
    </row>
    <row r="22" spans="1:33" ht="15.75" customHeight="1">
      <c r="A22" s="655" t="s">
        <v>309</v>
      </c>
      <c r="B22" s="42" t="s">
        <v>92</v>
      </c>
      <c r="C22" s="653" t="s">
        <v>110</v>
      </c>
      <c r="D22" s="653"/>
      <c r="E22" s="42">
        <v>50.67</v>
      </c>
      <c r="F22" s="478">
        <v>1721</v>
      </c>
      <c r="G22" s="473">
        <f t="shared" ref="G22:G29" si="19">E22*F22</f>
        <v>87203.07</v>
      </c>
      <c r="H22" s="37" t="s">
        <v>91</v>
      </c>
      <c r="I22" s="474">
        <v>17</v>
      </c>
      <c r="J22" s="39">
        <v>2000</v>
      </c>
      <c r="K22" s="17">
        <f t="shared" si="1"/>
        <v>117.64705882352941</v>
      </c>
      <c r="L22" s="474">
        <v>17</v>
      </c>
      <c r="M22" s="18">
        <f t="shared" ref="M22:M29" si="20">F22/V22*60</f>
        <v>1912.2222222222219</v>
      </c>
      <c r="N22" s="17">
        <f t="shared" si="3"/>
        <v>112.48366013071893</v>
      </c>
      <c r="O22" s="19">
        <f t="shared" si="4"/>
        <v>0</v>
      </c>
      <c r="P22" s="20">
        <f t="shared" si="5"/>
        <v>-5.1633986928104747</v>
      </c>
      <c r="Q22" s="475">
        <f t="shared" si="6"/>
        <v>0.95611111111111091</v>
      </c>
      <c r="R22" s="637">
        <f>Q30</f>
        <v>0.95929362364878357</v>
      </c>
      <c r="S22" s="40">
        <v>0.20833333333333334</v>
      </c>
      <c r="T22" s="40">
        <v>0.24583333333333335</v>
      </c>
      <c r="U22" s="473"/>
      <c r="V22" s="476">
        <f t="shared" ref="V22:V29" si="21">(T22-S22)*24*60</f>
        <v>54.000000000000007</v>
      </c>
      <c r="W22" s="23"/>
      <c r="X22" s="23"/>
      <c r="Y22" s="28"/>
      <c r="Z22" s="28"/>
      <c r="AA22" s="632"/>
      <c r="AB22" s="632"/>
      <c r="AC22" s="25">
        <v>8</v>
      </c>
      <c r="AD22" s="25"/>
      <c r="AE22" s="19">
        <f t="shared" si="8"/>
        <v>-87.777777777778056</v>
      </c>
      <c r="AF22" s="475">
        <f t="shared" si="9"/>
        <v>0.95611111111111102</v>
      </c>
      <c r="AG22" s="637">
        <f>AF30</f>
        <v>0.95929362364878368</v>
      </c>
    </row>
    <row r="23" spans="1:33" ht="15.75" customHeight="1">
      <c r="A23" s="656" t="s">
        <v>2486</v>
      </c>
      <c r="B23" s="42" t="s">
        <v>92</v>
      </c>
      <c r="C23" s="653" t="s">
        <v>111</v>
      </c>
      <c r="D23" s="653"/>
      <c r="E23" s="42">
        <v>57.73</v>
      </c>
      <c r="F23" s="478">
        <v>2857</v>
      </c>
      <c r="G23" s="473">
        <f t="shared" si="19"/>
        <v>164934.60999999999</v>
      </c>
      <c r="H23" s="37" t="s">
        <v>91</v>
      </c>
      <c r="I23" s="474">
        <v>14</v>
      </c>
      <c r="J23" s="39">
        <v>2000</v>
      </c>
      <c r="K23" s="17">
        <f t="shared" si="1"/>
        <v>142.85714285714286</v>
      </c>
      <c r="L23" s="474">
        <v>14</v>
      </c>
      <c r="M23" s="18">
        <f t="shared" si="20"/>
        <v>1904.6666666666665</v>
      </c>
      <c r="N23" s="17">
        <f t="shared" si="3"/>
        <v>136.04761904761904</v>
      </c>
      <c r="O23" s="19">
        <f t="shared" si="4"/>
        <v>0</v>
      </c>
      <c r="P23" s="20">
        <f t="shared" si="5"/>
        <v>-6.8095238095238244</v>
      </c>
      <c r="Q23" s="475">
        <f t="shared" si="6"/>
        <v>0.95233333333333325</v>
      </c>
      <c r="R23" s="637"/>
      <c r="S23" s="40">
        <v>0.25069444444444444</v>
      </c>
      <c r="T23" s="40">
        <v>0.31319444444444444</v>
      </c>
      <c r="U23" s="473">
        <f t="shared" ref="U23:U29" si="22">IF(S23=TIME(17,0,0),"",(S23-T22)*24*60)</f>
        <v>6.9999999999999751</v>
      </c>
      <c r="V23" s="476">
        <f t="shared" si="21"/>
        <v>90</v>
      </c>
      <c r="W23" s="23"/>
      <c r="X23" s="473"/>
      <c r="Y23" s="473"/>
      <c r="Z23" s="473"/>
      <c r="AA23" s="632"/>
      <c r="AB23" s="632"/>
      <c r="AC23" s="25"/>
      <c r="AD23" s="25"/>
      <c r="AE23" s="19">
        <f t="shared" si="8"/>
        <v>-95.333333333333485</v>
      </c>
      <c r="AF23" s="475">
        <f t="shared" si="9"/>
        <v>0.95233333333333325</v>
      </c>
      <c r="AG23" s="637"/>
    </row>
    <row r="24" spans="1:33" ht="15.75" customHeight="1">
      <c r="A24" s="656" t="s">
        <v>309</v>
      </c>
      <c r="B24" s="42" t="s">
        <v>92</v>
      </c>
      <c r="C24" s="653" t="s">
        <v>112</v>
      </c>
      <c r="D24" s="653"/>
      <c r="E24" s="42">
        <v>53.27</v>
      </c>
      <c r="F24" s="478">
        <v>1359</v>
      </c>
      <c r="G24" s="473">
        <f t="shared" si="19"/>
        <v>72393.930000000008</v>
      </c>
      <c r="H24" s="37" t="s">
        <v>91</v>
      </c>
      <c r="I24" s="474">
        <v>16</v>
      </c>
      <c r="J24" s="39">
        <v>2000</v>
      </c>
      <c r="K24" s="17">
        <f t="shared" si="1"/>
        <v>125</v>
      </c>
      <c r="L24" s="474">
        <v>16</v>
      </c>
      <c r="M24" s="18">
        <f t="shared" si="20"/>
        <v>1941.4285714285709</v>
      </c>
      <c r="N24" s="17">
        <f t="shared" si="3"/>
        <v>121.33928571428568</v>
      </c>
      <c r="O24" s="19">
        <f t="shared" si="4"/>
        <v>0</v>
      </c>
      <c r="P24" s="20">
        <f t="shared" si="5"/>
        <v>-3.6607142857143202</v>
      </c>
      <c r="Q24" s="475">
        <f t="shared" si="6"/>
        <v>0.97071428571428542</v>
      </c>
      <c r="R24" s="637"/>
      <c r="S24" s="40">
        <v>0.31736111111111109</v>
      </c>
      <c r="T24" s="40">
        <v>0.34652777777777777</v>
      </c>
      <c r="U24" s="473">
        <f t="shared" si="22"/>
        <v>5.9999999999999787</v>
      </c>
      <c r="V24" s="476">
        <f t="shared" si="21"/>
        <v>42.000000000000014</v>
      </c>
      <c r="W24" s="23"/>
      <c r="X24" s="473"/>
      <c r="Y24" s="473"/>
      <c r="Z24" s="473"/>
      <c r="AA24" s="632"/>
      <c r="AB24" s="632"/>
      <c r="AC24" s="25"/>
      <c r="AD24" s="25"/>
      <c r="AE24" s="19">
        <f t="shared" si="8"/>
        <v>-58.571428571429124</v>
      </c>
      <c r="AF24" s="475">
        <f t="shared" si="9"/>
        <v>0.97071428571428542</v>
      </c>
      <c r="AG24" s="637"/>
    </row>
    <row r="25" spans="1:33" ht="15.75" customHeight="1">
      <c r="A25" s="656" t="s">
        <v>2486</v>
      </c>
      <c r="B25" s="42" t="s">
        <v>92</v>
      </c>
      <c r="C25" s="653" t="s">
        <v>1852</v>
      </c>
      <c r="D25" s="653"/>
      <c r="E25" s="42">
        <v>56.43</v>
      </c>
      <c r="F25" s="478">
        <v>1847</v>
      </c>
      <c r="G25" s="473">
        <f t="shared" si="19"/>
        <v>104226.21</v>
      </c>
      <c r="H25" s="37" t="s">
        <v>91</v>
      </c>
      <c r="I25" s="474">
        <v>25</v>
      </c>
      <c r="J25" s="39">
        <v>2000</v>
      </c>
      <c r="K25" s="17">
        <f t="shared" si="1"/>
        <v>80</v>
      </c>
      <c r="L25" s="474">
        <v>25</v>
      </c>
      <c r="M25" s="18">
        <f t="shared" si="20"/>
        <v>1910.6896551724126</v>
      </c>
      <c r="N25" s="17">
        <f t="shared" si="3"/>
        <v>76.427586206896507</v>
      </c>
      <c r="O25" s="19">
        <f t="shared" si="4"/>
        <v>0</v>
      </c>
      <c r="P25" s="20">
        <f t="shared" si="5"/>
        <v>-3.5724137931034932</v>
      </c>
      <c r="Q25" s="475">
        <f t="shared" si="6"/>
        <v>0.95534482758620631</v>
      </c>
      <c r="R25" s="637"/>
      <c r="S25" s="40">
        <v>0.35069444444444442</v>
      </c>
      <c r="T25" s="40">
        <v>0.39097222222222222</v>
      </c>
      <c r="U25" s="473">
        <f t="shared" si="22"/>
        <v>5.9999999999999787</v>
      </c>
      <c r="V25" s="476">
        <f t="shared" si="21"/>
        <v>58.000000000000036</v>
      </c>
      <c r="W25" s="23"/>
      <c r="X25" s="473"/>
      <c r="Y25" s="473"/>
      <c r="Z25" s="473"/>
      <c r="AA25" s="632"/>
      <c r="AB25" s="632"/>
      <c r="AC25" s="25"/>
      <c r="AD25" s="25"/>
      <c r="AE25" s="19">
        <f t="shared" si="8"/>
        <v>-89.310344827587414</v>
      </c>
      <c r="AF25" s="475">
        <f t="shared" si="9"/>
        <v>0.95534482758620631</v>
      </c>
      <c r="AG25" s="637"/>
    </row>
    <row r="26" spans="1:33" ht="15.75" customHeight="1">
      <c r="A26" s="656" t="s">
        <v>2487</v>
      </c>
      <c r="B26" s="42" t="s">
        <v>92</v>
      </c>
      <c r="C26" s="653" t="s">
        <v>133</v>
      </c>
      <c r="D26" s="653"/>
      <c r="E26" s="42">
        <v>59.04</v>
      </c>
      <c r="F26" s="478">
        <v>1476</v>
      </c>
      <c r="G26" s="473">
        <f t="shared" si="19"/>
        <v>87143.039999999994</v>
      </c>
      <c r="H26" s="37" t="s">
        <v>91</v>
      </c>
      <c r="I26" s="474">
        <v>19</v>
      </c>
      <c r="J26" s="39">
        <v>2000</v>
      </c>
      <c r="K26" s="17">
        <f t="shared" si="1"/>
        <v>105.26315789473684</v>
      </c>
      <c r="L26" s="474">
        <v>19</v>
      </c>
      <c r="M26" s="18">
        <f t="shared" si="20"/>
        <v>1925.217391304348</v>
      </c>
      <c r="N26" s="17">
        <f t="shared" si="3"/>
        <v>101.32723112128147</v>
      </c>
      <c r="O26" s="19">
        <f t="shared" si="4"/>
        <v>0</v>
      </c>
      <c r="P26" s="20">
        <f t="shared" si="5"/>
        <v>-3.935926773455364</v>
      </c>
      <c r="Q26" s="475">
        <f t="shared" si="6"/>
        <v>0.962608695652174</v>
      </c>
      <c r="R26" s="637"/>
      <c r="S26" s="40">
        <v>0.39513888888888887</v>
      </c>
      <c r="T26" s="40">
        <v>0.42708333333333331</v>
      </c>
      <c r="U26" s="473">
        <f t="shared" si="22"/>
        <v>5.9999999999999787</v>
      </c>
      <c r="V26" s="476">
        <f t="shared" si="21"/>
        <v>46</v>
      </c>
      <c r="W26" s="23"/>
      <c r="X26" s="23"/>
      <c r="Y26" s="473"/>
      <c r="Z26" s="473"/>
      <c r="AA26" s="632"/>
      <c r="AB26" s="632"/>
      <c r="AC26" s="25"/>
      <c r="AD26" s="25"/>
      <c r="AE26" s="19">
        <f t="shared" si="8"/>
        <v>-74.782608695652016</v>
      </c>
      <c r="AF26" s="475">
        <f t="shared" si="9"/>
        <v>0.962608695652174</v>
      </c>
      <c r="AG26" s="637"/>
    </row>
    <row r="27" spans="1:33" ht="15.75" customHeight="1">
      <c r="A27" s="656" t="s">
        <v>2486</v>
      </c>
      <c r="B27" s="42" t="s">
        <v>92</v>
      </c>
      <c r="C27" s="653" t="s">
        <v>113</v>
      </c>
      <c r="D27" s="653"/>
      <c r="E27" s="42">
        <v>56.43</v>
      </c>
      <c r="F27" s="478">
        <v>1502</v>
      </c>
      <c r="G27" s="473">
        <f t="shared" si="19"/>
        <v>84757.86</v>
      </c>
      <c r="H27" s="37" t="s">
        <v>91</v>
      </c>
      <c r="I27" s="474">
        <v>13</v>
      </c>
      <c r="J27" s="39">
        <v>2000</v>
      </c>
      <c r="K27" s="17">
        <f t="shared" si="1"/>
        <v>153.84615384615384</v>
      </c>
      <c r="L27" s="474">
        <v>13</v>
      </c>
      <c r="M27" s="18">
        <f t="shared" si="20"/>
        <v>1917.4468085106384</v>
      </c>
      <c r="N27" s="17">
        <f t="shared" si="3"/>
        <v>147.49590834697219</v>
      </c>
      <c r="O27" s="19">
        <f t="shared" si="4"/>
        <v>0</v>
      </c>
      <c r="P27" s="20">
        <f t="shared" si="5"/>
        <v>-6.3502454991816535</v>
      </c>
      <c r="Q27" s="475">
        <f t="shared" si="6"/>
        <v>0.95872340425531921</v>
      </c>
      <c r="R27" s="637"/>
      <c r="S27" s="40">
        <v>0.70833333333333337</v>
      </c>
      <c r="T27" s="40">
        <v>0.74097222222222225</v>
      </c>
      <c r="U27" s="473" t="str">
        <f t="shared" si="22"/>
        <v/>
      </c>
      <c r="V27" s="476">
        <f t="shared" si="21"/>
        <v>46.999999999999993</v>
      </c>
      <c r="W27" s="23"/>
      <c r="X27" s="28"/>
      <c r="Y27" s="28"/>
      <c r="Z27" s="28"/>
      <c r="AA27" s="632"/>
      <c r="AB27" s="632"/>
      <c r="AC27" s="25"/>
      <c r="AD27" s="25"/>
      <c r="AE27" s="19">
        <f t="shared" si="8"/>
        <v>-82.553191489361552</v>
      </c>
      <c r="AF27" s="475">
        <f t="shared" si="9"/>
        <v>0.95872340425531921</v>
      </c>
      <c r="AG27" s="637"/>
    </row>
    <row r="28" spans="1:33" ht="15.75" customHeight="1">
      <c r="A28" s="656" t="s">
        <v>2486</v>
      </c>
      <c r="B28" s="42" t="s">
        <v>92</v>
      </c>
      <c r="C28" s="679" t="s">
        <v>420</v>
      </c>
      <c r="D28" s="680"/>
      <c r="E28" s="42">
        <v>58.17</v>
      </c>
      <c r="F28" s="478">
        <v>2514</v>
      </c>
      <c r="G28" s="473">
        <f t="shared" si="19"/>
        <v>146239.38</v>
      </c>
      <c r="H28" s="37" t="s">
        <v>91</v>
      </c>
      <c r="I28" s="474">
        <v>13</v>
      </c>
      <c r="J28" s="39">
        <v>2000</v>
      </c>
      <c r="K28" s="17">
        <f t="shared" si="1"/>
        <v>153.84615384615384</v>
      </c>
      <c r="L28" s="474">
        <v>13</v>
      </c>
      <c r="M28" s="18">
        <f t="shared" si="20"/>
        <v>1909.3670886075938</v>
      </c>
      <c r="N28" s="17">
        <f t="shared" si="3"/>
        <v>146.87439143135336</v>
      </c>
      <c r="O28" s="19">
        <f t="shared" si="4"/>
        <v>0</v>
      </c>
      <c r="P28" s="20">
        <f t="shared" si="5"/>
        <v>-6.9717624148004802</v>
      </c>
      <c r="Q28" s="475">
        <f t="shared" si="6"/>
        <v>0.95468354430379687</v>
      </c>
      <c r="R28" s="637"/>
      <c r="S28" s="40">
        <v>0.74444444444444446</v>
      </c>
      <c r="T28" s="40">
        <v>0.7993055555555556</v>
      </c>
      <c r="U28" s="473">
        <f t="shared" si="22"/>
        <v>4.9999999999999822</v>
      </c>
      <c r="V28" s="476">
        <f t="shared" si="21"/>
        <v>79.000000000000043</v>
      </c>
      <c r="W28" s="23"/>
      <c r="X28" s="28"/>
      <c r="Y28" s="136"/>
      <c r="Z28" s="136"/>
      <c r="AA28" s="627"/>
      <c r="AB28" s="628"/>
      <c r="AC28" s="25"/>
      <c r="AD28" s="25"/>
      <c r="AE28" s="19">
        <f t="shared" si="8"/>
        <v>-90.632911392406186</v>
      </c>
      <c r="AF28" s="475">
        <f t="shared" si="9"/>
        <v>0.95468354430379687</v>
      </c>
      <c r="AG28" s="637"/>
    </row>
    <row r="29" spans="1:33" ht="15.75" customHeight="1">
      <c r="A29" s="656" t="s">
        <v>2486</v>
      </c>
      <c r="B29" s="42" t="s">
        <v>92</v>
      </c>
      <c r="C29" s="482" t="s">
        <v>95</v>
      </c>
      <c r="D29" s="483"/>
      <c r="E29" s="42">
        <v>50.67</v>
      </c>
      <c r="F29" s="478">
        <v>1510</v>
      </c>
      <c r="G29" s="473">
        <f t="shared" si="19"/>
        <v>76511.7</v>
      </c>
      <c r="H29" s="37" t="s">
        <v>91</v>
      </c>
      <c r="I29" s="474">
        <v>15</v>
      </c>
      <c r="J29" s="39">
        <v>2000</v>
      </c>
      <c r="K29" s="17">
        <f t="shared" si="1"/>
        <v>133.33333333333334</v>
      </c>
      <c r="L29" s="474">
        <v>15</v>
      </c>
      <c r="M29" s="18">
        <f t="shared" si="20"/>
        <v>1927.6595744680853</v>
      </c>
      <c r="N29" s="17">
        <f t="shared" si="3"/>
        <v>128.51063829787236</v>
      </c>
      <c r="O29" s="19">
        <f t="shared" si="4"/>
        <v>0</v>
      </c>
      <c r="P29" s="20">
        <f t="shared" si="5"/>
        <v>-4.8226950354609812</v>
      </c>
      <c r="Q29" s="475">
        <f t="shared" si="6"/>
        <v>0.96382978723404267</v>
      </c>
      <c r="R29" s="637"/>
      <c r="S29" s="40">
        <v>0.80277777777777781</v>
      </c>
      <c r="T29" s="40">
        <v>0.8354166666666667</v>
      </c>
      <c r="U29" s="473">
        <f t="shared" si="22"/>
        <v>4.9999999999999822</v>
      </c>
      <c r="V29" s="476">
        <f t="shared" si="21"/>
        <v>46.999999999999993</v>
      </c>
      <c r="W29" s="23"/>
      <c r="X29" s="23"/>
      <c r="Y29" s="26"/>
      <c r="Z29" s="26"/>
      <c r="AA29" s="479"/>
      <c r="AB29" s="480"/>
      <c r="AC29" s="25"/>
      <c r="AD29" s="25"/>
      <c r="AE29" s="19">
        <f t="shared" si="8"/>
        <v>-72.340425531914661</v>
      </c>
      <c r="AF29" s="475">
        <f t="shared" si="9"/>
        <v>0.96382978723404267</v>
      </c>
      <c r="AG29" s="637"/>
    </row>
    <row r="30" spans="1:33" ht="15.75" customHeight="1">
      <c r="A30" s="656" t="s">
        <v>2487</v>
      </c>
      <c r="B30" s="42" t="s">
        <v>2483</v>
      </c>
      <c r="C30" s="638"/>
      <c r="D30" s="638"/>
      <c r="E30" s="481"/>
      <c r="F30" s="478"/>
      <c r="G30" s="473"/>
      <c r="H30" s="478"/>
      <c r="I30" s="29">
        <v>16.5</v>
      </c>
      <c r="J30" s="39">
        <v>2000</v>
      </c>
      <c r="K30" s="17">
        <f t="shared" si="1"/>
        <v>121.21212121212122</v>
      </c>
      <c r="L30" s="29">
        <v>16.5</v>
      </c>
      <c r="M30" s="18">
        <f>AVERAGE(M22:M29)</f>
        <v>1918.5872472975673</v>
      </c>
      <c r="N30" s="17">
        <f t="shared" si="3"/>
        <v>116.27801498773135</v>
      </c>
      <c r="O30" s="19">
        <f t="shared" si="4"/>
        <v>0</v>
      </c>
      <c r="P30" s="20">
        <f t="shared" si="5"/>
        <v>-4.9341062243898648</v>
      </c>
      <c r="Q30" s="475">
        <f t="shared" si="6"/>
        <v>0.95929362364878357</v>
      </c>
      <c r="R30" s="637"/>
      <c r="S30" s="40"/>
      <c r="T30" s="40"/>
      <c r="U30" s="17"/>
      <c r="V30" s="476"/>
      <c r="W30" s="17"/>
      <c r="X30" s="17"/>
      <c r="Y30" s="30">
        <f>SUM(Y22:Y29)</f>
        <v>0</v>
      </c>
      <c r="Z30" s="30">
        <f>SUM(Z22:Z29)</f>
        <v>0</v>
      </c>
      <c r="AA30" s="631"/>
      <c r="AB30" s="631"/>
      <c r="AC30" s="30">
        <v>8</v>
      </c>
      <c r="AD30" s="30">
        <f>SUM(AD22:AD29)</f>
        <v>0</v>
      </c>
      <c r="AE30" s="19">
        <f t="shared" si="8"/>
        <v>-81.412752702432726</v>
      </c>
      <c r="AF30" s="475">
        <f t="shared" si="9"/>
        <v>0.95929362364878368</v>
      </c>
      <c r="AG30" s="637"/>
    </row>
    <row r="31" spans="1:33" ht="15.75" customHeight="1">
      <c r="A31" s="654" t="s">
        <v>62</v>
      </c>
      <c r="B31" s="42" t="s">
        <v>116</v>
      </c>
      <c r="C31" s="653" t="s">
        <v>117</v>
      </c>
      <c r="D31" s="653"/>
      <c r="E31" s="42">
        <v>31.29</v>
      </c>
      <c r="F31" s="478">
        <v>4800</v>
      </c>
      <c r="G31" s="473">
        <f t="shared" ref="G31:G36" si="23">E31*F31</f>
        <v>150192</v>
      </c>
      <c r="H31" s="37">
        <v>2</v>
      </c>
      <c r="I31" s="474">
        <v>18</v>
      </c>
      <c r="J31" s="39">
        <v>2400</v>
      </c>
      <c r="K31" s="17">
        <f t="shared" si="1"/>
        <v>133.33333333333334</v>
      </c>
      <c r="L31" s="474">
        <v>18</v>
      </c>
      <c r="M31" s="18">
        <f t="shared" ref="M31:M36" si="24">F31/V31*60</f>
        <v>2285.7142857142858</v>
      </c>
      <c r="N31" s="17">
        <f t="shared" si="3"/>
        <v>126.98412698412699</v>
      </c>
      <c r="O31" s="19">
        <f t="shared" si="4"/>
        <v>0</v>
      </c>
      <c r="P31" s="20">
        <f t="shared" si="5"/>
        <v>-6.3492063492063551</v>
      </c>
      <c r="Q31" s="475">
        <f t="shared" si="6"/>
        <v>0.95238095238095233</v>
      </c>
      <c r="R31" s="637">
        <f>Q37</f>
        <v>0.95542947814736745</v>
      </c>
      <c r="S31" s="40">
        <v>8.3333333333333329E-2</v>
      </c>
      <c r="T31" s="40">
        <v>0.17083333333333334</v>
      </c>
      <c r="U31" s="473"/>
      <c r="V31" s="476">
        <f t="shared" ref="V31:V36" si="25">(T31-S31)*24*60</f>
        <v>126</v>
      </c>
      <c r="W31" s="23">
        <f>T31</f>
        <v>0.17083333333333334</v>
      </c>
      <c r="X31" s="23">
        <f>S32</f>
        <v>0.19097222222222224</v>
      </c>
      <c r="Y31" s="23"/>
      <c r="Z31" s="23"/>
      <c r="AA31" s="632"/>
      <c r="AB31" s="632"/>
      <c r="AC31" s="25">
        <v>6</v>
      </c>
      <c r="AD31" s="25"/>
      <c r="AE31" s="19">
        <f t="shared" si="8"/>
        <v>-114.28571428571422</v>
      </c>
      <c r="AF31" s="475">
        <f t="shared" si="9"/>
        <v>0.95238095238095244</v>
      </c>
      <c r="AG31" s="637">
        <f>AF37</f>
        <v>0.95542947814736745</v>
      </c>
    </row>
    <row r="32" spans="1:33" ht="15.75" customHeight="1">
      <c r="A32" s="654" t="s">
        <v>2488</v>
      </c>
      <c r="B32" s="42" t="s">
        <v>116</v>
      </c>
      <c r="C32" s="653" t="s">
        <v>118</v>
      </c>
      <c r="D32" s="653"/>
      <c r="E32" s="42">
        <v>26.37</v>
      </c>
      <c r="F32" s="478">
        <v>6479</v>
      </c>
      <c r="G32" s="473">
        <f t="shared" si="23"/>
        <v>170851.23</v>
      </c>
      <c r="H32" s="37" t="s">
        <v>91</v>
      </c>
      <c r="I32" s="474">
        <v>18</v>
      </c>
      <c r="J32" s="39">
        <v>2400</v>
      </c>
      <c r="K32" s="17">
        <f t="shared" si="1"/>
        <v>133.33333333333334</v>
      </c>
      <c r="L32" s="474">
        <v>18</v>
      </c>
      <c r="M32" s="18">
        <f t="shared" si="24"/>
        <v>2286.7058823529414</v>
      </c>
      <c r="N32" s="17">
        <f t="shared" si="3"/>
        <v>127.03921568627453</v>
      </c>
      <c r="O32" s="19">
        <f t="shared" si="4"/>
        <v>0</v>
      </c>
      <c r="P32" s="20">
        <f t="shared" si="5"/>
        <v>-6.2941176470588118</v>
      </c>
      <c r="Q32" s="475">
        <f t="shared" si="6"/>
        <v>0.9527941176470589</v>
      </c>
      <c r="R32" s="637"/>
      <c r="S32" s="40">
        <v>0.19097222222222224</v>
      </c>
      <c r="T32" s="40">
        <v>0.30902777777777779</v>
      </c>
      <c r="U32" s="473">
        <f t="shared" ref="U32:U36" si="26">(S32-T31)*24*60</f>
        <v>29.000000000000018</v>
      </c>
      <c r="V32" s="476">
        <f t="shared" si="25"/>
        <v>169.99999999999997</v>
      </c>
      <c r="W32" s="23"/>
      <c r="X32" s="23"/>
      <c r="Y32" s="23"/>
      <c r="Z32" s="23"/>
      <c r="AA32" s="632"/>
      <c r="AB32" s="632"/>
      <c r="AC32" s="25"/>
      <c r="AD32" s="25"/>
      <c r="AE32" s="19">
        <f t="shared" si="8"/>
        <v>-113.29411764705856</v>
      </c>
      <c r="AF32" s="475">
        <f t="shared" si="9"/>
        <v>0.9527941176470589</v>
      </c>
      <c r="AG32" s="637"/>
    </row>
    <row r="33" spans="1:33" ht="15.75" customHeight="1">
      <c r="A33" s="654" t="s">
        <v>2489</v>
      </c>
      <c r="B33" s="42" t="s">
        <v>116</v>
      </c>
      <c r="C33" s="653" t="s">
        <v>124</v>
      </c>
      <c r="D33" s="653"/>
      <c r="E33" s="42">
        <v>24.43</v>
      </c>
      <c r="F33" s="478">
        <v>6629</v>
      </c>
      <c r="G33" s="473">
        <f t="shared" si="23"/>
        <v>161946.47</v>
      </c>
      <c r="H33" s="37" t="s">
        <v>91</v>
      </c>
      <c r="I33" s="474">
        <v>14</v>
      </c>
      <c r="J33" s="39">
        <v>2400</v>
      </c>
      <c r="K33" s="17">
        <f t="shared" si="1"/>
        <v>171.42857142857142</v>
      </c>
      <c r="L33" s="474">
        <v>14</v>
      </c>
      <c r="M33" s="18">
        <f t="shared" si="24"/>
        <v>2285.8620689655172</v>
      </c>
      <c r="N33" s="17">
        <f t="shared" si="3"/>
        <v>163.27586206896552</v>
      </c>
      <c r="O33" s="19">
        <f t="shared" si="4"/>
        <v>0</v>
      </c>
      <c r="P33" s="20">
        <f t="shared" si="5"/>
        <v>-8.1527093596058933</v>
      </c>
      <c r="Q33" s="475">
        <f t="shared" si="6"/>
        <v>0.95244252873563229</v>
      </c>
      <c r="R33" s="637"/>
      <c r="S33" s="40">
        <v>0.31319444444444444</v>
      </c>
      <c r="T33" s="40">
        <v>0.43402777777777779</v>
      </c>
      <c r="U33" s="473">
        <f t="shared" si="26"/>
        <v>5.9999999999999787</v>
      </c>
      <c r="V33" s="476">
        <f t="shared" si="25"/>
        <v>174.00000000000003</v>
      </c>
      <c r="W33" s="23"/>
      <c r="X33" s="23"/>
      <c r="Y33" s="23"/>
      <c r="Z33" s="23"/>
      <c r="AA33" s="632"/>
      <c r="AB33" s="632"/>
      <c r="AC33" s="25"/>
      <c r="AD33" s="25"/>
      <c r="AE33" s="19">
        <f t="shared" si="8"/>
        <v>-114.13793103448279</v>
      </c>
      <c r="AF33" s="475">
        <f t="shared" si="9"/>
        <v>0.95244252873563218</v>
      </c>
      <c r="AG33" s="637"/>
    </row>
    <row r="34" spans="1:33" ht="15.75" customHeight="1">
      <c r="A34" s="654" t="s">
        <v>62</v>
      </c>
      <c r="B34" s="42" t="s">
        <v>116</v>
      </c>
      <c r="C34" s="653" t="s">
        <v>147</v>
      </c>
      <c r="D34" s="653"/>
      <c r="E34" s="42">
        <v>25.98</v>
      </c>
      <c r="F34" s="478">
        <v>2378</v>
      </c>
      <c r="G34" s="473">
        <f t="shared" si="23"/>
        <v>61780.44</v>
      </c>
      <c r="H34" s="37" t="s">
        <v>91</v>
      </c>
      <c r="I34" s="474">
        <v>17</v>
      </c>
      <c r="J34" s="39">
        <v>2400</v>
      </c>
      <c r="K34" s="17">
        <f t="shared" si="1"/>
        <v>141.1764705882353</v>
      </c>
      <c r="L34" s="474">
        <v>17</v>
      </c>
      <c r="M34" s="18">
        <f t="shared" si="24"/>
        <v>2301.2903225806444</v>
      </c>
      <c r="N34" s="17">
        <f t="shared" si="3"/>
        <v>135.37001897533202</v>
      </c>
      <c r="O34" s="19">
        <f t="shared" si="4"/>
        <v>0</v>
      </c>
      <c r="P34" s="20">
        <f t="shared" si="5"/>
        <v>-5.8064516129032882</v>
      </c>
      <c r="Q34" s="475">
        <f t="shared" si="6"/>
        <v>0.95887096774193503</v>
      </c>
      <c r="R34" s="637"/>
      <c r="S34" s="40">
        <v>0.4375</v>
      </c>
      <c r="T34" s="40">
        <v>0.48055555555555557</v>
      </c>
      <c r="U34" s="473">
        <f t="shared" si="26"/>
        <v>4.9999999999999822</v>
      </c>
      <c r="V34" s="476">
        <f t="shared" si="25"/>
        <v>62.000000000000021</v>
      </c>
      <c r="W34" s="23"/>
      <c r="X34" s="23"/>
      <c r="Y34" s="23"/>
      <c r="Z34" s="23"/>
      <c r="AA34" s="632"/>
      <c r="AB34" s="632"/>
      <c r="AC34" s="25"/>
      <c r="AD34" s="25"/>
      <c r="AE34" s="19">
        <f t="shared" si="8"/>
        <v>-98.709677419355558</v>
      </c>
      <c r="AF34" s="475">
        <f t="shared" si="9"/>
        <v>0.95887096774193514</v>
      </c>
      <c r="AG34" s="637"/>
    </row>
    <row r="35" spans="1:33" ht="15.75" customHeight="1">
      <c r="A35" s="654" t="s">
        <v>2490</v>
      </c>
      <c r="B35" s="42" t="s">
        <v>116</v>
      </c>
      <c r="C35" s="653" t="s">
        <v>120</v>
      </c>
      <c r="D35" s="653"/>
      <c r="E35" s="42">
        <v>25.99</v>
      </c>
      <c r="F35" s="478">
        <v>1192</v>
      </c>
      <c r="G35" s="473">
        <f t="shared" si="23"/>
        <v>30980.079999999998</v>
      </c>
      <c r="H35" s="37" t="s">
        <v>91</v>
      </c>
      <c r="I35" s="474">
        <v>18</v>
      </c>
      <c r="J35" s="39">
        <v>2400</v>
      </c>
      <c r="K35" s="17">
        <f t="shared" si="1"/>
        <v>133.33333333333334</v>
      </c>
      <c r="L35" s="474">
        <v>18</v>
      </c>
      <c r="M35" s="18">
        <f t="shared" si="24"/>
        <v>2307.0967741935506</v>
      </c>
      <c r="N35" s="17">
        <f t="shared" si="3"/>
        <v>128.17204301075282</v>
      </c>
      <c r="O35" s="19">
        <f t="shared" si="4"/>
        <v>0</v>
      </c>
      <c r="P35" s="20">
        <f t="shared" si="5"/>
        <v>-5.1612903225805269</v>
      </c>
      <c r="Q35" s="475">
        <f t="shared" si="6"/>
        <v>0.96129032258064606</v>
      </c>
      <c r="R35" s="637"/>
      <c r="S35" s="40">
        <v>0.48472222222222222</v>
      </c>
      <c r="T35" s="40">
        <v>0.50624999999999998</v>
      </c>
      <c r="U35" s="473">
        <f t="shared" si="26"/>
        <v>5.9999999999999787</v>
      </c>
      <c r="V35" s="476">
        <f t="shared" si="25"/>
        <v>30.999999999999972</v>
      </c>
      <c r="W35" s="23">
        <f>T35</f>
        <v>0.50624999999999998</v>
      </c>
      <c r="X35" s="23">
        <f>S36</f>
        <v>0.54791666666666661</v>
      </c>
      <c r="Y35" s="23"/>
      <c r="Z35" s="23"/>
      <c r="AA35" s="632"/>
      <c r="AB35" s="632"/>
      <c r="AC35" s="25"/>
      <c r="AD35" s="25"/>
      <c r="AE35" s="19">
        <f t="shared" si="8"/>
        <v>-92.903225806449427</v>
      </c>
      <c r="AF35" s="475">
        <f t="shared" si="9"/>
        <v>0.96129032258064606</v>
      </c>
      <c r="AG35" s="637"/>
    </row>
    <row r="36" spans="1:33" ht="15.75" customHeight="1">
      <c r="A36" s="654" t="s">
        <v>62</v>
      </c>
      <c r="B36" s="42" t="s">
        <v>116</v>
      </c>
      <c r="C36" s="653" t="s">
        <v>117</v>
      </c>
      <c r="D36" s="653"/>
      <c r="E36" s="42">
        <v>31.29</v>
      </c>
      <c r="F36" s="478">
        <v>3781</v>
      </c>
      <c r="G36" s="473">
        <f t="shared" si="23"/>
        <v>118307.48999999999</v>
      </c>
      <c r="H36" s="37" t="s">
        <v>91</v>
      </c>
      <c r="I36" s="474">
        <v>18</v>
      </c>
      <c r="J36" s="39">
        <v>2400</v>
      </c>
      <c r="K36" s="17">
        <f t="shared" si="1"/>
        <v>133.33333333333334</v>
      </c>
      <c r="L36" s="474">
        <v>18</v>
      </c>
      <c r="M36" s="18">
        <f t="shared" si="24"/>
        <v>2291.5151515151524</v>
      </c>
      <c r="N36" s="17">
        <f t="shared" si="3"/>
        <v>127.30639730639736</v>
      </c>
      <c r="O36" s="19">
        <f t="shared" si="4"/>
        <v>0</v>
      </c>
      <c r="P36" s="20">
        <f t="shared" si="5"/>
        <v>-6.0269360269359851</v>
      </c>
      <c r="Q36" s="475">
        <f t="shared" si="6"/>
        <v>0.95479797979798009</v>
      </c>
      <c r="R36" s="637"/>
      <c r="S36" s="40">
        <v>0.54791666666666661</v>
      </c>
      <c r="T36" s="40">
        <v>0.61666666666666659</v>
      </c>
      <c r="U36" s="473">
        <f t="shared" si="26"/>
        <v>59.999999999999943</v>
      </c>
      <c r="V36" s="476">
        <f t="shared" si="25"/>
        <v>98.999999999999972</v>
      </c>
      <c r="W36" s="23"/>
      <c r="X36" s="23"/>
      <c r="Y36" s="23"/>
      <c r="Z36" s="23"/>
      <c r="AA36" s="632"/>
      <c r="AB36" s="632"/>
      <c r="AC36" s="25"/>
      <c r="AD36" s="25"/>
      <c r="AE36" s="19">
        <f t="shared" si="8"/>
        <v>-108.48484848484759</v>
      </c>
      <c r="AF36" s="475">
        <f t="shared" si="9"/>
        <v>0.9547979797979802</v>
      </c>
      <c r="AG36" s="637"/>
    </row>
    <row r="37" spans="1:33" ht="15.75" customHeight="1">
      <c r="A37" s="654" t="s">
        <v>2491</v>
      </c>
      <c r="B37" s="42" t="s">
        <v>52</v>
      </c>
      <c r="C37" s="638"/>
      <c r="D37" s="638"/>
      <c r="E37" s="481"/>
      <c r="F37" s="478"/>
      <c r="G37" s="473"/>
      <c r="H37" s="478"/>
      <c r="I37" s="29">
        <v>17.166666666666668</v>
      </c>
      <c r="J37" s="39">
        <v>2400</v>
      </c>
      <c r="K37" s="17">
        <f t="shared" si="1"/>
        <v>139.80582524271844</v>
      </c>
      <c r="L37" s="29">
        <v>17.166666666666668</v>
      </c>
      <c r="M37" s="18">
        <f>AVERAGE(M31:M36)</f>
        <v>2293.030747553682</v>
      </c>
      <c r="N37" s="17">
        <f t="shared" si="3"/>
        <v>133.57460665361253</v>
      </c>
      <c r="O37" s="19">
        <f t="shared" si="4"/>
        <v>0</v>
      </c>
      <c r="P37" s="20">
        <f t="shared" si="5"/>
        <v>-6.2312185891059073</v>
      </c>
      <c r="Q37" s="475">
        <f t="shared" si="6"/>
        <v>0.95542947814736745</v>
      </c>
      <c r="R37" s="637"/>
      <c r="S37" s="40"/>
      <c r="T37" s="40"/>
      <c r="U37" s="473"/>
      <c r="V37" s="476"/>
      <c r="W37" s="473"/>
      <c r="X37" s="473"/>
      <c r="Y37" s="30">
        <f>SUM(Y31:Y36)</f>
        <v>0</v>
      </c>
      <c r="Z37" s="30">
        <f>SUM(Z31:Z36)</f>
        <v>0</v>
      </c>
      <c r="AA37" s="631"/>
      <c r="AB37" s="631"/>
      <c r="AC37" s="30">
        <v>6</v>
      </c>
      <c r="AD37" s="30">
        <f>SUM(AD31:AD36)</f>
        <v>0</v>
      </c>
      <c r="AE37" s="19">
        <f t="shared" si="8"/>
        <v>-106.96925244631802</v>
      </c>
      <c r="AF37" s="475">
        <f t="shared" si="9"/>
        <v>0.95542947814736745</v>
      </c>
      <c r="AG37" s="637"/>
    </row>
    <row r="38" spans="1:33" ht="15.75" customHeight="1">
      <c r="A38" s="651" t="s">
        <v>67</v>
      </c>
      <c r="B38" s="42" t="s">
        <v>116</v>
      </c>
      <c r="C38" s="633" t="s">
        <v>123</v>
      </c>
      <c r="D38" s="633"/>
      <c r="E38" s="42">
        <v>26.18</v>
      </c>
      <c r="F38" s="478">
        <v>5733</v>
      </c>
      <c r="G38" s="473">
        <f t="shared" ref="G38:G44" si="27">E38*F38</f>
        <v>150089.94</v>
      </c>
      <c r="H38" s="37" t="s">
        <v>91</v>
      </c>
      <c r="I38" s="474">
        <v>20</v>
      </c>
      <c r="J38" s="39">
        <v>2400</v>
      </c>
      <c r="K38" s="17">
        <f t="shared" si="1"/>
        <v>120</v>
      </c>
      <c r="L38" s="474">
        <v>20</v>
      </c>
      <c r="M38" s="18">
        <f t="shared" ref="M38:M44" si="28">F38/V38*60</f>
        <v>2293.1999999999998</v>
      </c>
      <c r="N38" s="17">
        <f t="shared" si="3"/>
        <v>114.66</v>
      </c>
      <c r="O38" s="19">
        <f t="shared" si="4"/>
        <v>0</v>
      </c>
      <c r="P38" s="20">
        <f t="shared" si="5"/>
        <v>-5.3400000000000034</v>
      </c>
      <c r="Q38" s="475">
        <f t="shared" si="6"/>
        <v>0.95550000000000002</v>
      </c>
      <c r="R38" s="637">
        <f>Q45</f>
        <v>0.95496115684380489</v>
      </c>
      <c r="S38" s="40">
        <v>8.3333333333333329E-2</v>
      </c>
      <c r="T38" s="40">
        <v>0.1875</v>
      </c>
      <c r="U38" s="473"/>
      <c r="V38" s="476">
        <f t="shared" ref="V38:V44" si="29">(T38-S38)*24*60</f>
        <v>150</v>
      </c>
      <c r="W38" s="28">
        <f>T38</f>
        <v>0.1875</v>
      </c>
      <c r="X38" s="28">
        <f>S39</f>
        <v>0.20694444444444443</v>
      </c>
      <c r="Y38" s="28"/>
      <c r="Z38" s="28"/>
      <c r="AA38" s="632"/>
      <c r="AB38" s="632"/>
      <c r="AC38" s="25">
        <v>7</v>
      </c>
      <c r="AD38" s="25"/>
      <c r="AE38" s="19">
        <f t="shared" si="8"/>
        <v>-106.80000000000018</v>
      </c>
      <c r="AF38" s="475">
        <f t="shared" si="9"/>
        <v>0.9554999999999999</v>
      </c>
      <c r="AG38" s="637">
        <f>AF45</f>
        <v>0.95496115684380489</v>
      </c>
    </row>
    <row r="39" spans="1:33" ht="15.75" customHeight="1">
      <c r="A39" s="651" t="s">
        <v>67</v>
      </c>
      <c r="B39" s="42" t="s">
        <v>116</v>
      </c>
      <c r="C39" s="633" t="s">
        <v>150</v>
      </c>
      <c r="D39" s="633"/>
      <c r="E39" s="42">
        <v>23.89</v>
      </c>
      <c r="F39" s="478">
        <v>1714</v>
      </c>
      <c r="G39" s="473">
        <f t="shared" si="27"/>
        <v>40947.46</v>
      </c>
      <c r="H39" s="37" t="s">
        <v>91</v>
      </c>
      <c r="I39" s="474">
        <v>13</v>
      </c>
      <c r="J39" s="39">
        <v>2400</v>
      </c>
      <c r="K39" s="17">
        <f t="shared" si="1"/>
        <v>184.61538461538461</v>
      </c>
      <c r="L39" s="474">
        <v>13</v>
      </c>
      <c r="M39" s="18">
        <f t="shared" si="28"/>
        <v>2285.3333333333335</v>
      </c>
      <c r="N39" s="17">
        <f t="shared" si="3"/>
        <v>175.7948717948718</v>
      </c>
      <c r="O39" s="19">
        <f t="shared" si="4"/>
        <v>0</v>
      </c>
      <c r="P39" s="20">
        <f t="shared" si="5"/>
        <v>-8.8205128205128176</v>
      </c>
      <c r="Q39" s="475">
        <f t="shared" si="6"/>
        <v>0.95222222222222219</v>
      </c>
      <c r="R39" s="637"/>
      <c r="S39" s="40">
        <v>0.20694444444444443</v>
      </c>
      <c r="T39" s="40">
        <v>0.23819444444444443</v>
      </c>
      <c r="U39" s="473">
        <f t="shared" ref="U39:U44" si="30">(S39-T38)*24*60</f>
        <v>27.999999999999979</v>
      </c>
      <c r="V39" s="476">
        <f t="shared" si="29"/>
        <v>45</v>
      </c>
      <c r="W39" s="473"/>
      <c r="X39" s="473"/>
      <c r="Y39" s="473"/>
      <c r="Z39" s="473"/>
      <c r="AA39" s="632"/>
      <c r="AB39" s="632"/>
      <c r="AC39" s="25"/>
      <c r="AD39" s="25"/>
      <c r="AE39" s="19">
        <f t="shared" si="8"/>
        <v>-114.66666666666652</v>
      </c>
      <c r="AF39" s="475">
        <f t="shared" si="9"/>
        <v>0.9522222222222223</v>
      </c>
      <c r="AG39" s="637"/>
    </row>
    <row r="40" spans="1:33">
      <c r="A40" s="652" t="s">
        <v>2492</v>
      </c>
      <c r="B40" s="42" t="s">
        <v>116</v>
      </c>
      <c r="C40" s="633" t="s">
        <v>119</v>
      </c>
      <c r="D40" s="633"/>
      <c r="E40" s="42">
        <v>26.18</v>
      </c>
      <c r="F40" s="478">
        <v>4700</v>
      </c>
      <c r="G40" s="473">
        <f t="shared" si="27"/>
        <v>123046</v>
      </c>
      <c r="H40" s="37">
        <v>2</v>
      </c>
      <c r="I40" s="474">
        <v>18</v>
      </c>
      <c r="J40" s="39">
        <v>2400</v>
      </c>
      <c r="K40" s="17">
        <f t="shared" si="1"/>
        <v>133.33333333333334</v>
      </c>
      <c r="L40" s="474">
        <v>18</v>
      </c>
      <c r="M40" s="18">
        <f t="shared" si="28"/>
        <v>2292.6829268292686</v>
      </c>
      <c r="N40" s="17">
        <f t="shared" si="3"/>
        <v>127.37127371273715</v>
      </c>
      <c r="O40" s="19">
        <f t="shared" si="4"/>
        <v>0</v>
      </c>
      <c r="P40" s="20">
        <f t="shared" si="5"/>
        <v>-5.9620596205961931</v>
      </c>
      <c r="Q40" s="475">
        <f t="shared" si="6"/>
        <v>0.9552845528455286</v>
      </c>
      <c r="R40" s="637"/>
      <c r="S40" s="40">
        <v>0.24305555555555555</v>
      </c>
      <c r="T40" s="40">
        <v>0.32847222222222222</v>
      </c>
      <c r="U40" s="473">
        <f t="shared" si="30"/>
        <v>7.0000000000000151</v>
      </c>
      <c r="V40" s="476">
        <f t="shared" si="29"/>
        <v>122.99999999999999</v>
      </c>
      <c r="W40" s="473"/>
      <c r="X40" s="473"/>
      <c r="Y40" s="473"/>
      <c r="Z40" s="473"/>
      <c r="AA40" s="632"/>
      <c r="AB40" s="632"/>
      <c r="AC40" s="25"/>
      <c r="AD40" s="25"/>
      <c r="AE40" s="19">
        <f t="shared" si="8"/>
        <v>-107.31707317073142</v>
      </c>
      <c r="AF40" s="475">
        <f t="shared" si="9"/>
        <v>0.9552845528455286</v>
      </c>
      <c r="AG40" s="637"/>
    </row>
    <row r="41" spans="1:33">
      <c r="A41" s="652" t="s">
        <v>67</v>
      </c>
      <c r="B41" s="42" t="s">
        <v>116</v>
      </c>
      <c r="C41" s="633" t="s">
        <v>121</v>
      </c>
      <c r="D41" s="633"/>
      <c r="E41" s="42">
        <v>25.99</v>
      </c>
      <c r="F41" s="478">
        <v>3672</v>
      </c>
      <c r="G41" s="473">
        <f t="shared" si="27"/>
        <v>95435.28</v>
      </c>
      <c r="H41" s="37" t="s">
        <v>91</v>
      </c>
      <c r="I41" s="474">
        <v>14</v>
      </c>
      <c r="J41" s="39">
        <v>2400</v>
      </c>
      <c r="K41" s="17">
        <f t="shared" si="1"/>
        <v>171.42857142857142</v>
      </c>
      <c r="L41" s="474">
        <v>14</v>
      </c>
      <c r="M41" s="18">
        <f t="shared" si="28"/>
        <v>2295.0000000000009</v>
      </c>
      <c r="N41" s="17">
        <f t="shared" si="3"/>
        <v>163.9285714285715</v>
      </c>
      <c r="O41" s="19">
        <f t="shared" si="4"/>
        <v>0</v>
      </c>
      <c r="P41" s="20">
        <f t="shared" si="5"/>
        <v>-7.4999999999999147</v>
      </c>
      <c r="Q41" s="475">
        <f t="shared" si="6"/>
        <v>0.95625000000000049</v>
      </c>
      <c r="R41" s="637"/>
      <c r="S41" s="40">
        <v>0.33402777777777776</v>
      </c>
      <c r="T41" s="40">
        <v>0.40069444444444441</v>
      </c>
      <c r="U41" s="473">
        <f t="shared" si="30"/>
        <v>7.9999999999999716</v>
      </c>
      <c r="V41" s="476">
        <f t="shared" si="29"/>
        <v>95.999999999999972</v>
      </c>
      <c r="W41" s="23"/>
      <c r="X41" s="23"/>
      <c r="Y41" s="23"/>
      <c r="Z41" s="23"/>
      <c r="AA41" s="632"/>
      <c r="AB41" s="632"/>
      <c r="AC41" s="25"/>
      <c r="AD41" s="25"/>
      <c r="AE41" s="19">
        <f t="shared" si="8"/>
        <v>-104.99999999999909</v>
      </c>
      <c r="AF41" s="475">
        <f t="shared" si="9"/>
        <v>0.95625000000000038</v>
      </c>
      <c r="AG41" s="637"/>
    </row>
    <row r="42" spans="1:33">
      <c r="A42" s="652" t="s">
        <v>2493</v>
      </c>
      <c r="B42" s="42" t="s">
        <v>116</v>
      </c>
      <c r="C42" s="633" t="s">
        <v>126</v>
      </c>
      <c r="D42" s="633"/>
      <c r="E42" s="42">
        <v>34.1</v>
      </c>
      <c r="F42" s="478">
        <v>3400</v>
      </c>
      <c r="G42" s="473">
        <f t="shared" si="27"/>
        <v>115940</v>
      </c>
      <c r="H42" s="37">
        <v>2</v>
      </c>
      <c r="I42" s="474">
        <v>17</v>
      </c>
      <c r="J42" s="39">
        <v>1600</v>
      </c>
      <c r="K42" s="17">
        <f t="shared" si="1"/>
        <v>94.117647058823536</v>
      </c>
      <c r="L42" s="474">
        <v>17</v>
      </c>
      <c r="M42" s="18">
        <f t="shared" si="28"/>
        <v>1522.3880597014925</v>
      </c>
      <c r="N42" s="17">
        <f t="shared" si="3"/>
        <v>89.552238805970148</v>
      </c>
      <c r="O42" s="19">
        <f t="shared" si="4"/>
        <v>0</v>
      </c>
      <c r="P42" s="20">
        <f t="shared" si="5"/>
        <v>-4.5654082528533877</v>
      </c>
      <c r="Q42" s="475">
        <f t="shared" si="6"/>
        <v>0.95149253731343275</v>
      </c>
      <c r="R42" s="637"/>
      <c r="S42" s="40">
        <v>0.4055555555555555</v>
      </c>
      <c r="T42" s="40">
        <v>0.49861111111111106</v>
      </c>
      <c r="U42" s="473">
        <f t="shared" si="30"/>
        <v>6.9999999999999751</v>
      </c>
      <c r="V42" s="476">
        <f t="shared" si="29"/>
        <v>134</v>
      </c>
      <c r="W42" s="23">
        <f>T42</f>
        <v>0.49861111111111106</v>
      </c>
      <c r="X42" s="23">
        <f>S43</f>
        <v>0.53680555555555554</v>
      </c>
      <c r="Y42" s="23"/>
      <c r="Z42" s="23"/>
      <c r="AA42" s="632"/>
      <c r="AB42" s="632"/>
      <c r="AC42" s="25"/>
      <c r="AD42" s="25"/>
      <c r="AE42" s="19">
        <f t="shared" si="8"/>
        <v>-77.611940298507534</v>
      </c>
      <c r="AF42" s="475">
        <f t="shared" si="9"/>
        <v>0.95149253731343275</v>
      </c>
      <c r="AG42" s="637"/>
    </row>
    <row r="43" spans="1:33">
      <c r="A43" s="652" t="s">
        <v>67</v>
      </c>
      <c r="B43" s="42" t="s">
        <v>116</v>
      </c>
      <c r="C43" s="633" t="s">
        <v>119</v>
      </c>
      <c r="D43" s="633"/>
      <c r="E43" s="42">
        <v>26.18</v>
      </c>
      <c r="F43" s="478">
        <v>3740</v>
      </c>
      <c r="G43" s="473">
        <f t="shared" si="27"/>
        <v>97913.2</v>
      </c>
      <c r="H43" s="37" t="s">
        <v>91</v>
      </c>
      <c r="I43" s="474">
        <v>18</v>
      </c>
      <c r="J43" s="39">
        <v>2400</v>
      </c>
      <c r="K43" s="17">
        <f t="shared" si="1"/>
        <v>133.33333333333334</v>
      </c>
      <c r="L43" s="474">
        <v>18</v>
      </c>
      <c r="M43" s="18">
        <f t="shared" si="28"/>
        <v>2289.7959183673479</v>
      </c>
      <c r="N43" s="17">
        <f t="shared" si="3"/>
        <v>127.21088435374155</v>
      </c>
      <c r="O43" s="19">
        <f t="shared" si="4"/>
        <v>0</v>
      </c>
      <c r="P43" s="20">
        <f t="shared" si="5"/>
        <v>-6.1224489795917947</v>
      </c>
      <c r="Q43" s="475">
        <f t="shared" si="6"/>
        <v>0.95408163265306156</v>
      </c>
      <c r="R43" s="637"/>
      <c r="S43" s="40">
        <v>0.53680555555555554</v>
      </c>
      <c r="T43" s="40">
        <v>0.60486111111111107</v>
      </c>
      <c r="U43" s="473">
        <f t="shared" si="30"/>
        <v>55.000000000000043</v>
      </c>
      <c r="V43" s="476">
        <f t="shared" si="29"/>
        <v>97.999999999999972</v>
      </c>
      <c r="W43" s="23"/>
      <c r="X43" s="23"/>
      <c r="Y43" s="23"/>
      <c r="Z43" s="23"/>
      <c r="AA43" s="632"/>
      <c r="AB43" s="632"/>
      <c r="AC43" s="25"/>
      <c r="AD43" s="25"/>
      <c r="AE43" s="19">
        <f t="shared" si="8"/>
        <v>-110.20408163265211</v>
      </c>
      <c r="AF43" s="475">
        <f t="shared" si="9"/>
        <v>0.95408163265306167</v>
      </c>
      <c r="AG43" s="637"/>
    </row>
    <row r="44" spans="1:33">
      <c r="A44" s="652" t="s">
        <v>67</v>
      </c>
      <c r="B44" s="42" t="s">
        <v>116</v>
      </c>
      <c r="C44" s="633" t="s">
        <v>126</v>
      </c>
      <c r="D44" s="633"/>
      <c r="E44" s="42">
        <v>34.1</v>
      </c>
      <c r="F44" s="478">
        <v>2741</v>
      </c>
      <c r="G44" s="473">
        <f t="shared" si="27"/>
        <v>93468.1</v>
      </c>
      <c r="H44" s="37" t="s">
        <v>91</v>
      </c>
      <c r="I44" s="474">
        <v>17</v>
      </c>
      <c r="J44" s="39">
        <v>1600</v>
      </c>
      <c r="K44" s="17">
        <f t="shared" si="1"/>
        <v>94.117647058823536</v>
      </c>
      <c r="L44" s="474">
        <v>17</v>
      </c>
      <c r="M44" s="18">
        <f t="shared" si="28"/>
        <v>1537.0093457943933</v>
      </c>
      <c r="N44" s="17">
        <f t="shared" si="3"/>
        <v>90.412314458493725</v>
      </c>
      <c r="O44" s="19">
        <f t="shared" si="4"/>
        <v>0</v>
      </c>
      <c r="P44" s="20">
        <f t="shared" si="5"/>
        <v>-3.705332600329811</v>
      </c>
      <c r="Q44" s="475">
        <f t="shared" si="6"/>
        <v>0.96063084112149577</v>
      </c>
      <c r="R44" s="637"/>
      <c r="S44" s="40">
        <v>0.61041666666666661</v>
      </c>
      <c r="T44" s="40">
        <v>0.68472222222222212</v>
      </c>
      <c r="U44" s="473">
        <f t="shared" si="30"/>
        <v>7.9999999999999716</v>
      </c>
      <c r="V44" s="476">
        <f t="shared" si="29"/>
        <v>106.99999999999994</v>
      </c>
      <c r="W44" s="23"/>
      <c r="X44" s="23"/>
      <c r="Y44" s="26"/>
      <c r="Z44" s="26"/>
      <c r="AA44" s="627"/>
      <c r="AB44" s="628"/>
      <c r="AC44" s="25"/>
      <c r="AD44" s="25"/>
      <c r="AE44" s="19">
        <f t="shared" si="8"/>
        <v>-62.990654205606688</v>
      </c>
      <c r="AF44" s="475">
        <f t="shared" si="9"/>
        <v>0.96063084112149577</v>
      </c>
      <c r="AG44" s="637"/>
    </row>
    <row r="45" spans="1:33">
      <c r="A45" s="652" t="s">
        <v>67</v>
      </c>
      <c r="B45" s="44" t="s">
        <v>2483</v>
      </c>
      <c r="C45" s="638"/>
      <c r="D45" s="638"/>
      <c r="E45" s="481"/>
      <c r="F45" s="44"/>
      <c r="G45" s="17"/>
      <c r="H45" s="478"/>
      <c r="I45" s="29">
        <v>16.714285714285715</v>
      </c>
      <c r="J45" s="39">
        <v>2171.4285714285716</v>
      </c>
      <c r="K45" s="17">
        <f t="shared" si="1"/>
        <v>129.91452991452991</v>
      </c>
      <c r="L45" s="29">
        <v>16.714285714285715</v>
      </c>
      <c r="M45" s="18">
        <f>AVERAGE(M38:M44)</f>
        <v>2073.6299405751192</v>
      </c>
      <c r="N45" s="17">
        <f t="shared" si="3"/>
        <v>124.06332977799858</v>
      </c>
      <c r="O45" s="19">
        <f t="shared" si="4"/>
        <v>0</v>
      </c>
      <c r="P45" s="20">
        <f t="shared" si="5"/>
        <v>-5.8512001365313324</v>
      </c>
      <c r="Q45" s="475">
        <f t="shared" si="6"/>
        <v>0.95496115684380489</v>
      </c>
      <c r="R45" s="637"/>
      <c r="S45" s="40"/>
      <c r="T45" s="40"/>
      <c r="U45" s="17"/>
      <c r="V45" s="476"/>
      <c r="W45" s="17"/>
      <c r="X45" s="17"/>
      <c r="Y45" s="30">
        <f>SUM(Y38:Y44)</f>
        <v>0</v>
      </c>
      <c r="Z45" s="30">
        <f>SUM(Z38:Z44)</f>
        <v>0</v>
      </c>
      <c r="AA45" s="631"/>
      <c r="AB45" s="631"/>
      <c r="AC45" s="30">
        <v>7</v>
      </c>
      <c r="AD45" s="30">
        <f>SUM(AD38:AD44)</f>
        <v>0</v>
      </c>
      <c r="AE45" s="19">
        <f t="shared" si="8"/>
        <v>-97.798630853452323</v>
      </c>
      <c r="AF45" s="475">
        <f t="shared" si="9"/>
        <v>0.95496115684380489</v>
      </c>
      <c r="AG45" s="637"/>
    </row>
    <row r="46" spans="1:33" ht="15.75" customHeight="1">
      <c r="A46" s="648" t="s">
        <v>2494</v>
      </c>
      <c r="B46" s="42" t="s">
        <v>127</v>
      </c>
      <c r="C46" s="625" t="s">
        <v>128</v>
      </c>
      <c r="D46" s="626"/>
      <c r="E46" s="42">
        <v>21.13</v>
      </c>
      <c r="F46" s="478">
        <v>5437</v>
      </c>
      <c r="G46" s="473">
        <f t="shared" ref="G46:G48" si="31">E46*F46</f>
        <v>114883.81</v>
      </c>
      <c r="H46" s="37" t="s">
        <v>91</v>
      </c>
      <c r="I46" s="474">
        <v>10</v>
      </c>
      <c r="J46" s="39">
        <v>3000</v>
      </c>
      <c r="K46" s="17">
        <f t="shared" si="1"/>
        <v>300</v>
      </c>
      <c r="L46" s="474">
        <v>10</v>
      </c>
      <c r="M46" s="18">
        <f t="shared" ref="M46:M48" si="32">F46/V46*60</f>
        <v>2861.5789473684222</v>
      </c>
      <c r="N46" s="18">
        <f t="shared" si="3"/>
        <v>286.1578947368422</v>
      </c>
      <c r="O46" s="19">
        <f t="shared" si="4"/>
        <v>0</v>
      </c>
      <c r="P46" s="20">
        <f t="shared" si="5"/>
        <v>-13.842105263157805</v>
      </c>
      <c r="Q46" s="475">
        <f t="shared" si="6"/>
        <v>0.9538596491228073</v>
      </c>
      <c r="R46" s="643">
        <f>Q49</f>
        <v>0.95488234631101898</v>
      </c>
      <c r="S46" s="40">
        <v>0.20833333333333334</v>
      </c>
      <c r="T46" s="40">
        <v>0.28749999999999998</v>
      </c>
      <c r="U46" s="28"/>
      <c r="V46" s="476">
        <f t="shared" ref="V46:V48" si="33">(T46-S46)*24*60</f>
        <v>113.99999999999996</v>
      </c>
      <c r="W46" s="23"/>
      <c r="X46" s="23"/>
      <c r="Y46" s="26"/>
      <c r="Z46" s="26"/>
      <c r="AA46" s="627"/>
      <c r="AB46" s="628"/>
      <c r="AC46" s="25">
        <v>3</v>
      </c>
      <c r="AD46" s="25"/>
      <c r="AE46" s="19">
        <f t="shared" si="8"/>
        <v>-138.42105263157782</v>
      </c>
      <c r="AF46" s="475">
        <f t="shared" si="9"/>
        <v>0.95385964912280741</v>
      </c>
      <c r="AG46" s="643">
        <f>AF49</f>
        <v>0.95488234631101898</v>
      </c>
    </row>
    <row r="47" spans="1:33" ht="15.75" customHeight="1">
      <c r="A47" s="649" t="s">
        <v>2495</v>
      </c>
      <c r="B47" s="42" t="s">
        <v>127</v>
      </c>
      <c r="C47" s="625" t="s">
        <v>129</v>
      </c>
      <c r="D47" s="626"/>
      <c r="E47" s="42">
        <v>27.17</v>
      </c>
      <c r="F47" s="478">
        <v>4631</v>
      </c>
      <c r="G47" s="473">
        <f t="shared" si="31"/>
        <v>125824.27</v>
      </c>
      <c r="H47" s="37" t="s">
        <v>91</v>
      </c>
      <c r="I47" s="474">
        <v>10</v>
      </c>
      <c r="J47" s="39">
        <v>3000</v>
      </c>
      <c r="K47" s="17">
        <f t="shared" si="1"/>
        <v>300</v>
      </c>
      <c r="L47" s="474">
        <v>10</v>
      </c>
      <c r="M47" s="18">
        <f t="shared" si="32"/>
        <v>2864.5360824742274</v>
      </c>
      <c r="N47" s="18">
        <f t="shared" si="3"/>
        <v>286.45360824742272</v>
      </c>
      <c r="O47" s="19">
        <f t="shared" si="4"/>
        <v>0</v>
      </c>
      <c r="P47" s="20">
        <f t="shared" si="5"/>
        <v>-13.546391752577279</v>
      </c>
      <c r="Q47" s="475">
        <f t="shared" si="6"/>
        <v>0.95484536082474236</v>
      </c>
      <c r="R47" s="644"/>
      <c r="S47" s="40">
        <v>0.29236111111111107</v>
      </c>
      <c r="T47" s="40">
        <v>0.35972222222222217</v>
      </c>
      <c r="U47" s="473">
        <f t="shared" ref="U47:U48" si="34">(S47-T46)*24*60</f>
        <v>6.9999999999999751</v>
      </c>
      <c r="V47" s="476">
        <f t="shared" si="33"/>
        <v>96.999999999999972</v>
      </c>
      <c r="W47" s="23"/>
      <c r="X47" s="23"/>
      <c r="Y47" s="26"/>
      <c r="Z47" s="26"/>
      <c r="AA47" s="627"/>
      <c r="AB47" s="628"/>
      <c r="AC47" s="25"/>
      <c r="AD47" s="25"/>
      <c r="AE47" s="19">
        <f t="shared" si="8"/>
        <v>-135.46391752577256</v>
      </c>
      <c r="AF47" s="475">
        <f t="shared" si="9"/>
        <v>0.95484536082474247</v>
      </c>
      <c r="AG47" s="644"/>
    </row>
    <row r="48" spans="1:33" ht="15.75" customHeight="1">
      <c r="A48" s="649" t="s">
        <v>312</v>
      </c>
      <c r="B48" s="42" t="s">
        <v>127</v>
      </c>
      <c r="C48" s="625" t="s">
        <v>144</v>
      </c>
      <c r="D48" s="626"/>
      <c r="E48" s="42">
        <v>35.869999999999997</v>
      </c>
      <c r="F48" s="478">
        <v>3298</v>
      </c>
      <c r="G48" s="473">
        <f t="shared" si="31"/>
        <v>118299.26</v>
      </c>
      <c r="H48" s="37" t="s">
        <v>91</v>
      </c>
      <c r="I48" s="474">
        <v>10</v>
      </c>
      <c r="J48" s="39">
        <v>3000</v>
      </c>
      <c r="K48" s="17">
        <f t="shared" si="1"/>
        <v>300</v>
      </c>
      <c r="L48" s="474">
        <v>10</v>
      </c>
      <c r="M48" s="18">
        <f t="shared" si="32"/>
        <v>2867.8260869565215</v>
      </c>
      <c r="N48" s="18">
        <f t="shared" si="3"/>
        <v>286.78260869565213</v>
      </c>
      <c r="O48" s="19">
        <f t="shared" si="4"/>
        <v>0</v>
      </c>
      <c r="P48" s="20">
        <f t="shared" si="5"/>
        <v>-13.217391304347871</v>
      </c>
      <c r="Q48" s="475">
        <f t="shared" si="6"/>
        <v>0.95594202898550706</v>
      </c>
      <c r="R48" s="644"/>
      <c r="S48" s="40">
        <v>0.36458333333333326</v>
      </c>
      <c r="T48" s="40">
        <v>0.41249999999999992</v>
      </c>
      <c r="U48" s="473">
        <f t="shared" si="34"/>
        <v>6.9999999999999751</v>
      </c>
      <c r="V48" s="476">
        <f t="shared" si="33"/>
        <v>69</v>
      </c>
      <c r="W48" s="23"/>
      <c r="X48" s="23"/>
      <c r="Y48" s="26"/>
      <c r="Z48" s="26"/>
      <c r="AA48" s="627"/>
      <c r="AB48" s="628"/>
      <c r="AC48" s="25"/>
      <c r="AD48" s="25"/>
      <c r="AE48" s="19">
        <f t="shared" si="8"/>
        <v>-132.17391304347848</v>
      </c>
      <c r="AF48" s="475">
        <f t="shared" si="9"/>
        <v>0.95594202898550718</v>
      </c>
      <c r="AG48" s="644"/>
    </row>
    <row r="49" spans="1:33" ht="15.75" customHeight="1">
      <c r="A49" s="650" t="s">
        <v>2494</v>
      </c>
      <c r="B49" s="42" t="s">
        <v>52</v>
      </c>
      <c r="C49" s="629"/>
      <c r="D49" s="630"/>
      <c r="E49" s="486"/>
      <c r="F49" s="478"/>
      <c r="G49" s="473"/>
      <c r="H49" s="478"/>
      <c r="I49" s="29">
        <v>10</v>
      </c>
      <c r="J49" s="39">
        <v>3000</v>
      </c>
      <c r="K49" s="17">
        <f t="shared" si="1"/>
        <v>300</v>
      </c>
      <c r="L49" s="29">
        <v>10</v>
      </c>
      <c r="M49" s="18">
        <f>AVERAGE(M46:M48)</f>
        <v>2864.647038933057</v>
      </c>
      <c r="N49" s="17">
        <f t="shared" si="3"/>
        <v>286.46470389330568</v>
      </c>
      <c r="O49" s="19">
        <f t="shared" si="4"/>
        <v>0</v>
      </c>
      <c r="P49" s="20">
        <f t="shared" si="5"/>
        <v>-13.535296106694318</v>
      </c>
      <c r="Q49" s="475">
        <f t="shared" si="6"/>
        <v>0.95488234631101898</v>
      </c>
      <c r="R49" s="645"/>
      <c r="S49" s="40"/>
      <c r="T49" s="40"/>
      <c r="U49" s="473"/>
      <c r="V49" s="476"/>
      <c r="W49" s="23"/>
      <c r="X49" s="23"/>
      <c r="Y49" s="30">
        <f>SUM(Y46:Y48)</f>
        <v>0</v>
      </c>
      <c r="Z49" s="30">
        <f>SUM(Z46:Z48)</f>
        <v>0</v>
      </c>
      <c r="AA49" s="646"/>
      <c r="AB49" s="647"/>
      <c r="AC49" s="30">
        <v>3</v>
      </c>
      <c r="AD49" s="30">
        <f>SUM(AD46:AD48)</f>
        <v>0</v>
      </c>
      <c r="AE49" s="19">
        <f t="shared" si="8"/>
        <v>-135.35296106694295</v>
      </c>
      <c r="AF49" s="475">
        <f t="shared" si="9"/>
        <v>0.95488234631101898</v>
      </c>
      <c r="AG49" s="645"/>
    </row>
    <row r="50" spans="1:33" ht="15.75" customHeight="1">
      <c r="A50" s="641" t="s">
        <v>76</v>
      </c>
      <c r="B50" s="42" t="s">
        <v>92</v>
      </c>
      <c r="C50" s="633" t="s">
        <v>135</v>
      </c>
      <c r="D50" s="633"/>
      <c r="E50" s="42">
        <v>51.44</v>
      </c>
      <c r="F50" s="48">
        <v>1559</v>
      </c>
      <c r="G50" s="473">
        <f t="shared" ref="G50:G55" si="35">E50*F50</f>
        <v>80194.959999999992</v>
      </c>
      <c r="H50" s="37" t="s">
        <v>91</v>
      </c>
      <c r="I50" s="474">
        <v>25</v>
      </c>
      <c r="J50" s="39">
        <v>2000</v>
      </c>
      <c r="K50" s="17">
        <f t="shared" si="1"/>
        <v>80</v>
      </c>
      <c r="L50" s="474">
        <v>25</v>
      </c>
      <c r="M50" s="18">
        <f t="shared" ref="M50" si="36">F50/V50*60</f>
        <v>1908.9795918367354</v>
      </c>
      <c r="N50" s="18">
        <f t="shared" si="3"/>
        <v>76.359183673469417</v>
      </c>
      <c r="O50" s="19">
        <f t="shared" si="4"/>
        <v>0</v>
      </c>
      <c r="P50" s="20">
        <f t="shared" si="5"/>
        <v>-3.6408163265305831</v>
      </c>
      <c r="Q50" s="475">
        <f t="shared" si="6"/>
        <v>0.95448979591836769</v>
      </c>
      <c r="R50" s="637">
        <f>Q56</f>
        <v>0.95535865800860753</v>
      </c>
      <c r="S50" s="40">
        <v>0.20833333333333334</v>
      </c>
      <c r="T50" s="40">
        <v>0.24236111111111111</v>
      </c>
      <c r="U50" s="28"/>
      <c r="V50" s="476">
        <f t="shared" ref="V50:V55" si="37">(T50-S50)*24*60</f>
        <v>48.999999999999986</v>
      </c>
      <c r="W50" s="23"/>
      <c r="X50" s="23"/>
      <c r="Y50" s="28"/>
      <c r="Z50" s="28"/>
      <c r="AA50" s="632"/>
      <c r="AB50" s="632"/>
      <c r="AC50" s="25">
        <v>6</v>
      </c>
      <c r="AD50" s="25"/>
      <c r="AE50" s="19">
        <f t="shared" si="8"/>
        <v>-91.020408163264619</v>
      </c>
      <c r="AF50" s="475">
        <f t="shared" si="9"/>
        <v>0.95448979591836769</v>
      </c>
      <c r="AG50" s="637">
        <f>AF56</f>
        <v>0.95535865800860764</v>
      </c>
    </row>
    <row r="51" spans="1:33" ht="15.75" customHeight="1">
      <c r="A51" s="641" t="s">
        <v>76</v>
      </c>
      <c r="B51" s="42" t="s">
        <v>92</v>
      </c>
      <c r="C51" s="633" t="s">
        <v>2408</v>
      </c>
      <c r="D51" s="633"/>
      <c r="E51" s="42">
        <v>56.43</v>
      </c>
      <c r="F51" s="48">
        <v>5746</v>
      </c>
      <c r="G51" s="473">
        <f t="shared" si="35"/>
        <v>324246.77999999997</v>
      </c>
      <c r="H51" s="37" t="s">
        <v>91</v>
      </c>
      <c r="I51" s="474">
        <v>23</v>
      </c>
      <c r="J51" s="39">
        <v>2000</v>
      </c>
      <c r="K51" s="17">
        <f t="shared" si="1"/>
        <v>86.956521739130437</v>
      </c>
      <c r="L51" s="474">
        <v>23</v>
      </c>
      <c r="M51" s="18">
        <f>F51/V51*60</f>
        <v>1904.7513812154698</v>
      </c>
      <c r="N51" s="18">
        <f t="shared" si="3"/>
        <v>82.815277444150865</v>
      </c>
      <c r="O51" s="19">
        <f t="shared" si="4"/>
        <v>0</v>
      </c>
      <c r="P51" s="20">
        <f t="shared" si="5"/>
        <v>-4.1412442949795718</v>
      </c>
      <c r="Q51" s="475">
        <f t="shared" si="6"/>
        <v>0.95237569060773497</v>
      </c>
      <c r="R51" s="637"/>
      <c r="S51" s="40">
        <v>0.24722222222222223</v>
      </c>
      <c r="T51" s="40">
        <v>0.37291666666666667</v>
      </c>
      <c r="U51" s="473">
        <f t="shared" ref="U51:U55" si="38">IF(S51=TIME(17,0,0),"",(S51-T50)*24*60)</f>
        <v>7.0000000000000151</v>
      </c>
      <c r="V51" s="476">
        <f t="shared" si="37"/>
        <v>181</v>
      </c>
      <c r="W51" s="23"/>
      <c r="X51" s="23"/>
      <c r="Y51" s="23"/>
      <c r="Z51" s="23"/>
      <c r="AA51" s="632"/>
      <c r="AB51" s="632"/>
      <c r="AC51" s="25"/>
      <c r="AD51" s="25"/>
      <c r="AE51" s="19">
        <f t="shared" si="8"/>
        <v>-95.248618784530208</v>
      </c>
      <c r="AF51" s="475">
        <f t="shared" si="9"/>
        <v>0.95237569060773486</v>
      </c>
      <c r="AG51" s="637"/>
    </row>
    <row r="52" spans="1:33" ht="15.75" customHeight="1">
      <c r="A52" s="641" t="s">
        <v>76</v>
      </c>
      <c r="B52" s="42" t="s">
        <v>96</v>
      </c>
      <c r="C52" s="625" t="s">
        <v>136</v>
      </c>
      <c r="D52" s="626"/>
      <c r="E52" s="42">
        <v>46</v>
      </c>
      <c r="F52" s="48">
        <v>1110</v>
      </c>
      <c r="G52" s="473">
        <f t="shared" si="35"/>
        <v>51060</v>
      </c>
      <c r="H52" s="37" t="s">
        <v>91</v>
      </c>
      <c r="I52" s="474">
        <v>16</v>
      </c>
      <c r="J52" s="39">
        <v>2000</v>
      </c>
      <c r="K52" s="17">
        <f t="shared" si="1"/>
        <v>125</v>
      </c>
      <c r="L52" s="474">
        <v>16</v>
      </c>
      <c r="M52" s="18">
        <f t="shared" ref="M52:M55" si="39">F52/V52*60</f>
        <v>1902.8571428571411</v>
      </c>
      <c r="N52" s="18">
        <f t="shared" si="3"/>
        <v>118.92857142857132</v>
      </c>
      <c r="O52" s="19">
        <f t="shared" si="4"/>
        <v>0</v>
      </c>
      <c r="P52" s="20">
        <f t="shared" si="5"/>
        <v>-6.0714285714286831</v>
      </c>
      <c r="Q52" s="475">
        <f t="shared" si="6"/>
        <v>0.95142857142857051</v>
      </c>
      <c r="R52" s="637"/>
      <c r="S52" s="40">
        <v>0.37847222222222221</v>
      </c>
      <c r="T52" s="40">
        <v>0.40277777777777779</v>
      </c>
      <c r="U52" s="473">
        <f t="shared" si="38"/>
        <v>7.9999999999999716</v>
      </c>
      <c r="V52" s="476">
        <f t="shared" si="37"/>
        <v>35.000000000000036</v>
      </c>
      <c r="W52" s="23"/>
      <c r="X52" s="23"/>
      <c r="Y52" s="26"/>
      <c r="Z52" s="26"/>
      <c r="AA52" s="632"/>
      <c r="AB52" s="632"/>
      <c r="AC52" s="25"/>
      <c r="AD52" s="25"/>
      <c r="AE52" s="19">
        <f t="shared" si="8"/>
        <v>-97.142857142858929</v>
      </c>
      <c r="AF52" s="475">
        <f t="shared" si="9"/>
        <v>0.95142857142857051</v>
      </c>
      <c r="AG52" s="637"/>
    </row>
    <row r="53" spans="1:33" ht="15.75" customHeight="1">
      <c r="A53" s="641" t="s">
        <v>2496</v>
      </c>
      <c r="B53" s="42" t="s">
        <v>96</v>
      </c>
      <c r="C53" s="484" t="s">
        <v>137</v>
      </c>
      <c r="D53" s="485"/>
      <c r="E53" s="42">
        <v>46</v>
      </c>
      <c r="F53" s="48">
        <v>1309</v>
      </c>
      <c r="G53" s="473">
        <f t="shared" si="35"/>
        <v>60214</v>
      </c>
      <c r="H53" s="37" t="s">
        <v>91</v>
      </c>
      <c r="I53" s="474">
        <v>17</v>
      </c>
      <c r="J53" s="39">
        <v>2000</v>
      </c>
      <c r="K53" s="17">
        <f t="shared" si="1"/>
        <v>117.64705882352941</v>
      </c>
      <c r="L53" s="474">
        <v>17</v>
      </c>
      <c r="M53" s="18">
        <f t="shared" si="39"/>
        <v>1915.6097560975602</v>
      </c>
      <c r="N53" s="18">
        <f t="shared" si="3"/>
        <v>112.68292682926824</v>
      </c>
      <c r="O53" s="19">
        <f t="shared" si="4"/>
        <v>0</v>
      </c>
      <c r="P53" s="20">
        <f t="shared" si="5"/>
        <v>-4.9641319942611659</v>
      </c>
      <c r="Q53" s="475">
        <f t="shared" si="6"/>
        <v>0.95780487804878012</v>
      </c>
      <c r="R53" s="637"/>
      <c r="S53" s="40">
        <v>0.40625</v>
      </c>
      <c r="T53" s="40">
        <v>0.43472222222222223</v>
      </c>
      <c r="U53" s="473">
        <f t="shared" si="38"/>
        <v>4.9999999999999822</v>
      </c>
      <c r="V53" s="476">
        <f t="shared" si="37"/>
        <v>41.000000000000014</v>
      </c>
      <c r="W53" s="23"/>
      <c r="X53" s="23"/>
      <c r="Y53" s="26"/>
      <c r="Z53" s="26"/>
      <c r="AA53" s="632"/>
      <c r="AB53" s="632"/>
      <c r="AC53" s="25"/>
      <c r="AD53" s="25"/>
      <c r="AE53" s="19">
        <f t="shared" si="8"/>
        <v>-84.390243902439806</v>
      </c>
      <c r="AF53" s="475">
        <f t="shared" si="9"/>
        <v>0.95780487804878012</v>
      </c>
      <c r="AG53" s="637"/>
    </row>
    <row r="54" spans="1:33" ht="15.75" customHeight="1">
      <c r="A54" s="641" t="s">
        <v>2497</v>
      </c>
      <c r="B54" s="42" t="s">
        <v>92</v>
      </c>
      <c r="C54" s="484" t="s">
        <v>138</v>
      </c>
      <c r="D54" s="485"/>
      <c r="E54" s="42">
        <v>55.56</v>
      </c>
      <c r="F54" s="48">
        <v>2665</v>
      </c>
      <c r="G54" s="473">
        <f t="shared" si="35"/>
        <v>148067.4</v>
      </c>
      <c r="H54" s="37" t="s">
        <v>91</v>
      </c>
      <c r="I54" s="474">
        <v>17</v>
      </c>
      <c r="J54" s="39">
        <v>2000</v>
      </c>
      <c r="K54" s="17">
        <f t="shared" si="1"/>
        <v>117.64705882352941</v>
      </c>
      <c r="L54" s="474">
        <v>17</v>
      </c>
      <c r="M54" s="18">
        <f t="shared" si="39"/>
        <v>1926.5060240963851</v>
      </c>
      <c r="N54" s="18">
        <f t="shared" si="3"/>
        <v>113.32388377037559</v>
      </c>
      <c r="O54" s="19">
        <f t="shared" si="4"/>
        <v>0</v>
      </c>
      <c r="P54" s="20">
        <f t="shared" si="5"/>
        <v>-4.3231750531538182</v>
      </c>
      <c r="Q54" s="475">
        <f t="shared" si="6"/>
        <v>0.96325301204819258</v>
      </c>
      <c r="R54" s="637"/>
      <c r="S54" s="40">
        <v>0.70833333333333337</v>
      </c>
      <c r="T54" s="40">
        <v>0.76597222222222228</v>
      </c>
      <c r="U54" s="473" t="str">
        <f t="shared" si="38"/>
        <v/>
      </c>
      <c r="V54" s="476">
        <f t="shared" si="37"/>
        <v>83.000000000000028</v>
      </c>
      <c r="W54" s="23"/>
      <c r="X54" s="23"/>
      <c r="Y54" s="26"/>
      <c r="Z54" s="26"/>
      <c r="AA54" s="632"/>
      <c r="AB54" s="632"/>
      <c r="AC54" s="25"/>
      <c r="AD54" s="25"/>
      <c r="AE54" s="19">
        <f t="shared" si="8"/>
        <v>-73.49397590361491</v>
      </c>
      <c r="AF54" s="475">
        <f t="shared" si="9"/>
        <v>0.96325301204819258</v>
      </c>
      <c r="AG54" s="637"/>
    </row>
    <row r="55" spans="1:33" ht="15.75" customHeight="1">
      <c r="A55" s="641" t="s">
        <v>76</v>
      </c>
      <c r="B55" s="42" t="s">
        <v>92</v>
      </c>
      <c r="C55" s="625" t="s">
        <v>140</v>
      </c>
      <c r="D55" s="626"/>
      <c r="E55" s="42">
        <v>51.06</v>
      </c>
      <c r="F55" s="48">
        <v>3176</v>
      </c>
      <c r="G55" s="473">
        <f t="shared" si="35"/>
        <v>162166.56</v>
      </c>
      <c r="H55" s="37" t="s">
        <v>91</v>
      </c>
      <c r="I55" s="474">
        <v>13</v>
      </c>
      <c r="J55" s="39">
        <v>2000</v>
      </c>
      <c r="K55" s="17">
        <f t="shared" si="1"/>
        <v>153.84615384615384</v>
      </c>
      <c r="L55" s="474">
        <v>13</v>
      </c>
      <c r="M55" s="18">
        <f t="shared" si="39"/>
        <v>1905.6000000000006</v>
      </c>
      <c r="N55" s="18">
        <f t="shared" si="3"/>
        <v>146.58461538461543</v>
      </c>
      <c r="O55" s="19">
        <f t="shared" si="4"/>
        <v>0</v>
      </c>
      <c r="P55" s="20">
        <f t="shared" si="5"/>
        <v>-7.2615384615384073</v>
      </c>
      <c r="Q55" s="475">
        <f t="shared" si="6"/>
        <v>0.95280000000000031</v>
      </c>
      <c r="R55" s="637"/>
      <c r="S55" s="40">
        <v>0.76944444444444449</v>
      </c>
      <c r="T55" s="40">
        <v>0.83888888888888891</v>
      </c>
      <c r="U55" s="473">
        <f t="shared" si="38"/>
        <v>4.9999999999999822</v>
      </c>
      <c r="V55" s="476">
        <f t="shared" si="37"/>
        <v>99.999999999999972</v>
      </c>
      <c r="W55" s="23"/>
      <c r="X55" s="23"/>
      <c r="Y55" s="26"/>
      <c r="Z55" s="26"/>
      <c r="AA55" s="627"/>
      <c r="AB55" s="628"/>
      <c r="AC55" s="25"/>
      <c r="AD55" s="25"/>
      <c r="AE55" s="19">
        <f t="shared" si="8"/>
        <v>-94.399999999999409</v>
      </c>
      <c r="AF55" s="475">
        <f t="shared" si="9"/>
        <v>0.95280000000000031</v>
      </c>
      <c r="AG55" s="637"/>
    </row>
    <row r="56" spans="1:33">
      <c r="A56" s="642" t="s">
        <v>2498</v>
      </c>
      <c r="B56" s="42" t="s">
        <v>52</v>
      </c>
      <c r="C56" s="638"/>
      <c r="D56" s="638"/>
      <c r="E56" s="481"/>
      <c r="F56" s="44"/>
      <c r="G56" s="17"/>
      <c r="H56" s="478"/>
      <c r="I56" s="29">
        <v>18.5</v>
      </c>
      <c r="J56" s="39">
        <v>2000</v>
      </c>
      <c r="K56" s="17">
        <f t="shared" si="1"/>
        <v>108.10810810810811</v>
      </c>
      <c r="L56" s="29">
        <v>18.5</v>
      </c>
      <c r="M56" s="18">
        <f>AVERAGE(M50:M55)</f>
        <v>1910.7173160172154</v>
      </c>
      <c r="N56" s="17">
        <f t="shared" si="3"/>
        <v>103.28201708201163</v>
      </c>
      <c r="O56" s="19">
        <f t="shared" si="4"/>
        <v>0</v>
      </c>
      <c r="P56" s="20">
        <f t="shared" si="5"/>
        <v>-4.8260910260964778</v>
      </c>
      <c r="Q56" s="475">
        <f t="shared" si="6"/>
        <v>0.95535865800860753</v>
      </c>
      <c r="R56" s="637"/>
      <c r="S56" s="40"/>
      <c r="T56" s="40"/>
      <c r="U56" s="473"/>
      <c r="V56" s="476"/>
      <c r="W56" s="17"/>
      <c r="X56" s="17"/>
      <c r="Y56" s="30">
        <f>SUM(Y50:Y55)</f>
        <v>0</v>
      </c>
      <c r="Z56" s="30">
        <f>SUM(Z50:Z55)</f>
        <v>0</v>
      </c>
      <c r="AA56" s="631"/>
      <c r="AB56" s="631"/>
      <c r="AC56" s="30">
        <v>6</v>
      </c>
      <c r="AD56" s="30">
        <f>SUM(AD50:AD55)</f>
        <v>0</v>
      </c>
      <c r="AE56" s="19">
        <f>M56-J56</f>
        <v>-89.282683982784647</v>
      </c>
      <c r="AF56" s="475">
        <f t="shared" si="9"/>
        <v>0.95535865800860764</v>
      </c>
      <c r="AG56" s="637"/>
    </row>
    <row r="57" spans="1:33" ht="15.75" customHeight="1">
      <c r="A57" s="639" t="s">
        <v>314</v>
      </c>
      <c r="B57" s="478" t="s">
        <v>127</v>
      </c>
      <c r="C57" s="633" t="s">
        <v>141</v>
      </c>
      <c r="D57" s="633"/>
      <c r="E57" s="42">
        <v>35.119999999999997</v>
      </c>
      <c r="F57" s="48">
        <v>4636</v>
      </c>
      <c r="G57" s="473">
        <f t="shared" ref="G57:G61" si="40">E57*F57</f>
        <v>162816.31999999998</v>
      </c>
      <c r="H57" s="37" t="s">
        <v>91</v>
      </c>
      <c r="I57" s="474">
        <v>10</v>
      </c>
      <c r="J57" s="39">
        <v>3000</v>
      </c>
      <c r="K57" s="17">
        <f t="shared" si="1"/>
        <v>300</v>
      </c>
      <c r="L57" s="474">
        <v>10</v>
      </c>
      <c r="M57" s="18">
        <f t="shared" ref="M57:M61" si="41">F57/V57*60</f>
        <v>2867.6288659793809</v>
      </c>
      <c r="N57" s="17">
        <f t="shared" si="3"/>
        <v>286.76288659793806</v>
      </c>
      <c r="O57" s="19">
        <f t="shared" si="4"/>
        <v>0</v>
      </c>
      <c r="P57" s="20">
        <f t="shared" si="5"/>
        <v>-13.237113402061937</v>
      </c>
      <c r="Q57" s="475">
        <f t="shared" si="6"/>
        <v>0.95587628865979357</v>
      </c>
      <c r="R57" s="637">
        <f>Q62</f>
        <v>0.96110079443018148</v>
      </c>
      <c r="S57" s="40">
        <v>0.20833333333333334</v>
      </c>
      <c r="T57" s="40">
        <v>0.27569444444444446</v>
      </c>
      <c r="U57" s="473"/>
      <c r="V57" s="476">
        <f t="shared" ref="V57:V61" si="42">(T57-S57)*24*60</f>
        <v>97.000000000000014</v>
      </c>
      <c r="W57" s="23"/>
      <c r="X57" s="23"/>
      <c r="Y57" s="28"/>
      <c r="Z57" s="28"/>
      <c r="AA57" s="632"/>
      <c r="AB57" s="632"/>
      <c r="AC57" s="25">
        <v>5</v>
      </c>
      <c r="AD57" s="25"/>
      <c r="AE57" s="19">
        <f t="shared" ref="AE57:AE69" si="43">M57-J57</f>
        <v>-132.37113402061914</v>
      </c>
      <c r="AF57" s="475">
        <f t="shared" si="9"/>
        <v>0.95587628865979357</v>
      </c>
      <c r="AG57" s="637">
        <f>AF62</f>
        <v>0.96110079443018159</v>
      </c>
    </row>
    <row r="58" spans="1:33" ht="15.75" customHeight="1">
      <c r="A58" s="639" t="s">
        <v>314</v>
      </c>
      <c r="B58" s="478" t="s">
        <v>127</v>
      </c>
      <c r="C58" s="633" t="s">
        <v>142</v>
      </c>
      <c r="D58" s="633"/>
      <c r="E58" s="42">
        <v>26.78</v>
      </c>
      <c r="F58" s="48">
        <v>2317</v>
      </c>
      <c r="G58" s="473">
        <f t="shared" si="40"/>
        <v>62049.26</v>
      </c>
      <c r="H58" s="37" t="s">
        <v>91</v>
      </c>
      <c r="I58" s="474">
        <v>10</v>
      </c>
      <c r="J58" s="39">
        <v>3000</v>
      </c>
      <c r="K58" s="17">
        <f t="shared" si="1"/>
        <v>300</v>
      </c>
      <c r="L58" s="474">
        <v>10</v>
      </c>
      <c r="M58" s="18">
        <f t="shared" si="41"/>
        <v>2896.2500000000009</v>
      </c>
      <c r="N58" s="17">
        <f t="shared" si="3"/>
        <v>289.62500000000011</v>
      </c>
      <c r="O58" s="19">
        <f t="shared" si="4"/>
        <v>0</v>
      </c>
      <c r="P58" s="20">
        <f t="shared" si="5"/>
        <v>-10.374999999999886</v>
      </c>
      <c r="Q58" s="475">
        <f t="shared" si="6"/>
        <v>0.96541666666666703</v>
      </c>
      <c r="R58" s="637"/>
      <c r="S58" s="40">
        <v>0.27986111111111112</v>
      </c>
      <c r="T58" s="40">
        <v>0.31319444444444444</v>
      </c>
      <c r="U58" s="473">
        <f t="shared" ref="U58:U61" si="44">(S58-T57)*24*60</f>
        <v>5.9999999999999787</v>
      </c>
      <c r="V58" s="476">
        <f t="shared" si="42"/>
        <v>47.999999999999986</v>
      </c>
      <c r="W58" s="473"/>
      <c r="X58" s="473"/>
      <c r="Y58" s="473"/>
      <c r="Z58" s="473"/>
      <c r="AA58" s="632"/>
      <c r="AB58" s="632"/>
      <c r="AC58" s="25"/>
      <c r="AD58" s="25"/>
      <c r="AE58" s="19">
        <f t="shared" si="43"/>
        <v>-103.74999999999909</v>
      </c>
      <c r="AF58" s="475">
        <f t="shared" si="9"/>
        <v>0.96541666666666692</v>
      </c>
      <c r="AG58" s="637"/>
    </row>
    <row r="59" spans="1:33" ht="15.75" customHeight="1">
      <c r="A59" s="639" t="s">
        <v>2499</v>
      </c>
      <c r="B59" s="478" t="s">
        <v>127</v>
      </c>
      <c r="C59" s="633" t="s">
        <v>143</v>
      </c>
      <c r="D59" s="633"/>
      <c r="E59" s="42">
        <v>36.14</v>
      </c>
      <c r="F59" s="48">
        <v>915</v>
      </c>
      <c r="G59" s="473">
        <f t="shared" si="40"/>
        <v>33068.1</v>
      </c>
      <c r="H59" s="37" t="s">
        <v>91</v>
      </c>
      <c r="I59" s="474">
        <v>11</v>
      </c>
      <c r="J59" s="39">
        <v>3000</v>
      </c>
      <c r="K59" s="17">
        <f t="shared" si="1"/>
        <v>272.72727272727275</v>
      </c>
      <c r="L59" s="474">
        <v>11</v>
      </c>
      <c r="M59" s="18">
        <f t="shared" si="41"/>
        <v>2889.473684210524</v>
      </c>
      <c r="N59" s="17">
        <f t="shared" si="3"/>
        <v>262.67942583732037</v>
      </c>
      <c r="O59" s="19">
        <f t="shared" si="4"/>
        <v>0</v>
      </c>
      <c r="P59" s="20">
        <f t="shared" si="5"/>
        <v>-10.047846889952382</v>
      </c>
      <c r="Q59" s="475">
        <f t="shared" si="6"/>
        <v>0.96315789473684132</v>
      </c>
      <c r="R59" s="637"/>
      <c r="S59" s="40">
        <v>0.31666666666666665</v>
      </c>
      <c r="T59" s="40">
        <v>0.3298611111111111</v>
      </c>
      <c r="U59" s="473">
        <f t="shared" si="44"/>
        <v>4.9999999999999822</v>
      </c>
      <c r="V59" s="476">
        <f t="shared" si="42"/>
        <v>19.000000000000014</v>
      </c>
      <c r="W59" s="473"/>
      <c r="X59" s="473"/>
      <c r="Y59" s="473"/>
      <c r="Z59" s="473"/>
      <c r="AA59" s="632"/>
      <c r="AB59" s="632"/>
      <c r="AC59" s="25"/>
      <c r="AD59" s="25"/>
      <c r="AE59" s="19">
        <f t="shared" si="43"/>
        <v>-110.52631578947603</v>
      </c>
      <c r="AF59" s="475">
        <f t="shared" si="9"/>
        <v>0.96315789473684132</v>
      </c>
      <c r="AG59" s="637"/>
    </row>
    <row r="60" spans="1:33" ht="15.75" customHeight="1">
      <c r="A60" s="639" t="s">
        <v>2500</v>
      </c>
      <c r="B60" s="478" t="s">
        <v>127</v>
      </c>
      <c r="C60" s="633" t="s">
        <v>130</v>
      </c>
      <c r="D60" s="633"/>
      <c r="E60" s="42">
        <v>35.869999999999997</v>
      </c>
      <c r="F60" s="48">
        <v>1390</v>
      </c>
      <c r="G60" s="473">
        <f t="shared" si="40"/>
        <v>49859.299999999996</v>
      </c>
      <c r="H60" s="37" t="s">
        <v>91</v>
      </c>
      <c r="I60" s="474">
        <v>9</v>
      </c>
      <c r="J60" s="39">
        <v>3000</v>
      </c>
      <c r="K60" s="17">
        <f t="shared" si="1"/>
        <v>333.33333333333331</v>
      </c>
      <c r="L60" s="474">
        <v>9</v>
      </c>
      <c r="M60" s="18">
        <f t="shared" si="41"/>
        <v>2875.8620689655195</v>
      </c>
      <c r="N60" s="17">
        <f t="shared" si="3"/>
        <v>319.54022988505773</v>
      </c>
      <c r="O60" s="19">
        <f t="shared" si="4"/>
        <v>0</v>
      </c>
      <c r="P60" s="20">
        <f t="shared" si="5"/>
        <v>-13.793103448275588</v>
      </c>
      <c r="Q60" s="475">
        <f t="shared" si="6"/>
        <v>0.95862068965517322</v>
      </c>
      <c r="R60" s="637"/>
      <c r="S60" s="40">
        <v>0.3347222222222222</v>
      </c>
      <c r="T60" s="40">
        <v>0.35486111111111107</v>
      </c>
      <c r="U60" s="473">
        <f t="shared" si="44"/>
        <v>6.9999999999999751</v>
      </c>
      <c r="V60" s="476">
        <f t="shared" si="42"/>
        <v>28.999999999999979</v>
      </c>
      <c r="W60" s="473"/>
      <c r="X60" s="473"/>
      <c r="Y60" s="473"/>
      <c r="Z60" s="473"/>
      <c r="AA60" s="632"/>
      <c r="AB60" s="632"/>
      <c r="AC60" s="25"/>
      <c r="AD60" s="25"/>
      <c r="AE60" s="19">
        <f t="shared" si="43"/>
        <v>-124.13793103448052</v>
      </c>
      <c r="AF60" s="475">
        <f t="shared" si="9"/>
        <v>0.95862068965517311</v>
      </c>
      <c r="AG60" s="637"/>
    </row>
    <row r="61" spans="1:33">
      <c r="A61" s="640" t="s">
        <v>314</v>
      </c>
      <c r="B61" s="478" t="s">
        <v>127</v>
      </c>
      <c r="C61" s="633" t="s">
        <v>1857</v>
      </c>
      <c r="D61" s="633"/>
      <c r="E61" s="42">
        <v>33.770000000000003</v>
      </c>
      <c r="F61" s="48">
        <v>3561</v>
      </c>
      <c r="G61" s="473">
        <f t="shared" si="40"/>
        <v>120254.97000000002</v>
      </c>
      <c r="H61" s="37" t="s">
        <v>91</v>
      </c>
      <c r="I61" s="474">
        <v>12</v>
      </c>
      <c r="J61" s="39">
        <v>3000</v>
      </c>
      <c r="K61" s="17">
        <f t="shared" si="1"/>
        <v>250</v>
      </c>
      <c r="L61" s="474">
        <v>12</v>
      </c>
      <c r="M61" s="18">
        <f t="shared" si="41"/>
        <v>2887.2972972972984</v>
      </c>
      <c r="N61" s="17">
        <f t="shared" si="3"/>
        <v>240.60810810810821</v>
      </c>
      <c r="O61" s="19">
        <f t="shared" si="4"/>
        <v>0</v>
      </c>
      <c r="P61" s="20">
        <f t="shared" si="5"/>
        <v>-9.3918918918917882</v>
      </c>
      <c r="Q61" s="475">
        <f t="shared" si="6"/>
        <v>0.96243243243243282</v>
      </c>
      <c r="R61" s="637"/>
      <c r="S61" s="40">
        <v>0.36041666666666661</v>
      </c>
      <c r="T61" s="40">
        <v>0.41180555555555548</v>
      </c>
      <c r="U61" s="473">
        <f t="shared" si="44"/>
        <v>7.9999999999999716</v>
      </c>
      <c r="V61" s="476">
        <f t="shared" si="42"/>
        <v>73.999999999999972</v>
      </c>
      <c r="W61" s="23"/>
      <c r="X61" s="23"/>
      <c r="Y61" s="23"/>
      <c r="Z61" s="23"/>
      <c r="AA61" s="632"/>
      <c r="AB61" s="632"/>
      <c r="AC61" s="25"/>
      <c r="AD61" s="25"/>
      <c r="AE61" s="19">
        <f t="shared" si="43"/>
        <v>-112.70270270270157</v>
      </c>
      <c r="AF61" s="475">
        <f t="shared" si="9"/>
        <v>0.96243243243243282</v>
      </c>
      <c r="AG61" s="637"/>
    </row>
    <row r="62" spans="1:33">
      <c r="A62" s="640" t="s">
        <v>2499</v>
      </c>
      <c r="B62" s="42" t="s">
        <v>2501</v>
      </c>
      <c r="C62" s="638"/>
      <c r="D62" s="638"/>
      <c r="E62" s="481"/>
      <c r="F62" s="44"/>
      <c r="G62" s="17"/>
      <c r="H62" s="478"/>
      <c r="I62" s="29">
        <v>10.4</v>
      </c>
      <c r="J62" s="39">
        <v>3000</v>
      </c>
      <c r="K62" s="17">
        <f t="shared" si="1"/>
        <v>288.46153846153845</v>
      </c>
      <c r="L62" s="29">
        <v>10.4</v>
      </c>
      <c r="M62" s="18">
        <f>AVERAGE(M57:M61)</f>
        <v>2883.3023832905446</v>
      </c>
      <c r="N62" s="17">
        <f t="shared" si="3"/>
        <v>277.24061377793697</v>
      </c>
      <c r="O62" s="19">
        <f t="shared" si="4"/>
        <v>0</v>
      </c>
      <c r="P62" s="20">
        <f t="shared" si="5"/>
        <v>-11.220924683601481</v>
      </c>
      <c r="Q62" s="475">
        <f t="shared" si="6"/>
        <v>0.96110079443018148</v>
      </c>
      <c r="R62" s="637"/>
      <c r="S62" s="40"/>
      <c r="T62" s="40"/>
      <c r="U62" s="17"/>
      <c r="V62" s="476"/>
      <c r="W62" s="17"/>
      <c r="X62" s="17"/>
      <c r="Y62" s="30">
        <f>SUM(Y57:Y61)</f>
        <v>0</v>
      </c>
      <c r="Z62" s="30">
        <f>SUM(Z57:Z61)</f>
        <v>0</v>
      </c>
      <c r="AA62" s="631"/>
      <c r="AB62" s="631"/>
      <c r="AC62" s="30">
        <v>5</v>
      </c>
      <c r="AD62" s="30">
        <f>SUM(AD57:AD61)</f>
        <v>0</v>
      </c>
      <c r="AE62" s="19">
        <f t="shared" si="43"/>
        <v>-116.69761670945536</v>
      </c>
      <c r="AF62" s="475">
        <f t="shared" si="9"/>
        <v>0.96110079443018159</v>
      </c>
      <c r="AG62" s="637"/>
    </row>
    <row r="63" spans="1:33" ht="15.75" customHeight="1">
      <c r="A63" s="634" t="s">
        <v>86</v>
      </c>
      <c r="B63" s="478" t="s">
        <v>116</v>
      </c>
      <c r="C63" s="633" t="s">
        <v>145</v>
      </c>
      <c r="D63" s="633"/>
      <c r="E63" s="42">
        <v>19.02</v>
      </c>
      <c r="F63" s="478">
        <v>5100</v>
      </c>
      <c r="G63" s="473">
        <f t="shared" ref="G63:G68" si="45">E63*F63</f>
        <v>97002</v>
      </c>
      <c r="H63" s="37">
        <v>2</v>
      </c>
      <c r="I63" s="474">
        <v>14</v>
      </c>
      <c r="J63" s="39">
        <v>2400</v>
      </c>
      <c r="K63" s="17">
        <f t="shared" si="1"/>
        <v>171.42857142857142</v>
      </c>
      <c r="L63" s="474">
        <v>14</v>
      </c>
      <c r="M63" s="18">
        <f t="shared" ref="M63:M68" si="46">F63/V63*60</f>
        <v>2283.5820895522393</v>
      </c>
      <c r="N63" s="17">
        <f t="shared" si="3"/>
        <v>163.11300639658853</v>
      </c>
      <c r="O63" s="19">
        <f t="shared" si="4"/>
        <v>0</v>
      </c>
      <c r="P63" s="20">
        <f t="shared" si="5"/>
        <v>-8.3155650319828851</v>
      </c>
      <c r="Q63" s="475">
        <f t="shared" si="6"/>
        <v>0.9514925373134332</v>
      </c>
      <c r="R63" s="637">
        <f>Q69</f>
        <v>0.95696109855352873</v>
      </c>
      <c r="S63" s="40">
        <v>8.3333333333333329E-2</v>
      </c>
      <c r="T63" s="40">
        <v>0.17638888888888887</v>
      </c>
      <c r="U63" s="28"/>
      <c r="V63" s="476">
        <f t="shared" ref="V63:V68" si="47">(T63-S63)*24*60</f>
        <v>133.99999999999997</v>
      </c>
      <c r="W63" s="23">
        <f>T63</f>
        <v>0.17638888888888887</v>
      </c>
      <c r="X63" s="23">
        <f>S64</f>
        <v>0.19374999999999995</v>
      </c>
      <c r="Y63" s="23"/>
      <c r="Z63" s="23"/>
      <c r="AA63" s="632"/>
      <c r="AB63" s="632"/>
      <c r="AC63" s="25">
        <v>6</v>
      </c>
      <c r="AD63" s="25"/>
      <c r="AE63" s="19">
        <f t="shared" si="43"/>
        <v>-116.41791044776073</v>
      </c>
      <c r="AF63" s="475">
        <f t="shared" si="9"/>
        <v>0.95149253731343297</v>
      </c>
      <c r="AG63" s="637">
        <f>AF69</f>
        <v>0.95696109855352873</v>
      </c>
    </row>
    <row r="64" spans="1:33" ht="15.75" customHeight="1">
      <c r="A64" s="635" t="s">
        <v>2502</v>
      </c>
      <c r="B64" s="478" t="s">
        <v>116</v>
      </c>
      <c r="C64" s="633" t="s">
        <v>146</v>
      </c>
      <c r="D64" s="633"/>
      <c r="E64" s="42">
        <v>20.36</v>
      </c>
      <c r="F64" s="478">
        <v>4100</v>
      </c>
      <c r="G64" s="473">
        <f t="shared" si="45"/>
        <v>83476</v>
      </c>
      <c r="H64" s="37" t="s">
        <v>91</v>
      </c>
      <c r="I64" s="474">
        <v>17</v>
      </c>
      <c r="J64" s="39">
        <v>2400</v>
      </c>
      <c r="K64" s="17">
        <f t="shared" si="1"/>
        <v>141.1764705882353</v>
      </c>
      <c r="L64" s="474">
        <v>17</v>
      </c>
      <c r="M64" s="18">
        <f t="shared" si="46"/>
        <v>2299.065420560748</v>
      </c>
      <c r="N64" s="17">
        <f t="shared" si="3"/>
        <v>135.23914238592636</v>
      </c>
      <c r="O64" s="19">
        <f t="shared" si="4"/>
        <v>0</v>
      </c>
      <c r="P64" s="20">
        <f t="shared" si="5"/>
        <v>-5.9373282023089473</v>
      </c>
      <c r="Q64" s="475">
        <f t="shared" si="6"/>
        <v>0.95794392523364491</v>
      </c>
      <c r="R64" s="637"/>
      <c r="S64" s="40">
        <v>0.19374999999999995</v>
      </c>
      <c r="T64" s="40">
        <v>0.26805555555555549</v>
      </c>
      <c r="U64" s="473">
        <f t="shared" ref="U64:U68" si="48">(S64-T63)*24*60</f>
        <v>24.99999999999995</v>
      </c>
      <c r="V64" s="476">
        <f t="shared" si="47"/>
        <v>106.99999999999999</v>
      </c>
      <c r="W64" s="23"/>
      <c r="X64" s="23"/>
      <c r="Y64" s="23"/>
      <c r="Z64" s="23"/>
      <c r="AA64" s="632"/>
      <c r="AB64" s="632"/>
      <c r="AC64" s="25"/>
      <c r="AD64" s="25"/>
      <c r="AE64" s="19">
        <f t="shared" si="43"/>
        <v>-100.93457943925205</v>
      </c>
      <c r="AF64" s="475">
        <f t="shared" si="9"/>
        <v>0.95794392523364502</v>
      </c>
      <c r="AG64" s="637"/>
    </row>
    <row r="65" spans="1:33" ht="15.75" customHeight="1">
      <c r="A65" s="635" t="s">
        <v>2503</v>
      </c>
      <c r="B65" s="478" t="s">
        <v>116</v>
      </c>
      <c r="C65" s="633" t="s">
        <v>149</v>
      </c>
      <c r="D65" s="633"/>
      <c r="E65" s="42">
        <v>24.25</v>
      </c>
      <c r="F65" s="478">
        <v>2848</v>
      </c>
      <c r="G65" s="473">
        <f t="shared" si="45"/>
        <v>69064</v>
      </c>
      <c r="H65" s="37" t="s">
        <v>91</v>
      </c>
      <c r="I65" s="474">
        <v>16</v>
      </c>
      <c r="J65" s="39">
        <v>2400</v>
      </c>
      <c r="K65" s="17">
        <f t="shared" si="1"/>
        <v>150</v>
      </c>
      <c r="L65" s="474">
        <v>16</v>
      </c>
      <c r="M65" s="18">
        <f t="shared" si="46"/>
        <v>2309.1891891891901</v>
      </c>
      <c r="N65" s="17">
        <f t="shared" si="3"/>
        <v>144.32432432432438</v>
      </c>
      <c r="O65" s="19">
        <f t="shared" si="4"/>
        <v>0</v>
      </c>
      <c r="P65" s="20">
        <f t="shared" si="5"/>
        <v>-5.6756756756756204</v>
      </c>
      <c r="Q65" s="475">
        <f t="shared" si="6"/>
        <v>0.96216216216216255</v>
      </c>
      <c r="R65" s="637"/>
      <c r="S65" s="40">
        <v>0.27222222222222214</v>
      </c>
      <c r="T65" s="40">
        <v>0.32361111111111102</v>
      </c>
      <c r="U65" s="473">
        <f t="shared" si="48"/>
        <v>5.9999999999999787</v>
      </c>
      <c r="V65" s="476">
        <f t="shared" si="47"/>
        <v>73.999999999999972</v>
      </c>
      <c r="W65" s="23"/>
      <c r="X65" s="23"/>
      <c r="Y65" s="23"/>
      <c r="Z65" s="23"/>
      <c r="AA65" s="632"/>
      <c r="AB65" s="632"/>
      <c r="AC65" s="25"/>
      <c r="AD65" s="25"/>
      <c r="AE65" s="19">
        <f t="shared" si="43"/>
        <v>-90.810810810809926</v>
      </c>
      <c r="AF65" s="475">
        <f t="shared" si="9"/>
        <v>0.96216216216216255</v>
      </c>
      <c r="AG65" s="637"/>
    </row>
    <row r="66" spans="1:33" ht="15.75" customHeight="1">
      <c r="A66" s="635" t="s">
        <v>86</v>
      </c>
      <c r="B66" s="478" t="s">
        <v>116</v>
      </c>
      <c r="C66" s="633" t="s">
        <v>148</v>
      </c>
      <c r="D66" s="633"/>
      <c r="E66" s="42">
        <v>28.29</v>
      </c>
      <c r="F66" s="478">
        <v>3337</v>
      </c>
      <c r="G66" s="473">
        <f t="shared" si="45"/>
        <v>94403.73</v>
      </c>
      <c r="H66" s="37" t="s">
        <v>91</v>
      </c>
      <c r="I66" s="474">
        <v>19</v>
      </c>
      <c r="J66" s="39">
        <v>2400</v>
      </c>
      <c r="K66" s="17">
        <f t="shared" si="1"/>
        <v>126.31578947368421</v>
      </c>
      <c r="L66" s="474">
        <v>19</v>
      </c>
      <c r="M66" s="18">
        <f t="shared" si="46"/>
        <v>2301.379310344827</v>
      </c>
      <c r="N66" s="17">
        <f t="shared" si="3"/>
        <v>121.12522686025405</v>
      </c>
      <c r="O66" s="19">
        <f t="shared" si="4"/>
        <v>0</v>
      </c>
      <c r="P66" s="20">
        <f t="shared" si="5"/>
        <v>-5.1905626134301599</v>
      </c>
      <c r="Q66" s="475">
        <f t="shared" si="6"/>
        <v>0.95890804597701118</v>
      </c>
      <c r="R66" s="637"/>
      <c r="S66" s="40">
        <v>0.32777777777777767</v>
      </c>
      <c r="T66" s="40">
        <v>0.38819444444444434</v>
      </c>
      <c r="U66" s="473">
        <f t="shared" si="48"/>
        <v>5.9999999999999787</v>
      </c>
      <c r="V66" s="476">
        <f t="shared" si="47"/>
        <v>87.000000000000014</v>
      </c>
      <c r="W66" s="23"/>
      <c r="X66" s="23"/>
      <c r="Y66" s="23"/>
      <c r="Z66" s="23"/>
      <c r="AA66" s="632"/>
      <c r="AB66" s="632"/>
      <c r="AC66" s="25"/>
      <c r="AD66" s="25"/>
      <c r="AE66" s="19">
        <f t="shared" si="43"/>
        <v>-98.62068965517301</v>
      </c>
      <c r="AF66" s="475">
        <f t="shared" si="9"/>
        <v>0.95890804597701129</v>
      </c>
      <c r="AG66" s="637"/>
    </row>
    <row r="67" spans="1:33" ht="15.75" customHeight="1">
      <c r="A67" s="635" t="s">
        <v>2502</v>
      </c>
      <c r="B67" s="478" t="s">
        <v>116</v>
      </c>
      <c r="C67" s="633" t="s">
        <v>1859</v>
      </c>
      <c r="D67" s="633"/>
      <c r="E67" s="42">
        <v>25.98</v>
      </c>
      <c r="F67" s="478">
        <v>4802</v>
      </c>
      <c r="G67" s="473">
        <f t="shared" si="45"/>
        <v>124755.96</v>
      </c>
      <c r="H67" s="37" t="s">
        <v>91</v>
      </c>
      <c r="I67" s="474">
        <v>19</v>
      </c>
      <c r="J67" s="39">
        <v>2400</v>
      </c>
      <c r="K67" s="17">
        <f t="shared" si="1"/>
        <v>126.31578947368421</v>
      </c>
      <c r="L67" s="474">
        <v>19</v>
      </c>
      <c r="M67" s="18">
        <f t="shared" si="46"/>
        <v>2286.6666666666661</v>
      </c>
      <c r="N67" s="17">
        <f t="shared" si="3"/>
        <v>120.35087719298242</v>
      </c>
      <c r="O67" s="19">
        <f t="shared" si="4"/>
        <v>0</v>
      </c>
      <c r="P67" s="20">
        <f t="shared" si="5"/>
        <v>-5.9649122807017818</v>
      </c>
      <c r="Q67" s="475">
        <f t="shared" si="6"/>
        <v>0.95277777777777761</v>
      </c>
      <c r="R67" s="637"/>
      <c r="S67" s="40">
        <v>0.39166666666666655</v>
      </c>
      <c r="T67" s="40">
        <v>0.47916666666666657</v>
      </c>
      <c r="U67" s="473">
        <f t="shared" si="48"/>
        <v>4.9999999999999822</v>
      </c>
      <c r="V67" s="476">
        <f t="shared" si="47"/>
        <v>126.00000000000003</v>
      </c>
      <c r="W67" s="23">
        <f>T67</f>
        <v>0.47916666666666657</v>
      </c>
      <c r="X67" s="23">
        <f>S68</f>
        <v>0.51805555555555549</v>
      </c>
      <c r="Y67" s="23"/>
      <c r="Z67" s="23"/>
      <c r="AA67" s="632"/>
      <c r="AB67" s="632"/>
      <c r="AC67" s="25"/>
      <c r="AD67" s="25"/>
      <c r="AE67" s="19">
        <f t="shared" si="43"/>
        <v>-113.33333333333394</v>
      </c>
      <c r="AF67" s="475">
        <f t="shared" si="9"/>
        <v>0.9527777777777775</v>
      </c>
      <c r="AG67" s="637"/>
    </row>
    <row r="68" spans="1:33" ht="15.75" customHeight="1">
      <c r="A68" s="635" t="s">
        <v>2504</v>
      </c>
      <c r="B68" s="478" t="s">
        <v>116</v>
      </c>
      <c r="C68" s="633" t="s">
        <v>145</v>
      </c>
      <c r="D68" s="633"/>
      <c r="E68" s="42">
        <v>19.02</v>
      </c>
      <c r="F68" s="478">
        <v>4294</v>
      </c>
      <c r="G68" s="473">
        <f t="shared" si="45"/>
        <v>81671.88</v>
      </c>
      <c r="H68" s="37" t="s">
        <v>91</v>
      </c>
      <c r="I68" s="474">
        <v>14</v>
      </c>
      <c r="J68" s="39">
        <v>2400</v>
      </c>
      <c r="K68" s="17">
        <f t="shared" si="1"/>
        <v>171.42857142857142</v>
      </c>
      <c r="L68" s="474">
        <v>14</v>
      </c>
      <c r="M68" s="18">
        <f t="shared" si="46"/>
        <v>2300.3571428571445</v>
      </c>
      <c r="N68" s="17">
        <f t="shared" si="3"/>
        <v>164.31122448979605</v>
      </c>
      <c r="O68" s="19">
        <f t="shared" si="4"/>
        <v>0</v>
      </c>
      <c r="P68" s="20">
        <f t="shared" si="5"/>
        <v>-7.1173469387753698</v>
      </c>
      <c r="Q68" s="475">
        <f t="shared" si="6"/>
        <v>0.95848214285714373</v>
      </c>
      <c r="R68" s="637"/>
      <c r="S68" s="40">
        <v>0.51805555555555549</v>
      </c>
      <c r="T68" s="40">
        <v>0.59583333333333321</v>
      </c>
      <c r="U68" s="473">
        <f t="shared" si="48"/>
        <v>56.000000000000043</v>
      </c>
      <c r="V68" s="476">
        <f t="shared" si="47"/>
        <v>111.99999999999991</v>
      </c>
      <c r="W68" s="23"/>
      <c r="X68" s="23"/>
      <c r="Y68" s="23"/>
      <c r="Z68" s="23"/>
      <c r="AA68" s="632"/>
      <c r="AB68" s="632"/>
      <c r="AC68" s="25"/>
      <c r="AD68" s="25"/>
      <c r="AE68" s="19">
        <f t="shared" si="43"/>
        <v>-99.642857142855519</v>
      </c>
      <c r="AF68" s="475">
        <f t="shared" si="9"/>
        <v>0.9584821428571435</v>
      </c>
      <c r="AG68" s="637"/>
    </row>
    <row r="69" spans="1:33" ht="16.5" customHeight="1">
      <c r="A69" s="636" t="s">
        <v>2504</v>
      </c>
      <c r="B69" s="42" t="s">
        <v>2483</v>
      </c>
      <c r="C69" s="629"/>
      <c r="D69" s="630"/>
      <c r="E69" s="481"/>
      <c r="F69" s="44"/>
      <c r="G69" s="17"/>
      <c r="H69" s="478"/>
      <c r="I69" s="29">
        <v>16.5</v>
      </c>
      <c r="J69" s="39">
        <v>2400</v>
      </c>
      <c r="K69" s="17">
        <f t="shared" ref="K69" si="49">J69/I69</f>
        <v>145.45454545454547</v>
      </c>
      <c r="L69" s="29">
        <v>16.5</v>
      </c>
      <c r="M69" s="18">
        <f>AVERAGE(M63:M68)</f>
        <v>2296.7066365284691</v>
      </c>
      <c r="N69" s="17">
        <f t="shared" ref="N69" si="50">M69/L69</f>
        <v>139.19434160778601</v>
      </c>
      <c r="O69" s="19">
        <f t="shared" ref="O69" si="51">L69-I69</f>
        <v>0</v>
      </c>
      <c r="P69" s="20">
        <f t="shared" ref="P69" si="52">N69-K69</f>
        <v>-6.2602038467594525</v>
      </c>
      <c r="Q69" s="475">
        <f t="shared" ref="Q69" si="53">N69/K69</f>
        <v>0.95696109855352873</v>
      </c>
      <c r="R69" s="637"/>
      <c r="S69" s="40"/>
      <c r="T69" s="40"/>
      <c r="U69" s="17"/>
      <c r="V69" s="476"/>
      <c r="W69" s="17"/>
      <c r="X69" s="17"/>
      <c r="Y69" s="30">
        <f>SUM(Y63:Y68)</f>
        <v>0</v>
      </c>
      <c r="Z69" s="30">
        <f>SUM(Z63:Z68)</f>
        <v>0</v>
      </c>
      <c r="AA69" s="631"/>
      <c r="AB69" s="631"/>
      <c r="AC69" s="30">
        <v>6</v>
      </c>
      <c r="AD69" s="30">
        <f>SUM(AD63:AD68)</f>
        <v>0</v>
      </c>
      <c r="AE69" s="19">
        <f t="shared" si="43"/>
        <v>-103.29336347153094</v>
      </c>
      <c r="AF69" s="475">
        <f t="shared" ref="AF69" si="54">M69/J69</f>
        <v>0.95696109855352873</v>
      </c>
      <c r="AG69" s="637"/>
    </row>
    <row r="70" spans="1:33">
      <c r="D70" s="33"/>
      <c r="E70" s="33"/>
    </row>
  </sheetData>
  <mergeCells count="185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A13:AB13"/>
    <mergeCell ref="A14:A21"/>
    <mergeCell ref="C14:D14"/>
    <mergeCell ref="R14:R21"/>
    <mergeCell ref="AA14:AB14"/>
    <mergeCell ref="AG14:AG21"/>
    <mergeCell ref="C15:D15"/>
    <mergeCell ref="AA15:AB15"/>
    <mergeCell ref="C16:D16"/>
    <mergeCell ref="AA16:AB16"/>
    <mergeCell ref="A10:A13"/>
    <mergeCell ref="C10:D10"/>
    <mergeCell ref="R10:R13"/>
    <mergeCell ref="AA10:AB10"/>
    <mergeCell ref="AG10:AG13"/>
    <mergeCell ref="C11:D11"/>
    <mergeCell ref="AA11:AB11"/>
    <mergeCell ref="C12:D12"/>
    <mergeCell ref="AA12:AB12"/>
    <mergeCell ref="C13:D13"/>
    <mergeCell ref="AG22:AG30"/>
    <mergeCell ref="C23:D23"/>
    <mergeCell ref="AA23:AB23"/>
    <mergeCell ref="C24:D24"/>
    <mergeCell ref="AA24:AB24"/>
    <mergeCell ref="C25:D25"/>
    <mergeCell ref="C17:D17"/>
    <mergeCell ref="AA17:AB17"/>
    <mergeCell ref="C18:D18"/>
    <mergeCell ref="AA18:AB18"/>
    <mergeCell ref="C21:D21"/>
    <mergeCell ref="AA21:AB21"/>
    <mergeCell ref="AA25:AB25"/>
    <mergeCell ref="C26:D26"/>
    <mergeCell ref="AA26:AB26"/>
    <mergeCell ref="C27:D27"/>
    <mergeCell ref="AA27:AB27"/>
    <mergeCell ref="C28:D28"/>
    <mergeCell ref="AA28:AB28"/>
    <mergeCell ref="A22:A30"/>
    <mergeCell ref="C22:D22"/>
    <mergeCell ref="R22:R30"/>
    <mergeCell ref="AA22:AB22"/>
    <mergeCell ref="C30:D30"/>
    <mergeCell ref="AA30:AB30"/>
    <mergeCell ref="A31:A37"/>
    <mergeCell ref="C31:D31"/>
    <mergeCell ref="R31:R37"/>
    <mergeCell ref="AA31:AB31"/>
    <mergeCell ref="AA36:AB36"/>
    <mergeCell ref="C37:D37"/>
    <mergeCell ref="AA37:AB37"/>
    <mergeCell ref="AG38:AG45"/>
    <mergeCell ref="C39:D39"/>
    <mergeCell ref="AA39:AB39"/>
    <mergeCell ref="C40:D40"/>
    <mergeCell ref="AA40:AB40"/>
    <mergeCell ref="C41:D41"/>
    <mergeCell ref="AG31:AG37"/>
    <mergeCell ref="C32:D32"/>
    <mergeCell ref="AA32:AB32"/>
    <mergeCell ref="C33:D33"/>
    <mergeCell ref="AA33:AB33"/>
    <mergeCell ref="C34:D34"/>
    <mergeCell ref="AA34:AB34"/>
    <mergeCell ref="C35:D35"/>
    <mergeCell ref="AA35:AB35"/>
    <mergeCell ref="C36:D36"/>
    <mergeCell ref="C45:D45"/>
    <mergeCell ref="AA45:AB45"/>
    <mergeCell ref="A46:A49"/>
    <mergeCell ref="C46:D46"/>
    <mergeCell ref="R46:R49"/>
    <mergeCell ref="AA46:AB46"/>
    <mergeCell ref="AA41:AB41"/>
    <mergeCell ref="C42:D42"/>
    <mergeCell ref="AA42:AB42"/>
    <mergeCell ref="C43:D43"/>
    <mergeCell ref="AA43:AB43"/>
    <mergeCell ref="C44:D44"/>
    <mergeCell ref="AA44:AB44"/>
    <mergeCell ref="A38:A45"/>
    <mergeCell ref="C38:D38"/>
    <mergeCell ref="R38:R45"/>
    <mergeCell ref="AA38:AB38"/>
    <mergeCell ref="AG50:AG56"/>
    <mergeCell ref="C51:D51"/>
    <mergeCell ref="AA51:AB51"/>
    <mergeCell ref="C52:D52"/>
    <mergeCell ref="AA52:AB52"/>
    <mergeCell ref="AA53:AB53"/>
    <mergeCell ref="AG46:AG49"/>
    <mergeCell ref="C47:D47"/>
    <mergeCell ref="AA47:AB47"/>
    <mergeCell ref="C48:D48"/>
    <mergeCell ref="AA48:AB48"/>
    <mergeCell ref="C49:D49"/>
    <mergeCell ref="AA49:AB49"/>
    <mergeCell ref="AA54:AB54"/>
    <mergeCell ref="C55:D55"/>
    <mergeCell ref="AA55:AB55"/>
    <mergeCell ref="C56:D56"/>
    <mergeCell ref="AA56:AB56"/>
    <mergeCell ref="A57:A62"/>
    <mergeCell ref="C57:D57"/>
    <mergeCell ref="R57:R62"/>
    <mergeCell ref="AA57:AB57"/>
    <mergeCell ref="AA62:AB62"/>
    <mergeCell ref="A50:A56"/>
    <mergeCell ref="C50:D50"/>
    <mergeCell ref="R50:R56"/>
    <mergeCell ref="AA50:AB50"/>
    <mergeCell ref="AG57:AG62"/>
    <mergeCell ref="C58:D58"/>
    <mergeCell ref="AA58:AB58"/>
    <mergeCell ref="C59:D59"/>
    <mergeCell ref="AA59:AB59"/>
    <mergeCell ref="C60:D60"/>
    <mergeCell ref="AA60:AB60"/>
    <mergeCell ref="C61:D61"/>
    <mergeCell ref="AA61:AB61"/>
    <mergeCell ref="C62:D62"/>
    <mergeCell ref="A63:A69"/>
    <mergeCell ref="C63:D63"/>
    <mergeCell ref="R63:R69"/>
    <mergeCell ref="AA63:AB63"/>
    <mergeCell ref="AG63:AG69"/>
    <mergeCell ref="C64:D64"/>
    <mergeCell ref="AA64:AB64"/>
    <mergeCell ref="C65:D65"/>
    <mergeCell ref="AA65:AB65"/>
    <mergeCell ref="C66:D66"/>
    <mergeCell ref="AA66:AB66"/>
    <mergeCell ref="C67:D67"/>
    <mergeCell ref="AA67:AB67"/>
    <mergeCell ref="C68:D68"/>
    <mergeCell ref="AA68:AB68"/>
    <mergeCell ref="C69:D69"/>
    <mergeCell ref="AA69:AB69"/>
  </mergeCells>
  <phoneticPr fontId="3" type="noConversion"/>
  <conditionalFormatting sqref="O60:O69 O5:O10 O13:O15 O21:O57">
    <cfRule type="cellIs" dxfId="1843" priority="44" operator="greaterThan">
      <formula>0</formula>
    </cfRule>
  </conditionalFormatting>
  <conditionalFormatting sqref="P5:P8 P60:P61 AE60:AE61 P63:P68 P31:P36 P57 P10 P13:P15 P22:P29 P50:P55 P38:P48 AE5:AE57 AE63:AE69">
    <cfRule type="cellIs" dxfId="1842" priority="48" operator="lessThan">
      <formula>0</formula>
    </cfRule>
  </conditionalFormatting>
  <conditionalFormatting sqref="AF60:AF61 Q60:Q69 Q5:Q10 Q13:Q15 Q21:Q57 AF5:AF57 AF63:AF69">
    <cfRule type="cellIs" dxfId="1841" priority="45" operator="greaterThan">
      <formula>1</formula>
    </cfRule>
    <cfRule type="cellIs" dxfId="1840" priority="46" operator="lessThan">
      <formula>0.8</formula>
    </cfRule>
  </conditionalFormatting>
  <conditionalFormatting sqref="AG14:AG15 R14:R15 AG60 R21:R27 AG21:AG27 R60:R69 AG5:AG10 R5:R10 AG30:AG57 R30:R57">
    <cfRule type="cellIs" dxfId="1839" priority="50" operator="lessThan">
      <formula>0.8</formula>
    </cfRule>
  </conditionalFormatting>
  <conditionalFormatting sqref="AG46">
    <cfRule type="cellIs" dxfId="1838" priority="52" operator="lessThan">
      <formula>0.8</formula>
    </cfRule>
  </conditionalFormatting>
  <conditionalFormatting sqref="AG22:AG27">
    <cfRule type="cellIs" dxfId="1837" priority="49" operator="lessThan">
      <formula>0.8</formula>
    </cfRule>
  </conditionalFormatting>
  <conditionalFormatting sqref="AG31">
    <cfRule type="cellIs" dxfId="1836" priority="51" operator="lessThan">
      <formula>0.8</formula>
    </cfRule>
  </conditionalFormatting>
  <conditionalFormatting sqref="AG38:AG44">
    <cfRule type="cellIs" dxfId="1835" priority="47" operator="lessThan">
      <formula>0.8</formula>
    </cfRule>
  </conditionalFormatting>
  <conditionalFormatting sqref="AE62">
    <cfRule type="cellIs" dxfId="1834" priority="43" operator="lessThan">
      <formula>0</formula>
    </cfRule>
  </conditionalFormatting>
  <conditionalFormatting sqref="AF62">
    <cfRule type="cellIs" dxfId="1833" priority="41" operator="greaterThan">
      <formula>1</formula>
    </cfRule>
    <cfRule type="cellIs" dxfId="1832" priority="42" operator="lessThan">
      <formula>0.8</formula>
    </cfRule>
  </conditionalFormatting>
  <conditionalFormatting sqref="O16:O17">
    <cfRule type="cellIs" dxfId="1831" priority="36" operator="greaterThan">
      <formula>0</formula>
    </cfRule>
  </conditionalFormatting>
  <conditionalFormatting sqref="P16:P17">
    <cfRule type="cellIs" dxfId="1830" priority="39" operator="lessThan">
      <formula>0</formula>
    </cfRule>
  </conditionalFormatting>
  <conditionalFormatting sqref="Q16:Q17">
    <cfRule type="cellIs" dxfId="1829" priority="37" operator="greaterThan">
      <formula>1</formula>
    </cfRule>
    <cfRule type="cellIs" dxfId="1828" priority="38" operator="lessThan">
      <formula>0.8</formula>
    </cfRule>
  </conditionalFormatting>
  <conditionalFormatting sqref="R16:R17 AG16:AG17">
    <cfRule type="cellIs" dxfId="1827" priority="40" operator="lessThan">
      <formula>0.8</formula>
    </cfRule>
  </conditionalFormatting>
  <conditionalFormatting sqref="O11:O12">
    <cfRule type="cellIs" dxfId="1826" priority="32" operator="greaterThan">
      <formula>0</formula>
    </cfRule>
  </conditionalFormatting>
  <conditionalFormatting sqref="P11:P12">
    <cfRule type="cellIs" dxfId="1825" priority="35" operator="lessThan">
      <formula>0</formula>
    </cfRule>
  </conditionalFormatting>
  <conditionalFormatting sqref="Q11:Q12">
    <cfRule type="cellIs" dxfId="1824" priority="33" operator="greaterThan">
      <formula>1</formula>
    </cfRule>
    <cfRule type="cellIs" dxfId="1823" priority="34" operator="lessThan">
      <formula>0.8</formula>
    </cfRule>
  </conditionalFormatting>
  <conditionalFormatting sqref="AG29 R29">
    <cfRule type="cellIs" dxfId="1822" priority="31" operator="lessThan">
      <formula>0.8</formula>
    </cfRule>
  </conditionalFormatting>
  <conditionalFormatting sqref="O59">
    <cfRule type="cellIs" dxfId="1821" priority="26" operator="greaterThan">
      <formula>0</formula>
    </cfRule>
  </conditionalFormatting>
  <conditionalFormatting sqref="P59 AE59">
    <cfRule type="cellIs" dxfId="1820" priority="29" operator="lessThan">
      <formula>0</formula>
    </cfRule>
  </conditionalFormatting>
  <conditionalFormatting sqref="Q59 AF59">
    <cfRule type="cellIs" dxfId="1819" priority="27" operator="greaterThan">
      <formula>1</formula>
    </cfRule>
    <cfRule type="cellIs" dxfId="1818" priority="28" operator="lessThan">
      <formula>0.8</formula>
    </cfRule>
  </conditionalFormatting>
  <conditionalFormatting sqref="R59 AG59">
    <cfRule type="cellIs" dxfId="1817" priority="30" operator="lessThan">
      <formula>0.8</formula>
    </cfRule>
  </conditionalFormatting>
  <conditionalFormatting sqref="O18:O19">
    <cfRule type="cellIs" dxfId="1816" priority="21" operator="greaterThan">
      <formula>0</formula>
    </cfRule>
  </conditionalFormatting>
  <conditionalFormatting sqref="P18:P19">
    <cfRule type="cellIs" dxfId="1815" priority="24" operator="lessThan">
      <formula>0</formula>
    </cfRule>
  </conditionalFormatting>
  <conditionalFormatting sqref="Q18:Q19">
    <cfRule type="cellIs" dxfId="1814" priority="22" operator="greaterThan">
      <formula>1</formula>
    </cfRule>
    <cfRule type="cellIs" dxfId="1813" priority="23" operator="lessThan">
      <formula>0.8</formula>
    </cfRule>
  </conditionalFormatting>
  <conditionalFormatting sqref="R18:R19 AG18:AG19">
    <cfRule type="cellIs" dxfId="1812" priority="25" operator="lessThan">
      <formula>0.8</formula>
    </cfRule>
  </conditionalFormatting>
  <conditionalFormatting sqref="R28 AG28">
    <cfRule type="cellIs" dxfId="1811" priority="20" operator="lessThan">
      <formula>0.8</formula>
    </cfRule>
  </conditionalFormatting>
  <conditionalFormatting sqref="AG28">
    <cfRule type="cellIs" dxfId="1810" priority="19" operator="lessThan">
      <formula>0.8</formula>
    </cfRule>
  </conditionalFormatting>
  <conditionalFormatting sqref="O58">
    <cfRule type="cellIs" dxfId="1809" priority="14" operator="greaterThan">
      <formula>0</formula>
    </cfRule>
  </conditionalFormatting>
  <conditionalFormatting sqref="P58 AE58">
    <cfRule type="cellIs" dxfId="1808" priority="17" operator="lessThan">
      <formula>0</formula>
    </cfRule>
  </conditionalFormatting>
  <conditionalFormatting sqref="Q58 AF58">
    <cfRule type="cellIs" dxfId="1807" priority="15" operator="greaterThan">
      <formula>1</formula>
    </cfRule>
    <cfRule type="cellIs" dxfId="1806" priority="16" operator="lessThan">
      <formula>0.8</formula>
    </cfRule>
  </conditionalFormatting>
  <conditionalFormatting sqref="R58 AG58">
    <cfRule type="cellIs" dxfId="1805" priority="18" operator="lessThan">
      <formula>0.8</formula>
    </cfRule>
  </conditionalFormatting>
  <conditionalFormatting sqref="O20">
    <cfRule type="cellIs" dxfId="1804" priority="9" operator="greaterThan">
      <formula>0</formula>
    </cfRule>
  </conditionalFormatting>
  <conditionalFormatting sqref="P20">
    <cfRule type="cellIs" dxfId="1803" priority="12" operator="lessThan">
      <formula>0</formula>
    </cfRule>
  </conditionalFormatting>
  <conditionalFormatting sqref="Q20">
    <cfRule type="cellIs" dxfId="1802" priority="10" operator="greaterThan">
      <formula>1</formula>
    </cfRule>
    <cfRule type="cellIs" dxfId="1801" priority="11" operator="lessThan">
      <formula>0.8</formula>
    </cfRule>
  </conditionalFormatting>
  <conditionalFormatting sqref="AG20 R20">
    <cfRule type="cellIs" dxfId="1800" priority="13" operator="lessThan">
      <formula>0.8</formula>
    </cfRule>
  </conditionalFormatting>
  <conditionalFormatting sqref="P9">
    <cfRule type="cellIs" dxfId="1799" priority="8" operator="lessThan">
      <formula>0</formula>
    </cfRule>
  </conditionalFormatting>
  <conditionalFormatting sqref="P21">
    <cfRule type="cellIs" dxfId="1798" priority="7" operator="lessThan">
      <formula>0</formula>
    </cfRule>
  </conditionalFormatting>
  <conditionalFormatting sqref="P30">
    <cfRule type="cellIs" dxfId="1797" priority="6" operator="lessThan">
      <formula>0</formula>
    </cfRule>
  </conditionalFormatting>
  <conditionalFormatting sqref="P37">
    <cfRule type="cellIs" dxfId="1796" priority="5" operator="lessThan">
      <formula>0</formula>
    </cfRule>
  </conditionalFormatting>
  <conditionalFormatting sqref="P49">
    <cfRule type="cellIs" dxfId="1795" priority="4" operator="lessThan">
      <formula>0</formula>
    </cfRule>
  </conditionalFormatting>
  <conditionalFormatting sqref="P56">
    <cfRule type="cellIs" dxfId="1794" priority="3" operator="lessThan">
      <formula>0</formula>
    </cfRule>
  </conditionalFormatting>
  <conditionalFormatting sqref="P62">
    <cfRule type="cellIs" dxfId="1793" priority="2" operator="lessThan">
      <formula>0</formula>
    </cfRule>
  </conditionalFormatting>
  <conditionalFormatting sqref="P69">
    <cfRule type="cellIs" dxfId="1792" priority="1" operator="lessThan">
      <formula>0</formula>
    </cfRule>
  </conditionalFormatting>
  <dataValidations count="1">
    <dataValidation type="list" allowBlank="1" showInputMessage="1" showErrorMessage="1" sqref="AB9 AA5:AB8 AB61 AA9:AA61 AB11:AB57 AA62:AB69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S8" sqref="S8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612" t="s">
        <v>2316</v>
      </c>
      <c r="C1" s="612"/>
      <c r="D1" s="612"/>
      <c r="E1" s="612"/>
      <c r="F1" s="612"/>
      <c r="G1" s="612"/>
      <c r="H1" s="612"/>
      <c r="I1" s="612"/>
      <c r="J1" s="612"/>
      <c r="K1" s="51"/>
      <c r="L1" s="51"/>
      <c r="M1" s="51"/>
      <c r="N1" s="51"/>
      <c r="O1" s="51"/>
      <c r="P1" s="51"/>
    </row>
    <row r="2" spans="2:17" ht="27.75" customHeight="1">
      <c r="B2" s="613"/>
      <c r="C2" s="613"/>
      <c r="D2" s="613"/>
      <c r="E2" s="613"/>
      <c r="F2" s="613"/>
      <c r="G2" s="613"/>
      <c r="H2" s="613"/>
      <c r="I2" s="613"/>
      <c r="J2" s="613"/>
      <c r="K2" s="53"/>
      <c r="L2" s="53"/>
      <c r="M2" s="53"/>
      <c r="N2" s="51"/>
      <c r="O2" s="51"/>
      <c r="P2" s="51"/>
    </row>
    <row r="3" spans="2:17" ht="46.5" customHeight="1">
      <c r="B3" s="54" t="s">
        <v>2317</v>
      </c>
      <c r="C3" s="614" t="str">
        <f>TEXT('0825 4度C'!A2,"yyyy.mm.ddaaaa")</f>
        <v>2026.08.25星期二</v>
      </c>
      <c r="D3" s="615"/>
      <c r="E3" s="54" t="s">
        <v>2318</v>
      </c>
      <c r="F3" s="616">
        <f>'0825 4度C'!D1</f>
        <v>184067</v>
      </c>
      <c r="G3" s="617"/>
      <c r="H3" s="54" t="s">
        <v>2319</v>
      </c>
      <c r="I3" s="618">
        <f>'0825 4度C'!F1</f>
        <v>6701763.2599999988</v>
      </c>
      <c r="J3" s="619"/>
      <c r="K3" s="55"/>
      <c r="L3" s="56"/>
      <c r="M3" s="57"/>
      <c r="N3" s="57"/>
    </row>
    <row r="4" spans="2:17" ht="28.5" customHeight="1">
      <c r="B4" s="620" t="s">
        <v>2320</v>
      </c>
      <c r="C4" s="606" t="s">
        <v>2321</v>
      </c>
      <c r="D4" s="607"/>
      <c r="E4" s="623" t="s">
        <v>2322</v>
      </c>
      <c r="F4" s="624"/>
      <c r="G4" s="623" t="s">
        <v>2323</v>
      </c>
      <c r="H4" s="624"/>
      <c r="I4" s="623" t="s">
        <v>2324</v>
      </c>
      <c r="J4" s="624"/>
      <c r="K4" s="604" t="s">
        <v>2325</v>
      </c>
      <c r="L4" s="605"/>
      <c r="M4" s="605" t="s">
        <v>2326</v>
      </c>
      <c r="N4" s="605"/>
    </row>
    <row r="5" spans="2:17" ht="28.5" customHeight="1">
      <c r="B5" s="621"/>
      <c r="C5" s="606" t="s">
        <v>2327</v>
      </c>
      <c r="D5" s="607"/>
      <c r="E5" s="606" t="s">
        <v>2328</v>
      </c>
      <c r="F5" s="607"/>
      <c r="G5" s="608" t="s">
        <v>2329</v>
      </c>
      <c r="H5" s="609"/>
      <c r="I5" s="610" t="s">
        <v>165</v>
      </c>
      <c r="J5" s="611"/>
      <c r="K5" s="58" t="s">
        <v>2330</v>
      </c>
      <c r="L5" s="59" t="s">
        <v>2331</v>
      </c>
      <c r="M5" s="58" t="s">
        <v>2330</v>
      </c>
      <c r="N5" s="59" t="s">
        <v>2332</v>
      </c>
    </row>
    <row r="6" spans="2:17" ht="28.5" customHeight="1">
      <c r="B6" s="621"/>
      <c r="C6" s="606" t="s">
        <v>169</v>
      </c>
      <c r="D6" s="607"/>
      <c r="E6" s="598">
        <f>AVERAGE(D13:M13)</f>
        <v>156.30130255788799</v>
      </c>
      <c r="F6" s="599">
        <f>AVERAGE(D31:O31,D13:J13)</f>
        <v>163.96257406490616</v>
      </c>
      <c r="G6" s="600">
        <f>AVERAGE(D13:J13)</f>
        <v>163.96257406490616</v>
      </c>
      <c r="H6" s="601"/>
      <c r="I6" s="600">
        <f>AVERAGE(K13:M13)</f>
        <v>138.4250023748456</v>
      </c>
      <c r="J6" s="601"/>
      <c r="K6" s="602">
        <f>'0825 4度C'!Y2</f>
        <v>0</v>
      </c>
      <c r="L6" s="587">
        <f>'0825 4度C'!Z2</f>
        <v>0</v>
      </c>
      <c r="M6" s="603">
        <f>'0825 4度C'!AC2</f>
        <v>58</v>
      </c>
      <c r="N6" s="587">
        <f>'0825 4度C'!AD2</f>
        <v>0</v>
      </c>
    </row>
    <row r="7" spans="2:17" ht="28.5" customHeight="1">
      <c r="B7" s="621"/>
      <c r="C7" s="588" t="s">
        <v>170</v>
      </c>
      <c r="D7" s="589"/>
      <c r="E7" s="590">
        <f>AVERAGE(D14:M14)</f>
        <v>150.02632131002298</v>
      </c>
      <c r="F7" s="591">
        <f>AVERAGE(D32:O32,D14:J14)</f>
        <v>157.58624421329299</v>
      </c>
      <c r="G7" s="592">
        <f>AVERAGE(D14:J14)</f>
        <v>157.58624421329299</v>
      </c>
      <c r="H7" s="593"/>
      <c r="I7" s="592">
        <f>AVERAGE(K14:M14)</f>
        <v>132.38650120239296</v>
      </c>
      <c r="J7" s="593"/>
      <c r="K7" s="602"/>
      <c r="L7" s="587"/>
      <c r="M7" s="603"/>
      <c r="N7" s="587"/>
    </row>
    <row r="8" spans="2:17" ht="28.5" customHeight="1">
      <c r="B8" s="622"/>
      <c r="C8" s="588" t="s">
        <v>171</v>
      </c>
      <c r="D8" s="589"/>
      <c r="E8" s="594">
        <f>AVERAGE(D15:M15)</f>
        <v>0.95870238966157773</v>
      </c>
      <c r="F8" s="595">
        <f>AVERAGE(D15:J15,D33:O33)</f>
        <v>0.95971428198554065</v>
      </c>
      <c r="G8" s="596">
        <f>AVERAGE(D15:J15)</f>
        <v>0.95971428198554065</v>
      </c>
      <c r="H8" s="597"/>
      <c r="I8" s="596">
        <f>AVERAGE(K15:M15)</f>
        <v>0.95634130757233116</v>
      </c>
      <c r="J8" s="597"/>
      <c r="K8" s="602"/>
      <c r="L8" s="587"/>
      <c r="M8" s="603"/>
      <c r="N8" s="587"/>
    </row>
    <row r="9" spans="2:17" ht="28.5" customHeight="1" thickBot="1">
      <c r="H9" s="61"/>
      <c r="K9" s="62" t="s">
        <v>2333</v>
      </c>
      <c r="N9" s="57"/>
      <c r="O9" s="57"/>
      <c r="P9" s="57"/>
      <c r="Q9" s="57"/>
    </row>
    <row r="10" spans="2:17" ht="30" customHeight="1">
      <c r="B10" s="570" t="s">
        <v>2334</v>
      </c>
      <c r="C10" s="571"/>
      <c r="D10" s="572" t="s">
        <v>2335</v>
      </c>
      <c r="E10" s="573"/>
      <c r="F10" s="573"/>
      <c r="G10" s="573"/>
      <c r="H10" s="573"/>
      <c r="I10" s="573"/>
      <c r="J10" s="574"/>
      <c r="K10" s="575" t="s">
        <v>2336</v>
      </c>
      <c r="L10" s="576"/>
      <c r="M10" s="577"/>
      <c r="P10" s="63"/>
      <c r="Q10" s="63"/>
    </row>
    <row r="11" spans="2:17" ht="17.25" customHeight="1">
      <c r="B11" s="578" t="s">
        <v>2337</v>
      </c>
      <c r="C11" s="579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80"/>
      <c r="C12" s="581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582" t="s">
        <v>13</v>
      </c>
      <c r="C13" s="70" t="s">
        <v>2338</v>
      </c>
      <c r="D13" s="71">
        <f>SUMIFS('0825 4度C'!$K:$K,'0825 4度C'!$A:$A,"新豐6線",'0825 4度C'!$B:$B,"平均")</f>
        <v>129.03225806451613</v>
      </c>
      <c r="E13" s="72">
        <f>SUMIFS('0825 4度C'!$K:$K,'0825 4度C'!$A:$A,"新豐2線",'0825 4度C'!$B:$B,"平均")</f>
        <v>88.235294117647058</v>
      </c>
      <c r="F13" s="73">
        <f>SUMIFS('0825 4度C'!$K:$K,'0825 4度C'!$A:$A,"新豐5線",'0825 4度C'!$B:$B,"平均")</f>
        <v>96.899224806201559</v>
      </c>
      <c r="G13" s="73">
        <f>SUMIFS('0825 4度C'!$K:$K,'0825 4度C'!$A:$A,"新豐7線",'0825 4度C'!$B:$B,"平均")</f>
        <v>121.21212121212122</v>
      </c>
      <c r="H13" s="73">
        <f>SUMIFS('0825 4度C'!$K:$K,'0825 4度C'!$A:$A,"新豐3線",'0825 4度C'!$B:$B,"平均")</f>
        <v>315.78947368421052</v>
      </c>
      <c r="I13" s="73">
        <f>SUMIFS('0825 4度C'!$K:$K,'0825 4度C'!$A:$A,"新豐1線",'0825 4度C'!$B:$B,"平均")</f>
        <v>108.10810810810811</v>
      </c>
      <c r="J13" s="74">
        <f>SUMIFS('0825 4度C'!$K:$K,'0825 4度C'!$A:$A,"新豐10線",'0825 4度C'!$B:$B,"平均")</f>
        <v>288.46153846153845</v>
      </c>
      <c r="K13" s="75">
        <f>SUMIFS('0825 4度C'!$K:$K,'0825 4度C'!$A:$A,"新豐8線",'0825 4度C'!$B:$B,"平均")</f>
        <v>144.82758620689654</v>
      </c>
      <c r="L13" s="76">
        <f>SUMIFS('0825 4度C'!$K:$K,'0825 4度C'!$A:$A,"新豐9線",'0825 4度C'!$B:$B,"平均")</f>
        <v>125.61983471074382</v>
      </c>
      <c r="M13" s="74">
        <f>SUMIFS('0825 4度C'!$K:$K,'0825 4度C'!$A:$A,"新豐4線",'0825 4度C'!$B:$B,"平均")</f>
        <v>144.82758620689654</v>
      </c>
    </row>
    <row r="14" spans="2:17" ht="39.6" customHeight="1">
      <c r="B14" s="583"/>
      <c r="C14" s="77" t="s">
        <v>2339</v>
      </c>
      <c r="D14" s="78">
        <f>SUMIFS('0825 4度C'!$N:$N,'0825 4度C'!$A:$A,"新豐6線",'0825 4度C'!$B:$B,"平均")</f>
        <v>123.59622072999299</v>
      </c>
      <c r="E14" s="79">
        <f>SUMIFS('0825 4度C'!$N:$N,'0825 4度C'!$A:$A,"新豐2線",'0825 4度C'!$B:$B,"平均")</f>
        <v>84.344939145248745</v>
      </c>
      <c r="F14" s="79">
        <f>SUMIFS('0825 4度C'!$N:$N,'0825 4度C'!$A:$A,"新豐5線",'0825 4度C'!$B:$B,"平均")</f>
        <v>92.644488740211045</v>
      </c>
      <c r="G14" s="79">
        <f>SUMIFS('0825 4度C'!$N:$N,'0825 4度C'!$A:$A,"新豐7線",'0825 4度C'!$B:$B,"平均")</f>
        <v>116.7541347751271</v>
      </c>
      <c r="H14" s="79">
        <f>SUMIFS('0825 4度C'!$N:$N,'0825 4度C'!$A:$A,"新豐3線",'0825 4度C'!$B:$B,"平均")</f>
        <v>304.10454700535558</v>
      </c>
      <c r="I14" s="79">
        <f>SUMIFS('0825 4度C'!$N:$N,'0825 4度C'!$A:$A,"新豐1線",'0825 4度C'!$B:$B,"平均")</f>
        <v>103.54299207742656</v>
      </c>
      <c r="J14" s="80">
        <f>SUMIFS('0825 4度C'!$N:$N,'0825 4度C'!$A:$A,"新豐10線",'0825 4度C'!$B:$B,"平均")</f>
        <v>278.11638701968894</v>
      </c>
      <c r="K14" s="81">
        <f>SUMIFS('0825 4度C'!$N:$N,'0825 4度C'!$A:$A,"新豐8線",'0825 4度C'!$B:$B,"平均")</f>
        <v>138.43694706876016</v>
      </c>
      <c r="L14" s="82">
        <f>SUMIFS('0825 4度C'!$N:$N,'0825 4度C'!$A:$A,"新豐9線",'0825 4度C'!$B:$B,"平均")</f>
        <v>120.03824979537633</v>
      </c>
      <c r="M14" s="80">
        <f>SUMIFS('0825 4度C'!$N:$N,'0825 4度C'!$A:$A,"新豐4線",'0825 4度C'!$B:$B,"平均")</f>
        <v>138.68430674304244</v>
      </c>
    </row>
    <row r="15" spans="2:17" ht="40.15" customHeight="1">
      <c r="B15" s="584"/>
      <c r="C15" s="83" t="s">
        <v>2340</v>
      </c>
      <c r="D15" s="84">
        <f t="shared" ref="D15:M15" si="0">D14/D13</f>
        <v>0.95787071065744567</v>
      </c>
      <c r="E15" s="85">
        <f t="shared" si="0"/>
        <v>0.95590931031281912</v>
      </c>
      <c r="F15" s="85">
        <f t="shared" si="0"/>
        <v>0.95609112379897787</v>
      </c>
      <c r="G15" s="85">
        <f t="shared" si="0"/>
        <v>0.96322161189479849</v>
      </c>
      <c r="H15" s="85">
        <f t="shared" si="0"/>
        <v>0.96299773218362605</v>
      </c>
      <c r="I15" s="85">
        <f t="shared" si="0"/>
        <v>0.9577726767161957</v>
      </c>
      <c r="J15" s="86">
        <f t="shared" si="0"/>
        <v>0.96413680833492166</v>
      </c>
      <c r="K15" s="84">
        <f t="shared" si="0"/>
        <v>0.95587415833191547</v>
      </c>
      <c r="L15" s="85">
        <f t="shared" si="0"/>
        <v>0.95556764639740355</v>
      </c>
      <c r="M15" s="86">
        <f t="shared" si="0"/>
        <v>0.95758211798767412</v>
      </c>
    </row>
    <row r="16" spans="2:17" ht="17.25" customHeight="1">
      <c r="B16" s="585" t="s">
        <v>2341</v>
      </c>
      <c r="C16" s="87" t="s">
        <v>2342</v>
      </c>
      <c r="D16" s="88">
        <f>VLOOKUP("新豐6線",'0825 4度C'!$A:$T,19,0)</f>
        <v>0.70833333333333337</v>
      </c>
      <c r="E16" s="89">
        <f>VLOOKUP("新豐2線",'0825 4度C'!$A:$T,19,0)</f>
        <v>8.3333333333333329E-2</v>
      </c>
      <c r="F16" s="89">
        <f>VLOOKUP("新豐5線",'0825 4度C'!$A:$T,19,0)</f>
        <v>0.125</v>
      </c>
      <c r="G16" s="89">
        <f>VLOOKUP("新豐7線",'0825 4度C'!$A:$T,19,0)</f>
        <v>0.20833333333333334</v>
      </c>
      <c r="H16" s="89">
        <f>VLOOKUP("新豐3線",'0825 4度C'!$A:$T,19,0)</f>
        <v>0.20833333333333334</v>
      </c>
      <c r="I16" s="89">
        <f>VLOOKUP("新豐1線",'0825 4度C'!$A:$T,19,0)</f>
        <v>0.20833333333333334</v>
      </c>
      <c r="J16" s="90">
        <f>VLOOKUP("新豐10線",'0825 4度C'!$A:$T,19,0)</f>
        <v>0.20833333333333334</v>
      </c>
      <c r="K16" s="91">
        <f>VLOOKUP("新豐8線",'0825 4度C'!$A:$T,19,0)</f>
        <v>8.3333333333333329E-2</v>
      </c>
      <c r="L16" s="92">
        <f>VLOOKUP("新豐9線",'0825 4度C'!$A:$T,19,0)</f>
        <v>8.3333333333333329E-2</v>
      </c>
      <c r="M16" s="93">
        <f>VLOOKUP("新豐4線",'0825 4度C'!$A:$T,19,0)</f>
        <v>8.3333333333333329E-2</v>
      </c>
    </row>
    <row r="17" spans="2:13" ht="17.25" customHeight="1">
      <c r="B17" s="586"/>
      <c r="C17" s="87" t="s">
        <v>2343</v>
      </c>
      <c r="D17" s="91">
        <f>LOOKUP(2,1/(('0825 4度C'!$A:$A="新豐6線")*('0825 4度C'!$T:$T&lt;&gt;"")),'0825 4度C'!$T:$T)</f>
        <v>0.9243055555555556</v>
      </c>
      <c r="E17" s="89">
        <f>LOOKUP(2,1/(('0825 4度C'!$A:$A="新豐2線")*('0825 4度C'!$T:$T&lt;&gt;"")),'0825 4度C'!$T:$T)</f>
        <v>0.50069444444444444</v>
      </c>
      <c r="F17" s="89">
        <f>LOOKUP(2,1/(('0825 4度C'!$A:$A="新豐5線")*('0825 4度C'!$T:$T&lt;&gt;"")),'0825 4度C'!$T:$T)</f>
        <v>0.84722222222222221</v>
      </c>
      <c r="G17" s="89">
        <f>LOOKUP(2,1/(('0825 4度C'!$A:$A="新豐7線")*('0825 4度C'!$T:$T&lt;&gt;"")),'0825 4度C'!$T:$T)</f>
        <v>0.83680555555555558</v>
      </c>
      <c r="H17" s="89">
        <f>LOOKUP(2,1/(('0825 4度C'!$A:$A="新豐3線")*('0825 4度C'!$T:$T&lt;&gt;"")),'0825 4度C'!$T:$T)</f>
        <v>0.44166666666666665</v>
      </c>
      <c r="I17" s="89">
        <f>LOOKUP(2,1/(('0825 4度C'!$A:$A="新豐1線")*('0825 4度C'!$T:$T&lt;&gt;"")),'0825 4度C'!$T:$T)</f>
        <v>0.84305555555555556</v>
      </c>
      <c r="J17" s="90">
        <f>LOOKUP(2,1/(('0825 4度C'!$A:$A="新豐10線")*('0825 4度C'!$T:$T&lt;&gt;"")),'0825 4度C'!$T:$T)</f>
        <v>0.42499999999999993</v>
      </c>
      <c r="K17" s="88">
        <f>LOOKUP(2,1/(('0825 4度C'!$A:$A="新豐8線")*('0825 4度C'!$T:$T&lt;&gt;"")),'0825 4度C'!$T:$T)</f>
        <v>0.6631944444444442</v>
      </c>
      <c r="L17" s="89">
        <f>LOOKUP(2,1/(('0825 4度C'!$A:$A="新豐9線")*('0825 4度C'!$T:$T&lt;&gt;"")),'0825 4度C'!$T:$T)</f>
        <v>0.68680555555555556</v>
      </c>
      <c r="M17" s="90">
        <f>LOOKUP(2,1/(('0825 4度C'!$A:$A="新豐4線")*('0825 4度C'!$T:$T&lt;&gt;"")),'0825 4度C'!$T:$T)</f>
        <v>0.6694444444444444</v>
      </c>
    </row>
    <row r="18" spans="2:13" ht="17.25" customHeight="1">
      <c r="B18" s="564" t="s">
        <v>2344</v>
      </c>
      <c r="C18" s="94" t="s">
        <v>2345</v>
      </c>
      <c r="D18" s="95">
        <f>SUMIFS('0825 4度C'!$Y:$Y,'0825 4度C'!$A:$A,"新豐6線",'0825 4度C'!$B:$B,"平均")</f>
        <v>0</v>
      </c>
      <c r="E18" s="96">
        <f>SUMIFS('0825 4度C'!$Y:$Y,'0825 4度C'!$A:$A,"新豐2線",'0825 4度C'!$B:$B,"平均")</f>
        <v>0</v>
      </c>
      <c r="F18" s="96">
        <f>SUMIFS('0825 4度C'!$Y:$Y,'0825 4度C'!$A:$A,"新豐5線",'0825 4度C'!$B:$B,"平均")</f>
        <v>0</v>
      </c>
      <c r="G18" s="96">
        <f>SUMIFS('0825 4度C'!$Y:$Y,'0825 4度C'!$A:$A,"新豐7線",'0825 4度C'!$B:$B,"平均")</f>
        <v>0</v>
      </c>
      <c r="H18" s="96">
        <f>SUMIFS('0825 4度C'!$Y:$Y,'0825 4度C'!$A:$A,"新豐3線",'0825 4度C'!$B:$B,"平均")</f>
        <v>0</v>
      </c>
      <c r="I18" s="96">
        <f>SUMIFS('0825 4度C'!$Y:$Y,'0825 4度C'!$A:$A,"新豐1線",'0825 4度C'!$B:$B,"平均")</f>
        <v>0</v>
      </c>
      <c r="J18" s="97">
        <f>SUMIFS('0825 4度C'!$Y:$Y,'0825 4度C'!$A:$A,"新豐10線",'0825 4度C'!$B:$B,"平均")</f>
        <v>0</v>
      </c>
      <c r="K18" s="98">
        <f>SUMIFS('0825 4度C'!$Y:$Y,'0825 4度C'!$A:$A,"新豐8線",'0825 4度C'!$B:$B,"平均")</f>
        <v>0</v>
      </c>
      <c r="L18" s="96">
        <f>SUMIFS('0825 4度C'!$Y:$Y,'0825 4度C'!$A:$A,"新豐9線",'0825 4度C'!$B:$B,"平均")</f>
        <v>0</v>
      </c>
      <c r="M18" s="97">
        <f>SUMIFS('0825 4度C'!$Y:$Y,'0825 4度C'!$A:$A,"新豐4線",'0825 4度C'!$B:$B,"平均")</f>
        <v>0</v>
      </c>
    </row>
    <row r="19" spans="2:13" ht="17.25" customHeight="1">
      <c r="B19" s="565"/>
      <c r="C19" s="94" t="s">
        <v>2346</v>
      </c>
      <c r="D19" s="95">
        <f>SUMIFS('0825 4度C'!$Z:$Z,'0825 4度C'!$A:$A,"新豐6線",'0825 4度C'!$B:$B,"平均")</f>
        <v>0</v>
      </c>
      <c r="E19" s="96">
        <f>SUMIFS('0825 4度C'!$Z:$Z,'0825 4度C'!$A:$A,"新豐2線",'0825 4度C'!$B:$B,"平均")</f>
        <v>0</v>
      </c>
      <c r="F19" s="96">
        <f>SUMIFS('0825 4度C'!$Z:$Z,'0825 4度C'!$A:$A,"新豐5線",'0825 4度C'!$B:$B,"平均")</f>
        <v>0</v>
      </c>
      <c r="G19" s="96">
        <f>SUMIFS('0825 4度C'!$Z:$Z,'0825 4度C'!$A:$A,"新豐7線",'0825 4度C'!$B:$B,"平均")</f>
        <v>0</v>
      </c>
      <c r="H19" s="96">
        <f>SUMIFS('0825 4度C'!$Z:$Z,'0825 4度C'!$A:$A,"新豐3線",'0825 4度C'!$B:$B,"平均")</f>
        <v>0</v>
      </c>
      <c r="I19" s="96">
        <f>SUMIFS('0825 4度C'!$Z:$Z,'0825 4度C'!$A:$A,"新豐1線",'0825 4度C'!$B:$B,"平均")</f>
        <v>0</v>
      </c>
      <c r="J19" s="97">
        <f>SUMIFS('0825 4度C'!$Z:$Z,'0825 4度C'!$A:$A,"新豐10線",'0825 4度C'!$B:$B,"平均")</f>
        <v>0</v>
      </c>
      <c r="K19" s="98">
        <f>SUMIFS('0825 4度C'!$Z:$Z,'0825 4度C'!$A:$A,"新豐8線",'0825 4度C'!$B:$B,"平均")</f>
        <v>0</v>
      </c>
      <c r="L19" s="96">
        <f>SUMIFS('0825 4度C'!$Z:$Z,'0825 4度C'!$A:$A,"新豐9線",'0825 4度C'!$B:$B,"平均")</f>
        <v>0</v>
      </c>
      <c r="M19" s="97">
        <f>SUMIFS('0825 4度C'!$Z:$Z,'0825 4度C'!$A:$A,"新豐4線",'0825 4度C'!$B:$B,"平均")</f>
        <v>0</v>
      </c>
    </row>
    <row r="20" spans="2:13" ht="17.25" customHeight="1">
      <c r="B20" s="564" t="s">
        <v>2347</v>
      </c>
      <c r="C20" s="94" t="s">
        <v>2345</v>
      </c>
      <c r="D20" s="95">
        <f>SUMIFS('0825 4度C'!$AC:$AC,'0825 4度C'!$A:$A,"新豐6線",'0825 4度C'!$B:$B,"平均")</f>
        <v>4</v>
      </c>
      <c r="E20" s="96">
        <f>SUMIFS('0825 4度C'!$AC:$AC,'0825 4度C'!$A:$A,"新豐2線",'0825 4度C'!$B:$B,"平均")</f>
        <v>3</v>
      </c>
      <c r="F20" s="96">
        <f>SUMIFS('0825 4度C'!$AC:$AC,'0825 4度C'!$A:$A,"新豐5線",'0825 4度C'!$B:$B,"平均")</f>
        <v>7</v>
      </c>
      <c r="G20" s="96">
        <f>SUMIFS('0825 4度C'!$AC:$AC,'0825 4度C'!$A:$A,"新豐7線",'0825 4度C'!$B:$B,"平均")</f>
        <v>8</v>
      </c>
      <c r="H20" s="96">
        <f>SUMIFS('0825 4度C'!$AC:$AC,'0825 4度C'!$A:$A,"新豐3線",'0825 4度C'!$B:$B,"平均")</f>
        <v>4</v>
      </c>
      <c r="I20" s="96">
        <f>SUMIFS('0825 4度C'!$AC:$AC,'0825 4度C'!$A:$A,"新豐1線",'0825 4度C'!$B:$B,"平均")</f>
        <v>6</v>
      </c>
      <c r="J20" s="97">
        <f>SUMIFS('0825 4度C'!$AC:$AC,'0825 4度C'!$A:$A,"新豐10線",'0825 4度C'!$B:$B,"平均")</f>
        <v>5</v>
      </c>
      <c r="K20" s="98">
        <f>SUMIFS('0825 4度C'!$AC:$AC,'0825 4度C'!$A:$A,"新豐8線",'0825 4度C'!$B:$B,"平均")</f>
        <v>7</v>
      </c>
      <c r="L20" s="96">
        <f>SUMIFS('0825 4度C'!$AC:$AC,'0825 4度C'!$A:$A,"新豐9線",'0825 4度C'!$B:$B,"平均")</f>
        <v>7</v>
      </c>
      <c r="M20" s="97">
        <f>SUMIFS('0825 4度C'!$AC:$AC,'0825 4度C'!$A:$A,"新豐4線",'0825 4度C'!$B:$B,"平均")</f>
        <v>7</v>
      </c>
    </row>
    <row r="21" spans="2:13" ht="17.25" customHeight="1">
      <c r="B21" s="565"/>
      <c r="C21" s="94" t="s">
        <v>2348</v>
      </c>
      <c r="D21" s="95">
        <f>SUMIFS('0825 4度C'!$AD:$AD,'0825 4度C'!$A:$A,"新豐6線",'0825 4度C'!$B:$B,"平均")</f>
        <v>0</v>
      </c>
      <c r="E21" s="96">
        <f>SUMIFS('0825 4度C'!$AD:$AD,'0825 4度C'!$A:$A,"新豐2線",'0825 4度C'!$B:$B,"平均")</f>
        <v>0</v>
      </c>
      <c r="F21" s="96">
        <f>SUMIFS('0825 4度C'!$AD:$AD,'0825 4度C'!$A:$A,"新豐5線",'0825 4度C'!$B:$B,"平均")</f>
        <v>0</v>
      </c>
      <c r="G21" s="96">
        <f>SUMIFS('0825 4度C'!$AD:$AD,'0825 4度C'!$A:$A,"新豐7線",'0825 4度C'!$B:$B,"平均")</f>
        <v>0</v>
      </c>
      <c r="H21" s="96">
        <f>SUMIFS('0825 4度C'!$AD:$AD,'0825 4度C'!$A:$A,"新豐3線",'0825 4度C'!$B:$B,"平均")</f>
        <v>0</v>
      </c>
      <c r="I21" s="96">
        <f>SUMIFS('0825 4度C'!$AD:$AD,'0825 4度C'!$A:$A,"新豐1線",'0825 4度C'!$B:$B,"平均")</f>
        <v>0</v>
      </c>
      <c r="J21" s="97">
        <f>SUMIFS('0825 4度C'!$AD:$AD,'0825 4度C'!$A:$A,"新豐10線",'0825 4度C'!$B:$B,"平均")</f>
        <v>0</v>
      </c>
      <c r="K21" s="98">
        <f>SUMIFS('0825 4度C'!$AD:$AD,'0825 4度C'!$A:$A,"新豐8線",'0825 4度C'!$B:$B,"平均")</f>
        <v>0</v>
      </c>
      <c r="L21" s="96">
        <f>SUMIFS('0825 4度C'!$AD:$AD,'0825 4度C'!$A:$A,"新豐9線",'0825 4度C'!$B:$B,"平均")</f>
        <v>0</v>
      </c>
      <c r="M21" s="97">
        <f>SUMIFS('0825 4度C'!$AD:$AD,'0825 4度C'!$A:$A,"新豐4線",'0825 4度C'!$B:$B,"平均")</f>
        <v>0</v>
      </c>
    </row>
    <row r="22" spans="2:13" ht="17.25" customHeight="1">
      <c r="B22" s="566" t="s">
        <v>2349</v>
      </c>
      <c r="C22" s="567"/>
      <c r="D22" s="99">
        <f>SUMIFS('0825 4度C'!$I:$I,'0825 4度C'!$A:$A,"新豐6線",'0825 4度C'!$B:$B,"平均")</f>
        <v>15.5</v>
      </c>
      <c r="E22" s="100">
        <f>SUMIFS('0825 4度C'!$I:$I,'0825 4度C'!$A:$A,"新豐2線",'0825 4度C'!$B:$B,"平均")</f>
        <v>17</v>
      </c>
      <c r="F22" s="100">
        <f>SUMIFS('0825 4度C'!$I:$I,'0825 4度C'!$A:$A,"新豐5線",'0825 4度C'!$B:$B,"平均")</f>
        <v>18.428571428571427</v>
      </c>
      <c r="G22" s="100">
        <f>SUMIFS('0825 4度C'!$I:$I,'0825 4度C'!$A:$A,"新豐7線",'0825 4度C'!$B:$B,"平均")</f>
        <v>16.5</v>
      </c>
      <c r="H22" s="100">
        <f>SUMIFS('0825 4度C'!$I:$I,'0825 4度C'!$A:$A,"新豐3線",'0825 4度C'!$B:$B,"平均")</f>
        <v>9.5</v>
      </c>
      <c r="I22" s="100">
        <f>SUMIFS('0825 4度C'!$I:$I,'0825 4度C'!$A:$A,"新豐1線",'0825 4度C'!$B:$B,"平均")</f>
        <v>18.5</v>
      </c>
      <c r="J22" s="101">
        <f>SUMIFS('0825 4度C'!$I:$I,'0825 4度C'!$A:$A,"新豐10線",'0825 4度C'!$B:$B,"平均")</f>
        <v>10.4</v>
      </c>
      <c r="K22" s="99">
        <f>SUMIFS('0825 4度C'!$I:$I,'0825 4度C'!$A:$A,"新豐8線",'0825 4度C'!$B:$B,"平均")</f>
        <v>16.571428571428573</v>
      </c>
      <c r="L22" s="100">
        <f>SUMIFS('0825 4度C'!$I:$I,'0825 4度C'!$A:$A,"新豐9線",'0825 4度C'!$B:$B,"平均")</f>
        <v>17.285714285714285</v>
      </c>
      <c r="M22" s="101">
        <f>SUMIFS('0825 4度C'!$I:$I,'0825 4度C'!$A:$A,"新豐4線",'0825 4度C'!$B:$B,"平均")</f>
        <v>16.571428571428573</v>
      </c>
    </row>
    <row r="23" spans="2:13" ht="17.25" customHeight="1">
      <c r="B23" s="566" t="s">
        <v>2350</v>
      </c>
      <c r="C23" s="567"/>
      <c r="D23" s="102" t="s">
        <v>202</v>
      </c>
      <c r="E23" s="103" t="s">
        <v>203</v>
      </c>
      <c r="F23" s="103" t="s">
        <v>2351</v>
      </c>
      <c r="G23" s="103" t="s">
        <v>2351</v>
      </c>
      <c r="H23" s="103" t="s">
        <v>205</v>
      </c>
      <c r="I23" s="103" t="s">
        <v>202</v>
      </c>
      <c r="J23" s="104" t="s">
        <v>205</v>
      </c>
      <c r="K23" s="102" t="s">
        <v>2352</v>
      </c>
      <c r="L23" s="103" t="s">
        <v>2352</v>
      </c>
      <c r="M23" s="104" t="s">
        <v>2352</v>
      </c>
    </row>
    <row r="24" spans="2:13" ht="17.25" customHeight="1">
      <c r="B24" s="566" t="s">
        <v>2353</v>
      </c>
      <c r="C24" s="567"/>
      <c r="D24" s="102"/>
      <c r="E24" s="103"/>
      <c r="F24" s="103" t="s">
        <v>2354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68" t="s">
        <v>2355</v>
      </c>
      <c r="C25" s="569"/>
      <c r="D25" s="105"/>
      <c r="E25" s="106" t="s">
        <v>2356</v>
      </c>
      <c r="F25" s="562" t="s">
        <v>2357</v>
      </c>
      <c r="G25" s="563"/>
      <c r="H25" s="106" t="s">
        <v>2358</v>
      </c>
      <c r="I25" s="106" t="s">
        <v>2359</v>
      </c>
      <c r="J25" s="107" t="s">
        <v>2358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79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3"/>
  <sheetViews>
    <sheetView zoomScale="80" zoomScaleNormal="80" workbookViewId="0">
      <pane ySplit="4" topLeftCell="A5" activePane="bottomLeft" state="frozen"/>
      <selection activeCell="S12" sqref="S12"/>
      <selection pane="bottomLeft" activeCell="U70" sqref="U70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41" customWidth="1"/>
    <col min="20" max="20" width="7.625" style="41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2360</v>
      </c>
      <c r="B1" s="1"/>
      <c r="C1" s="2" t="s">
        <v>2361</v>
      </c>
      <c r="D1" s="3">
        <f>SUM(F5:F72)</f>
        <v>184067</v>
      </c>
      <c r="E1" s="464" t="s">
        <v>2362</v>
      </c>
      <c r="F1" s="1">
        <f>SUM(G5:G72)</f>
        <v>6701763.2599999988</v>
      </c>
      <c r="G1" s="1" t="s">
        <v>2363</v>
      </c>
      <c r="H1" s="5">
        <f>L9+L13+L51+L58+L21+L64+L38+L46+L30+L72</f>
        <v>156.25714285714287</v>
      </c>
      <c r="I1" s="676" t="s">
        <v>2364</v>
      </c>
      <c r="J1" s="676"/>
      <c r="K1" s="676"/>
      <c r="L1" s="676" t="s">
        <v>2365</v>
      </c>
      <c r="M1" s="676"/>
      <c r="N1" s="676"/>
      <c r="O1" s="676" t="s">
        <v>2366</v>
      </c>
      <c r="P1" s="676"/>
      <c r="Q1" s="676"/>
      <c r="R1" s="676"/>
      <c r="S1" s="676" t="s">
        <v>2367</v>
      </c>
      <c r="T1" s="676"/>
      <c r="U1" s="676"/>
      <c r="V1" s="676"/>
      <c r="W1" s="676"/>
      <c r="X1" s="676"/>
      <c r="Y1" s="6" t="s">
        <v>2368</v>
      </c>
      <c r="Z1" s="7" t="s">
        <v>2369</v>
      </c>
      <c r="AA1" s="677" t="s">
        <v>2370</v>
      </c>
      <c r="AB1" s="677"/>
      <c r="AC1" s="8" t="s">
        <v>2368</v>
      </c>
      <c r="AD1" s="7" t="s">
        <v>2371</v>
      </c>
      <c r="AE1" s="676" t="s">
        <v>2372</v>
      </c>
      <c r="AF1" s="678"/>
      <c r="AG1" s="678"/>
    </row>
    <row r="2" spans="1:33" ht="26.25" customHeight="1">
      <c r="A2" s="35">
        <v>46259</v>
      </c>
      <c r="B2" s="36" t="s">
        <v>422</v>
      </c>
      <c r="C2" s="2" t="s">
        <v>2373</v>
      </c>
      <c r="D2" s="10">
        <f>AVERAGE(N9,N13,N51,N58,N21,N64,N30,N38,N46,N72)</f>
        <v>150.02632131002298</v>
      </c>
      <c r="E2" s="11" t="s">
        <v>14</v>
      </c>
      <c r="F2" s="12">
        <f>F1/D1</f>
        <v>36.409368653805402</v>
      </c>
      <c r="G2" s="1" t="s">
        <v>2374</v>
      </c>
      <c r="H2" s="471">
        <f>COUNT(H5:H72)</f>
        <v>7</v>
      </c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14">
        <f>SUM(Y9+Y13+Y21+Y30+Y38+Y46+Y51+Y58+Y64+Y72)</f>
        <v>0</v>
      </c>
      <c r="Z2" s="14">
        <f>SUM(Z9+Z13+Z21+Z30+Z38+Z46+Z51+Z58+Z64+Z72)</f>
        <v>0</v>
      </c>
      <c r="AA2" s="677"/>
      <c r="AB2" s="677"/>
      <c r="AC2" s="14">
        <v>58</v>
      </c>
      <c r="AD2" s="14">
        <f>SUM(AD9+AD13+AD21+AD30+AD38+AD46+AD51+AD58+AD64+AD72)</f>
        <v>0</v>
      </c>
      <c r="AE2" s="678"/>
      <c r="AF2" s="678"/>
      <c r="AG2" s="678"/>
    </row>
    <row r="3" spans="1:33" ht="40.5" customHeight="1">
      <c r="A3" s="632" t="s">
        <v>2375</v>
      </c>
      <c r="B3" s="632" t="s">
        <v>2376</v>
      </c>
      <c r="C3" s="632" t="s">
        <v>2377</v>
      </c>
      <c r="D3" s="632"/>
      <c r="E3" s="674" t="s">
        <v>2378</v>
      </c>
      <c r="F3" s="632" t="s">
        <v>2379</v>
      </c>
      <c r="G3" s="674" t="s">
        <v>2380</v>
      </c>
      <c r="H3" s="667" t="s">
        <v>2381</v>
      </c>
      <c r="I3" s="665" t="s">
        <v>2382</v>
      </c>
      <c r="J3" s="662" t="s">
        <v>2383</v>
      </c>
      <c r="K3" s="672" t="s">
        <v>2373</v>
      </c>
      <c r="L3" s="665" t="s">
        <v>2382</v>
      </c>
      <c r="M3" s="662" t="s">
        <v>2383</v>
      </c>
      <c r="N3" s="672" t="s">
        <v>2373</v>
      </c>
      <c r="O3" s="665" t="s">
        <v>2382</v>
      </c>
      <c r="P3" s="672" t="s">
        <v>2373</v>
      </c>
      <c r="Q3" s="663" t="s">
        <v>2384</v>
      </c>
      <c r="R3" s="641" t="s">
        <v>2385</v>
      </c>
      <c r="S3" s="673" t="s">
        <v>29</v>
      </c>
      <c r="T3" s="673"/>
      <c r="U3" s="667" t="s">
        <v>30</v>
      </c>
      <c r="V3" s="667" t="s">
        <v>2386</v>
      </c>
      <c r="W3" s="632" t="s">
        <v>2387</v>
      </c>
      <c r="X3" s="632"/>
      <c r="Y3" s="668" t="s">
        <v>2388</v>
      </c>
      <c r="Z3" s="631"/>
      <c r="AA3" s="669" t="s">
        <v>2389</v>
      </c>
      <c r="AB3" s="670"/>
      <c r="AC3" s="668" t="s">
        <v>2390</v>
      </c>
      <c r="AD3" s="631"/>
      <c r="AE3" s="662" t="s">
        <v>2391</v>
      </c>
      <c r="AF3" s="663" t="s">
        <v>2384</v>
      </c>
      <c r="AG3" s="641" t="s">
        <v>2385</v>
      </c>
    </row>
    <row r="4" spans="1:33" ht="15.75" customHeight="1">
      <c r="A4" s="632"/>
      <c r="B4" s="632"/>
      <c r="C4" s="632"/>
      <c r="D4" s="632"/>
      <c r="E4" s="675"/>
      <c r="F4" s="632"/>
      <c r="G4" s="675"/>
      <c r="H4" s="667"/>
      <c r="I4" s="665"/>
      <c r="J4" s="662"/>
      <c r="K4" s="672"/>
      <c r="L4" s="665"/>
      <c r="M4" s="662"/>
      <c r="N4" s="672"/>
      <c r="O4" s="665"/>
      <c r="P4" s="672"/>
      <c r="Q4" s="663"/>
      <c r="R4" s="641"/>
      <c r="S4" s="470" t="s">
        <v>39</v>
      </c>
      <c r="T4" s="470" t="s">
        <v>40</v>
      </c>
      <c r="U4" s="667"/>
      <c r="V4" s="667"/>
      <c r="W4" s="464" t="s">
        <v>2392</v>
      </c>
      <c r="X4" s="464" t="s">
        <v>2393</v>
      </c>
      <c r="Y4" s="462" t="s">
        <v>2394</v>
      </c>
      <c r="Z4" s="462" t="s">
        <v>2395</v>
      </c>
      <c r="AA4" s="671"/>
      <c r="AB4" s="670"/>
      <c r="AC4" s="462" t="s">
        <v>2396</v>
      </c>
      <c r="AD4" s="462" t="s">
        <v>2397</v>
      </c>
      <c r="AE4" s="662"/>
      <c r="AF4" s="663"/>
      <c r="AG4" s="641"/>
    </row>
    <row r="5" spans="1:33">
      <c r="A5" s="664" t="s">
        <v>2398</v>
      </c>
      <c r="B5" s="42" t="s">
        <v>92</v>
      </c>
      <c r="C5" s="666" t="s">
        <v>93</v>
      </c>
      <c r="D5" s="666"/>
      <c r="E5" s="42">
        <v>50.92</v>
      </c>
      <c r="F5" s="470">
        <v>2619</v>
      </c>
      <c r="G5" s="464">
        <f t="shared" ref="G5:G8" si="0">E5*F5</f>
        <v>133359.48000000001</v>
      </c>
      <c r="H5" s="37" t="s">
        <v>91</v>
      </c>
      <c r="I5" s="468">
        <v>15</v>
      </c>
      <c r="J5" s="39">
        <v>2000</v>
      </c>
      <c r="K5" s="17">
        <f t="shared" ref="K5:K68" si="1">J5/I5</f>
        <v>133.33333333333334</v>
      </c>
      <c r="L5" s="468">
        <v>15</v>
      </c>
      <c r="M5" s="18">
        <f t="shared" ref="M5:M8" si="2">F5/V5*60</f>
        <v>1916.3414634146334</v>
      </c>
      <c r="N5" s="17">
        <f t="shared" ref="N5:N68" si="3">M5/L5</f>
        <v>127.75609756097556</v>
      </c>
      <c r="O5" s="19">
        <f t="shared" ref="O5:O68" si="4">L5-I5</f>
        <v>0</v>
      </c>
      <c r="P5" s="20">
        <f t="shared" ref="P5:P68" si="5">N5-K5</f>
        <v>-5.5772357723577812</v>
      </c>
      <c r="Q5" s="463">
        <f t="shared" ref="Q5:Q68" si="6">N5/K5</f>
        <v>0.95817073170731659</v>
      </c>
      <c r="R5" s="637">
        <f>Q9</f>
        <v>0.95787071065744567</v>
      </c>
      <c r="S5" s="40">
        <v>0.70833333333333337</v>
      </c>
      <c r="T5" s="40">
        <v>0.76527777777777783</v>
      </c>
      <c r="U5" s="464"/>
      <c r="V5" s="469">
        <f t="shared" ref="V5:V8" si="7">(T5-S5)*24*60</f>
        <v>82.000000000000028</v>
      </c>
      <c r="W5" s="23"/>
      <c r="X5" s="23"/>
      <c r="Y5" s="24"/>
      <c r="Z5" s="24"/>
      <c r="AA5" s="632"/>
      <c r="AB5" s="632"/>
      <c r="AC5" s="25">
        <v>4</v>
      </c>
      <c r="AD5" s="25"/>
      <c r="AE5" s="19">
        <f t="shared" ref="AE5:AE57" si="8">M5-J5</f>
        <v>-83.658536585366619</v>
      </c>
      <c r="AF5" s="463">
        <f t="shared" ref="AF5:AF68" si="9">M5/J5</f>
        <v>0.9581707317073167</v>
      </c>
      <c r="AG5" s="637">
        <f>AF9</f>
        <v>0.95787071065744567</v>
      </c>
    </row>
    <row r="6" spans="1:33">
      <c r="A6" s="665" t="s">
        <v>2398</v>
      </c>
      <c r="B6" s="42" t="s">
        <v>92</v>
      </c>
      <c r="C6" s="666" t="s">
        <v>94</v>
      </c>
      <c r="D6" s="666"/>
      <c r="E6" s="42">
        <v>50.98</v>
      </c>
      <c r="F6" s="470">
        <v>1000</v>
      </c>
      <c r="G6" s="464">
        <f t="shared" si="0"/>
        <v>50980</v>
      </c>
      <c r="H6" s="37">
        <v>2</v>
      </c>
      <c r="I6" s="468">
        <v>16</v>
      </c>
      <c r="J6" s="39">
        <v>2000</v>
      </c>
      <c r="K6" s="17">
        <f t="shared" si="1"/>
        <v>125</v>
      </c>
      <c r="L6" s="468">
        <v>16</v>
      </c>
      <c r="M6" s="18">
        <f t="shared" si="2"/>
        <v>1935.483870967739</v>
      </c>
      <c r="N6" s="17">
        <f t="shared" si="3"/>
        <v>120.96774193548369</v>
      </c>
      <c r="O6" s="19">
        <f t="shared" si="4"/>
        <v>0</v>
      </c>
      <c r="P6" s="20">
        <f t="shared" si="5"/>
        <v>-4.0322580645163129</v>
      </c>
      <c r="Q6" s="463">
        <f t="shared" si="6"/>
        <v>0.96774193548386944</v>
      </c>
      <c r="R6" s="637"/>
      <c r="S6" s="40">
        <v>0.76875000000000004</v>
      </c>
      <c r="T6" s="40">
        <v>0.79027777777777786</v>
      </c>
      <c r="U6" s="464">
        <f t="shared" ref="U6:U8" si="10">IF(S6=TIME(17,0,0),"",(S6-T5)*24*60)</f>
        <v>4.9999999999999822</v>
      </c>
      <c r="V6" s="469">
        <f t="shared" si="7"/>
        <v>31.00000000000005</v>
      </c>
      <c r="W6" s="23"/>
      <c r="X6" s="23"/>
      <c r="Y6" s="23"/>
      <c r="Z6" s="23"/>
      <c r="AA6" s="632"/>
      <c r="AB6" s="632"/>
      <c r="AC6" s="25"/>
      <c r="AD6" s="25"/>
      <c r="AE6" s="19">
        <f t="shared" si="8"/>
        <v>-64.516129032261006</v>
      </c>
      <c r="AF6" s="463">
        <f t="shared" si="9"/>
        <v>0.96774193548386944</v>
      </c>
      <c r="AG6" s="637"/>
    </row>
    <row r="7" spans="1:33">
      <c r="A7" s="665" t="s">
        <v>2398</v>
      </c>
      <c r="B7" s="42" t="s">
        <v>92</v>
      </c>
      <c r="C7" s="660" t="s">
        <v>109</v>
      </c>
      <c r="D7" s="661"/>
      <c r="E7" s="42">
        <v>50.49</v>
      </c>
      <c r="F7" s="470">
        <v>2282</v>
      </c>
      <c r="G7" s="464">
        <f t="shared" si="0"/>
        <v>115218.18000000001</v>
      </c>
      <c r="H7" s="37" t="s">
        <v>91</v>
      </c>
      <c r="I7" s="468">
        <v>15</v>
      </c>
      <c r="J7" s="39">
        <v>2000</v>
      </c>
      <c r="K7" s="17">
        <f t="shared" si="1"/>
        <v>133.33333333333334</v>
      </c>
      <c r="L7" s="468">
        <v>15</v>
      </c>
      <c r="M7" s="18">
        <f t="shared" si="2"/>
        <v>1901.6666666666652</v>
      </c>
      <c r="N7" s="17">
        <f t="shared" si="3"/>
        <v>126.77777777777767</v>
      </c>
      <c r="O7" s="19">
        <f t="shared" si="4"/>
        <v>0</v>
      </c>
      <c r="P7" s="20">
        <f t="shared" si="5"/>
        <v>-6.5555555555556708</v>
      </c>
      <c r="Q7" s="463">
        <f t="shared" si="6"/>
        <v>0.95083333333333242</v>
      </c>
      <c r="R7" s="637"/>
      <c r="S7" s="40">
        <v>0.79375000000000007</v>
      </c>
      <c r="T7" s="40">
        <v>0.84375000000000011</v>
      </c>
      <c r="U7" s="464">
        <f t="shared" si="10"/>
        <v>4.9999999999999822</v>
      </c>
      <c r="V7" s="469">
        <f t="shared" si="7"/>
        <v>72.000000000000057</v>
      </c>
      <c r="W7" s="23">
        <f>T7</f>
        <v>0.84375000000000011</v>
      </c>
      <c r="X7" s="23">
        <f>S8</f>
        <v>0.8847222222222223</v>
      </c>
      <c r="Y7" s="26"/>
      <c r="Z7" s="26"/>
      <c r="AA7" s="627"/>
      <c r="AB7" s="628"/>
      <c r="AC7" s="27"/>
      <c r="AD7" s="27"/>
      <c r="AE7" s="19">
        <f t="shared" si="8"/>
        <v>-98.333333333334849</v>
      </c>
      <c r="AF7" s="463">
        <f t="shared" si="9"/>
        <v>0.95083333333333253</v>
      </c>
      <c r="AG7" s="637"/>
    </row>
    <row r="8" spans="1:33">
      <c r="A8" s="665" t="s">
        <v>2398</v>
      </c>
      <c r="B8" s="42" t="s">
        <v>92</v>
      </c>
      <c r="C8" s="660" t="s">
        <v>94</v>
      </c>
      <c r="D8" s="661"/>
      <c r="E8" s="42">
        <v>50.98</v>
      </c>
      <c r="F8" s="470">
        <v>1814</v>
      </c>
      <c r="G8" s="464">
        <f t="shared" si="0"/>
        <v>92477.72</v>
      </c>
      <c r="H8" s="37" t="s">
        <v>91</v>
      </c>
      <c r="I8" s="468">
        <v>16</v>
      </c>
      <c r="J8" s="39">
        <v>2000</v>
      </c>
      <c r="K8" s="17">
        <f t="shared" si="1"/>
        <v>125</v>
      </c>
      <c r="L8" s="468">
        <v>16</v>
      </c>
      <c r="M8" s="18">
        <f t="shared" si="2"/>
        <v>1909.4736842105276</v>
      </c>
      <c r="N8" s="17">
        <f t="shared" si="3"/>
        <v>119.34210526315798</v>
      </c>
      <c r="O8" s="19">
        <f t="shared" si="4"/>
        <v>0</v>
      </c>
      <c r="P8" s="20">
        <f t="shared" si="5"/>
        <v>-5.6578947368420245</v>
      </c>
      <c r="Q8" s="463">
        <f t="shared" si="6"/>
        <v>0.95473684210526377</v>
      </c>
      <c r="R8" s="637"/>
      <c r="S8" s="40">
        <v>0.8847222222222223</v>
      </c>
      <c r="T8" s="40">
        <v>0.9243055555555556</v>
      </c>
      <c r="U8" s="464">
        <f t="shared" si="10"/>
        <v>58.99999999999995</v>
      </c>
      <c r="V8" s="469">
        <f t="shared" si="7"/>
        <v>56.999999999999957</v>
      </c>
      <c r="W8" s="28"/>
      <c r="X8" s="28"/>
      <c r="Y8" s="136"/>
      <c r="Z8" s="136"/>
      <c r="AA8" s="627"/>
      <c r="AB8" s="628"/>
      <c r="AC8" s="27"/>
      <c r="AD8" s="27"/>
      <c r="AE8" s="19">
        <f t="shared" si="8"/>
        <v>-90.526315789472392</v>
      </c>
      <c r="AF8" s="463">
        <f t="shared" si="9"/>
        <v>0.95473684210526377</v>
      </c>
      <c r="AG8" s="637"/>
    </row>
    <row r="9" spans="1:33">
      <c r="A9" s="665" t="s">
        <v>2398</v>
      </c>
      <c r="B9" s="42" t="s">
        <v>2399</v>
      </c>
      <c r="C9" s="638"/>
      <c r="D9" s="638"/>
      <c r="E9" s="465"/>
      <c r="F9" s="44"/>
      <c r="G9" s="17"/>
      <c r="H9" s="470"/>
      <c r="I9" s="29">
        <v>15.5</v>
      </c>
      <c r="J9" s="39">
        <v>2000</v>
      </c>
      <c r="K9" s="17">
        <f t="shared" si="1"/>
        <v>129.03225806451613</v>
      </c>
      <c r="L9" s="29">
        <v>15.5</v>
      </c>
      <c r="M9" s="18">
        <f>AVERAGE(M5:M8)</f>
        <v>1915.7414213148913</v>
      </c>
      <c r="N9" s="17">
        <f t="shared" si="3"/>
        <v>123.59622072999299</v>
      </c>
      <c r="O9" s="19">
        <f t="shared" si="4"/>
        <v>0</v>
      </c>
      <c r="P9" s="20">
        <f t="shared" si="5"/>
        <v>-5.4360373345231352</v>
      </c>
      <c r="Q9" s="463">
        <f t="shared" si="6"/>
        <v>0.95787071065744567</v>
      </c>
      <c r="R9" s="637"/>
      <c r="S9" s="40"/>
      <c r="T9" s="40"/>
      <c r="U9" s="464"/>
      <c r="V9" s="469"/>
      <c r="W9" s="17"/>
      <c r="X9" s="17"/>
      <c r="Y9" s="30">
        <f>SUM(Y5:Y8)</f>
        <v>0</v>
      </c>
      <c r="Z9" s="30">
        <f>SUM(Z5:Z8)</f>
        <v>0</v>
      </c>
      <c r="AA9" s="631"/>
      <c r="AB9" s="631"/>
      <c r="AC9" s="30">
        <v>4</v>
      </c>
      <c r="AD9" s="30">
        <f>SUM(AD5:AD8)</f>
        <v>0</v>
      </c>
      <c r="AE9" s="19">
        <f t="shared" si="8"/>
        <v>-84.25857868510866</v>
      </c>
      <c r="AF9" s="463">
        <f t="shared" si="9"/>
        <v>0.95787071065744567</v>
      </c>
      <c r="AG9" s="637"/>
    </row>
    <row r="10" spans="1:33" ht="15.75" customHeight="1">
      <c r="A10" s="659" t="s">
        <v>2400</v>
      </c>
      <c r="B10" s="42" t="s">
        <v>96</v>
      </c>
      <c r="C10" s="660" t="s">
        <v>100</v>
      </c>
      <c r="D10" s="661"/>
      <c r="E10" s="42">
        <v>39.619999999999997</v>
      </c>
      <c r="F10" s="470">
        <v>4501</v>
      </c>
      <c r="G10" s="464">
        <f t="shared" ref="G10:G12" si="11">E10*F10</f>
        <v>178329.62</v>
      </c>
      <c r="H10" s="37" t="s">
        <v>91</v>
      </c>
      <c r="I10" s="468">
        <v>19</v>
      </c>
      <c r="J10" s="39">
        <v>1500</v>
      </c>
      <c r="K10" s="17">
        <f t="shared" si="1"/>
        <v>78.94736842105263</v>
      </c>
      <c r="L10" s="468">
        <v>19</v>
      </c>
      <c r="M10" s="18">
        <f t="shared" ref="M10:M12" si="12">F10/V10*60</f>
        <v>1428.8888888888885</v>
      </c>
      <c r="N10" s="17">
        <f t="shared" si="3"/>
        <v>75.204678362573077</v>
      </c>
      <c r="O10" s="19">
        <f t="shared" si="4"/>
        <v>0</v>
      </c>
      <c r="P10" s="20">
        <f t="shared" si="5"/>
        <v>-3.7426900584795533</v>
      </c>
      <c r="Q10" s="463">
        <f t="shared" si="6"/>
        <v>0.95259259259259232</v>
      </c>
      <c r="R10" s="637">
        <f>Q13</f>
        <v>0.95590931031281912</v>
      </c>
      <c r="S10" s="40">
        <v>8.3333333333333329E-2</v>
      </c>
      <c r="T10" s="40">
        <v>0.21458333333333335</v>
      </c>
      <c r="U10" s="464"/>
      <c r="V10" s="469">
        <f t="shared" ref="V10:V12" si="13">(T10-S10)*24*60</f>
        <v>189.00000000000006</v>
      </c>
      <c r="W10" s="23">
        <f>T10</f>
        <v>0.21458333333333335</v>
      </c>
      <c r="X10" s="23">
        <f>S11</f>
        <v>0.23472222222222225</v>
      </c>
      <c r="Y10" s="23"/>
      <c r="Z10" s="23"/>
      <c r="AA10" s="632"/>
      <c r="AB10" s="632"/>
      <c r="AC10" s="25">
        <v>3</v>
      </c>
      <c r="AD10" s="25"/>
      <c r="AE10" s="19">
        <f t="shared" si="8"/>
        <v>-71.111111111111541</v>
      </c>
      <c r="AF10" s="463">
        <f t="shared" si="9"/>
        <v>0.95259259259259232</v>
      </c>
      <c r="AG10" s="637">
        <f>AF13</f>
        <v>0.955909310312819</v>
      </c>
    </row>
    <row r="11" spans="1:33" ht="15.75" customHeight="1">
      <c r="A11" s="659" t="s">
        <v>2400</v>
      </c>
      <c r="B11" s="42" t="s">
        <v>96</v>
      </c>
      <c r="C11" s="660" t="s">
        <v>97</v>
      </c>
      <c r="D11" s="661"/>
      <c r="E11" s="42">
        <v>39.799999999999997</v>
      </c>
      <c r="F11" s="470">
        <v>6683</v>
      </c>
      <c r="G11" s="464">
        <f t="shared" si="11"/>
        <v>265983.39999999997</v>
      </c>
      <c r="H11" s="37" t="s">
        <v>91</v>
      </c>
      <c r="I11" s="468">
        <v>17</v>
      </c>
      <c r="J11" s="39">
        <v>1500</v>
      </c>
      <c r="K11" s="17">
        <f t="shared" si="1"/>
        <v>88.235294117647058</v>
      </c>
      <c r="L11" s="468">
        <v>17</v>
      </c>
      <c r="M11" s="18">
        <f t="shared" si="12"/>
        <v>1432.0714285714287</v>
      </c>
      <c r="N11" s="17">
        <f t="shared" si="3"/>
        <v>84.239495798319339</v>
      </c>
      <c r="O11" s="19">
        <f t="shared" si="4"/>
        <v>0</v>
      </c>
      <c r="P11" s="20">
        <f t="shared" si="5"/>
        <v>-3.9957983193277187</v>
      </c>
      <c r="Q11" s="463">
        <f t="shared" si="6"/>
        <v>0.95471428571428585</v>
      </c>
      <c r="R11" s="637"/>
      <c r="S11" s="40">
        <v>0.23472222222222225</v>
      </c>
      <c r="T11" s="40">
        <v>0.4291666666666667</v>
      </c>
      <c r="U11" s="464">
        <f t="shared" ref="U11:U12" si="14">IF(S11=TIME(17,0,0),"",(S11-T10)*24*60)</f>
        <v>29.000000000000018</v>
      </c>
      <c r="V11" s="469">
        <f t="shared" si="13"/>
        <v>280</v>
      </c>
      <c r="W11" s="23"/>
      <c r="X11" s="23"/>
      <c r="Y11" s="23"/>
      <c r="Z11" s="23"/>
      <c r="AA11" s="632"/>
      <c r="AB11" s="632"/>
      <c r="AC11" s="25"/>
      <c r="AD11" s="25"/>
      <c r="AE11" s="19">
        <f t="shared" si="8"/>
        <v>-67.928571428571331</v>
      </c>
      <c r="AF11" s="463">
        <f t="shared" si="9"/>
        <v>0.95471428571428574</v>
      </c>
      <c r="AG11" s="637"/>
    </row>
    <row r="12" spans="1:33" ht="15.75" customHeight="1">
      <c r="A12" s="659" t="s">
        <v>2400</v>
      </c>
      <c r="B12" s="42" t="s">
        <v>96</v>
      </c>
      <c r="C12" s="660" t="s">
        <v>98</v>
      </c>
      <c r="D12" s="661"/>
      <c r="E12" s="42">
        <v>39.46</v>
      </c>
      <c r="F12" s="470">
        <v>2281</v>
      </c>
      <c r="G12" s="464">
        <f t="shared" si="11"/>
        <v>90008.26</v>
      </c>
      <c r="H12" s="37" t="s">
        <v>91</v>
      </c>
      <c r="I12" s="468">
        <v>15</v>
      </c>
      <c r="J12" s="39">
        <v>1500</v>
      </c>
      <c r="K12" s="17">
        <f t="shared" si="1"/>
        <v>100</v>
      </c>
      <c r="L12" s="468">
        <v>15</v>
      </c>
      <c r="M12" s="18">
        <f t="shared" si="12"/>
        <v>1440.6315789473686</v>
      </c>
      <c r="N12" s="17">
        <f t="shared" si="3"/>
        <v>96.042105263157907</v>
      </c>
      <c r="O12" s="19">
        <f t="shared" si="4"/>
        <v>0</v>
      </c>
      <c r="P12" s="20">
        <f t="shared" si="5"/>
        <v>-3.9578947368420927</v>
      </c>
      <c r="Q12" s="463">
        <f t="shared" si="6"/>
        <v>0.96042105263157906</v>
      </c>
      <c r="R12" s="637"/>
      <c r="S12" s="40">
        <v>0.43472222222222223</v>
      </c>
      <c r="T12" s="40">
        <v>0.50069444444444444</v>
      </c>
      <c r="U12" s="464">
        <f t="shared" si="14"/>
        <v>7.9999999999999716</v>
      </c>
      <c r="V12" s="469">
        <f t="shared" si="13"/>
        <v>94.999999999999986</v>
      </c>
      <c r="W12" s="23"/>
      <c r="X12" s="23"/>
      <c r="Y12" s="23"/>
      <c r="Z12" s="23"/>
      <c r="AA12" s="632"/>
      <c r="AB12" s="632"/>
      <c r="AC12" s="25"/>
      <c r="AD12" s="25"/>
      <c r="AE12" s="19">
        <f t="shared" si="8"/>
        <v>-59.368421052631447</v>
      </c>
      <c r="AF12" s="463">
        <f t="shared" si="9"/>
        <v>0.96042105263157906</v>
      </c>
      <c r="AG12" s="637"/>
    </row>
    <row r="13" spans="1:33" ht="16.5" customHeight="1">
      <c r="A13" s="659" t="s">
        <v>2400</v>
      </c>
      <c r="B13" s="42" t="s">
        <v>2399</v>
      </c>
      <c r="C13" s="638"/>
      <c r="D13" s="638"/>
      <c r="E13" s="465"/>
      <c r="F13" s="39"/>
      <c r="G13" s="18"/>
      <c r="H13" s="470"/>
      <c r="I13" s="29">
        <v>17</v>
      </c>
      <c r="J13" s="39">
        <v>1500</v>
      </c>
      <c r="K13" s="17">
        <f t="shared" si="1"/>
        <v>88.235294117647058</v>
      </c>
      <c r="L13" s="29">
        <v>17</v>
      </c>
      <c r="M13" s="18">
        <f>AVERAGE(M10:M12)</f>
        <v>1433.8639654692286</v>
      </c>
      <c r="N13" s="17">
        <f t="shared" si="3"/>
        <v>84.344939145248745</v>
      </c>
      <c r="O13" s="19">
        <f t="shared" si="4"/>
        <v>0</v>
      </c>
      <c r="P13" s="20">
        <f t="shared" si="5"/>
        <v>-3.8903549723983133</v>
      </c>
      <c r="Q13" s="463">
        <f t="shared" si="6"/>
        <v>0.95590931031281912</v>
      </c>
      <c r="R13" s="637"/>
      <c r="S13" s="40"/>
      <c r="T13" s="40"/>
      <c r="U13" s="17"/>
      <c r="V13" s="469"/>
      <c r="W13" s="17"/>
      <c r="X13" s="17"/>
      <c r="Y13" s="30">
        <f>SUM(Y10:Y12)</f>
        <v>0</v>
      </c>
      <c r="Z13" s="30">
        <f>SUM(Z10:Z12)</f>
        <v>0</v>
      </c>
      <c r="AA13" s="631"/>
      <c r="AB13" s="631"/>
      <c r="AC13" s="30">
        <v>3</v>
      </c>
      <c r="AD13" s="30">
        <f>SUM(AD10:AD12)</f>
        <v>0</v>
      </c>
      <c r="AE13" s="19">
        <f t="shared" si="8"/>
        <v>-66.13603453077144</v>
      </c>
      <c r="AF13" s="463">
        <f t="shared" si="9"/>
        <v>0.955909310312819</v>
      </c>
      <c r="AG13" s="637"/>
    </row>
    <row r="14" spans="1:33" ht="16.5" customHeight="1">
      <c r="A14" s="657" t="s">
        <v>2401</v>
      </c>
      <c r="B14" s="470" t="s">
        <v>101</v>
      </c>
      <c r="C14" s="653" t="s">
        <v>102</v>
      </c>
      <c r="D14" s="653"/>
      <c r="E14" s="42">
        <v>31.11</v>
      </c>
      <c r="F14" s="470">
        <v>3333</v>
      </c>
      <c r="G14" s="464">
        <f t="shared" ref="G14:G20" si="15">E14*F14</f>
        <v>103689.63</v>
      </c>
      <c r="H14" s="37" t="s">
        <v>91</v>
      </c>
      <c r="I14" s="468">
        <v>14</v>
      </c>
      <c r="J14" s="39">
        <v>2000</v>
      </c>
      <c r="K14" s="17">
        <f t="shared" si="1"/>
        <v>142.85714285714286</v>
      </c>
      <c r="L14" s="468">
        <v>14</v>
      </c>
      <c r="M14" s="18">
        <f t="shared" ref="M14:M20" si="16">F14/V14*60</f>
        <v>1904.571428571428</v>
      </c>
      <c r="N14" s="17">
        <f t="shared" si="3"/>
        <v>136.04081632653057</v>
      </c>
      <c r="O14" s="19">
        <f t="shared" si="4"/>
        <v>0</v>
      </c>
      <c r="P14" s="20">
        <f t="shared" si="5"/>
        <v>-6.8163265306122867</v>
      </c>
      <c r="Q14" s="463">
        <f t="shared" si="6"/>
        <v>0.95228571428571396</v>
      </c>
      <c r="R14" s="637">
        <f>Q21</f>
        <v>0.95609112379897787</v>
      </c>
      <c r="S14" s="40">
        <v>0.125</v>
      </c>
      <c r="T14" s="40">
        <v>0.19791666666666669</v>
      </c>
      <c r="U14" s="464"/>
      <c r="V14" s="469">
        <f t="shared" ref="V14:V20" si="17">(T14-S14)*24*60</f>
        <v>105.00000000000003</v>
      </c>
      <c r="W14" s="23">
        <f>T14</f>
        <v>0.19791666666666669</v>
      </c>
      <c r="X14" s="23">
        <f>S15</f>
        <v>0.21736111111111112</v>
      </c>
      <c r="Y14" s="28"/>
      <c r="Z14" s="28"/>
      <c r="AA14" s="632"/>
      <c r="AB14" s="632"/>
      <c r="AC14" s="25">
        <v>7</v>
      </c>
      <c r="AD14" s="25"/>
      <c r="AE14" s="19">
        <f t="shared" si="8"/>
        <v>-95.428571428572013</v>
      </c>
      <c r="AF14" s="463">
        <f t="shared" si="9"/>
        <v>0.95228571428571396</v>
      </c>
      <c r="AG14" s="637">
        <f>AF21</f>
        <v>0.95609112379897798</v>
      </c>
    </row>
    <row r="15" spans="1:33" ht="16.5" customHeight="1">
      <c r="A15" s="658" t="s">
        <v>2401</v>
      </c>
      <c r="B15" s="470" t="s">
        <v>103</v>
      </c>
      <c r="C15" s="653" t="s">
        <v>105</v>
      </c>
      <c r="D15" s="653"/>
      <c r="E15" s="42">
        <v>41</v>
      </c>
      <c r="F15" s="470">
        <v>1943</v>
      </c>
      <c r="G15" s="464">
        <f t="shared" si="15"/>
        <v>79663</v>
      </c>
      <c r="H15" s="37" t="s">
        <v>91</v>
      </c>
      <c r="I15" s="468">
        <v>26</v>
      </c>
      <c r="J15" s="39">
        <v>1500</v>
      </c>
      <c r="K15" s="17">
        <f t="shared" si="1"/>
        <v>57.692307692307693</v>
      </c>
      <c r="L15" s="468">
        <v>26</v>
      </c>
      <c r="M15" s="18">
        <f t="shared" si="16"/>
        <v>1439.2592592592587</v>
      </c>
      <c r="N15" s="17">
        <f t="shared" si="3"/>
        <v>55.356125356125332</v>
      </c>
      <c r="O15" s="19">
        <f t="shared" si="4"/>
        <v>0</v>
      </c>
      <c r="P15" s="20">
        <f t="shared" si="5"/>
        <v>-2.336182336182361</v>
      </c>
      <c r="Q15" s="463">
        <f t="shared" si="6"/>
        <v>0.95950617283950579</v>
      </c>
      <c r="R15" s="637"/>
      <c r="S15" s="40">
        <v>0.21736111111111112</v>
      </c>
      <c r="T15" s="40">
        <v>0.27361111111111114</v>
      </c>
      <c r="U15" s="464">
        <f t="shared" ref="U15:U20" si="18">IF(S15=TIME(17,0,0),"",(S15-T14)*24*60)</f>
        <v>27.999999999999979</v>
      </c>
      <c r="V15" s="469">
        <f t="shared" si="17"/>
        <v>81.000000000000028</v>
      </c>
      <c r="W15" s="23"/>
      <c r="X15" s="23"/>
      <c r="Y15" s="23"/>
      <c r="Z15" s="23"/>
      <c r="AA15" s="632"/>
      <c r="AB15" s="632"/>
      <c r="AC15" s="25"/>
      <c r="AD15" s="25"/>
      <c r="AE15" s="19">
        <f t="shared" si="8"/>
        <v>-60.74074074074133</v>
      </c>
      <c r="AF15" s="463">
        <f t="shared" si="9"/>
        <v>0.95950617283950579</v>
      </c>
      <c r="AG15" s="637"/>
    </row>
    <row r="16" spans="1:33" ht="16.5" customHeight="1">
      <c r="A16" s="658" t="s">
        <v>2401</v>
      </c>
      <c r="B16" s="470" t="s">
        <v>101</v>
      </c>
      <c r="C16" s="653" t="s">
        <v>2402</v>
      </c>
      <c r="D16" s="653"/>
      <c r="E16" s="42">
        <v>68.88</v>
      </c>
      <c r="F16" s="470">
        <v>5368</v>
      </c>
      <c r="G16" s="464">
        <f t="shared" si="15"/>
        <v>369747.83999999997</v>
      </c>
      <c r="H16" s="37" t="s">
        <v>91</v>
      </c>
      <c r="I16" s="468">
        <v>16</v>
      </c>
      <c r="J16" s="39">
        <v>2000</v>
      </c>
      <c r="K16" s="17">
        <f t="shared" si="1"/>
        <v>125</v>
      </c>
      <c r="L16" s="468">
        <v>16</v>
      </c>
      <c r="M16" s="18">
        <f t="shared" si="16"/>
        <v>1905.798816568047</v>
      </c>
      <c r="N16" s="17">
        <f t="shared" si="3"/>
        <v>119.11242603550293</v>
      </c>
      <c r="O16" s="19">
        <f t="shared" si="4"/>
        <v>0</v>
      </c>
      <c r="P16" s="20">
        <f t="shared" si="5"/>
        <v>-5.887573964497065</v>
      </c>
      <c r="Q16" s="463">
        <f t="shared" si="6"/>
        <v>0.95289940828402353</v>
      </c>
      <c r="R16" s="637"/>
      <c r="S16" s="40">
        <v>0.27708333333333335</v>
      </c>
      <c r="T16" s="40">
        <v>0.39444444444444449</v>
      </c>
      <c r="U16" s="464">
        <f t="shared" si="18"/>
        <v>4.9999999999999822</v>
      </c>
      <c r="V16" s="469">
        <f t="shared" si="17"/>
        <v>169.00000000000003</v>
      </c>
      <c r="W16" s="23"/>
      <c r="X16" s="23"/>
      <c r="Y16" s="23"/>
      <c r="Z16" s="23"/>
      <c r="AA16" s="632"/>
      <c r="AB16" s="632"/>
      <c r="AC16" s="25"/>
      <c r="AD16" s="25"/>
      <c r="AE16" s="19">
        <f t="shared" si="8"/>
        <v>-94.201183431953041</v>
      </c>
      <c r="AF16" s="463">
        <f t="shared" si="9"/>
        <v>0.95289940828402353</v>
      </c>
      <c r="AG16" s="637"/>
    </row>
    <row r="17" spans="1:33" ht="16.5" customHeight="1">
      <c r="A17" s="658" t="s">
        <v>2401</v>
      </c>
      <c r="B17" s="470" t="s">
        <v>96</v>
      </c>
      <c r="C17" s="653" t="s">
        <v>99</v>
      </c>
      <c r="D17" s="653"/>
      <c r="E17" s="42">
        <v>39.520000000000003</v>
      </c>
      <c r="F17" s="470">
        <v>2175</v>
      </c>
      <c r="G17" s="464">
        <f t="shared" si="15"/>
        <v>85956</v>
      </c>
      <c r="H17" s="37" t="s">
        <v>91</v>
      </c>
      <c r="I17" s="468">
        <v>19</v>
      </c>
      <c r="J17" s="39">
        <v>1500</v>
      </c>
      <c r="K17" s="17">
        <f t="shared" si="1"/>
        <v>78.94736842105263</v>
      </c>
      <c r="L17" s="468">
        <v>19</v>
      </c>
      <c r="M17" s="18">
        <f t="shared" si="16"/>
        <v>1434.065934065934</v>
      </c>
      <c r="N17" s="17">
        <f t="shared" si="3"/>
        <v>75.477154424522837</v>
      </c>
      <c r="O17" s="19">
        <f t="shared" si="4"/>
        <v>0</v>
      </c>
      <c r="P17" s="20">
        <f t="shared" si="5"/>
        <v>-3.4702139965297931</v>
      </c>
      <c r="Q17" s="463">
        <f t="shared" si="6"/>
        <v>0.95604395604395598</v>
      </c>
      <c r="R17" s="637"/>
      <c r="S17" s="40">
        <v>0.39861111111111114</v>
      </c>
      <c r="T17" s="40">
        <v>0.46180555555555558</v>
      </c>
      <c r="U17" s="464">
        <f t="shared" si="18"/>
        <v>5.9999999999999787</v>
      </c>
      <c r="V17" s="469">
        <f t="shared" si="17"/>
        <v>91</v>
      </c>
      <c r="W17" s="23"/>
      <c r="X17" s="23"/>
      <c r="Y17" s="23"/>
      <c r="Z17" s="23"/>
      <c r="AA17" s="632"/>
      <c r="AB17" s="632"/>
      <c r="AC17" s="25"/>
      <c r="AD17" s="25"/>
      <c r="AE17" s="19">
        <f t="shared" si="8"/>
        <v>-65.934065934065984</v>
      </c>
      <c r="AF17" s="463">
        <f t="shared" si="9"/>
        <v>0.95604395604395598</v>
      </c>
      <c r="AG17" s="637"/>
    </row>
    <row r="18" spans="1:33" ht="16.5" customHeight="1">
      <c r="A18" s="658" t="s">
        <v>2401</v>
      </c>
      <c r="B18" s="470" t="s">
        <v>92</v>
      </c>
      <c r="C18" s="653" t="s">
        <v>108</v>
      </c>
      <c r="D18" s="653"/>
      <c r="E18" s="42">
        <v>54.5</v>
      </c>
      <c r="F18" s="470">
        <v>1334</v>
      </c>
      <c r="G18" s="464">
        <f t="shared" si="15"/>
        <v>72703</v>
      </c>
      <c r="H18" s="37" t="s">
        <v>91</v>
      </c>
      <c r="I18" s="468">
        <v>19</v>
      </c>
      <c r="J18" s="39">
        <v>1500</v>
      </c>
      <c r="K18" s="17">
        <f t="shared" si="1"/>
        <v>78.94736842105263</v>
      </c>
      <c r="L18" s="468">
        <v>19</v>
      </c>
      <c r="M18" s="18">
        <f t="shared" si="16"/>
        <v>1429.2857142857154</v>
      </c>
      <c r="N18" s="17">
        <f t="shared" si="3"/>
        <v>75.225563909774493</v>
      </c>
      <c r="O18" s="19">
        <f t="shared" si="4"/>
        <v>0</v>
      </c>
      <c r="P18" s="20">
        <f t="shared" si="5"/>
        <v>-3.7218045112781368</v>
      </c>
      <c r="Q18" s="463">
        <f t="shared" si="6"/>
        <v>0.95285714285714362</v>
      </c>
      <c r="R18" s="637"/>
      <c r="S18" s="40">
        <v>0.70833333333333337</v>
      </c>
      <c r="T18" s="40">
        <v>0.74722222222222223</v>
      </c>
      <c r="U18" s="464" t="str">
        <f t="shared" si="18"/>
        <v/>
      </c>
      <c r="V18" s="469">
        <f t="shared" si="17"/>
        <v>55.999999999999957</v>
      </c>
      <c r="W18" s="23"/>
      <c r="X18" s="23"/>
      <c r="Y18" s="23"/>
      <c r="Z18" s="23"/>
      <c r="AA18" s="632"/>
      <c r="AB18" s="632"/>
      <c r="AC18" s="25"/>
      <c r="AD18" s="25"/>
      <c r="AE18" s="19">
        <f t="shared" si="8"/>
        <v>-70.714285714284642</v>
      </c>
      <c r="AF18" s="463">
        <f t="shared" si="9"/>
        <v>0.95285714285714362</v>
      </c>
      <c r="AG18" s="637"/>
    </row>
    <row r="19" spans="1:33" ht="16.5" customHeight="1">
      <c r="A19" s="658" t="s">
        <v>2401</v>
      </c>
      <c r="B19" s="470" t="s">
        <v>92</v>
      </c>
      <c r="C19" s="466" t="s">
        <v>107</v>
      </c>
      <c r="D19" s="467"/>
      <c r="E19" s="42">
        <v>50.67</v>
      </c>
      <c r="F19" s="470">
        <v>1817</v>
      </c>
      <c r="G19" s="464">
        <f t="shared" si="15"/>
        <v>92067.39</v>
      </c>
      <c r="H19" s="37" t="s">
        <v>91</v>
      </c>
      <c r="I19" s="468">
        <v>17</v>
      </c>
      <c r="J19" s="39">
        <v>2000</v>
      </c>
      <c r="K19" s="17">
        <f t="shared" si="1"/>
        <v>117.64705882352941</v>
      </c>
      <c r="L19" s="468">
        <v>17</v>
      </c>
      <c r="M19" s="18">
        <f t="shared" si="16"/>
        <v>1912.6315789473699</v>
      </c>
      <c r="N19" s="17">
        <f t="shared" si="3"/>
        <v>112.50773993808059</v>
      </c>
      <c r="O19" s="19">
        <f t="shared" si="4"/>
        <v>0</v>
      </c>
      <c r="P19" s="20">
        <f t="shared" si="5"/>
        <v>-5.1393188854488159</v>
      </c>
      <c r="Q19" s="463">
        <f t="shared" si="6"/>
        <v>0.95631578947368512</v>
      </c>
      <c r="R19" s="637"/>
      <c r="S19" s="40">
        <v>0.75138888888888888</v>
      </c>
      <c r="T19" s="40">
        <v>0.79097222222222219</v>
      </c>
      <c r="U19" s="464">
        <f t="shared" si="18"/>
        <v>5.9999999999999787</v>
      </c>
      <c r="V19" s="469">
        <f t="shared" si="17"/>
        <v>56.999999999999957</v>
      </c>
      <c r="W19" s="23"/>
      <c r="X19" s="23"/>
      <c r="Y19" s="26"/>
      <c r="Z19" s="26"/>
      <c r="AA19" s="459"/>
      <c r="AB19" s="460"/>
      <c r="AC19" s="25"/>
      <c r="AD19" s="25"/>
      <c r="AE19" s="19">
        <f t="shared" si="8"/>
        <v>-87.368421052630083</v>
      </c>
      <c r="AF19" s="463">
        <f t="shared" si="9"/>
        <v>0.95631578947368501</v>
      </c>
      <c r="AG19" s="637"/>
    </row>
    <row r="20" spans="1:33" ht="16.5" customHeight="1">
      <c r="A20" s="658" t="s">
        <v>2401</v>
      </c>
      <c r="B20" s="470" t="s">
        <v>92</v>
      </c>
      <c r="C20" s="466" t="s">
        <v>114</v>
      </c>
      <c r="D20" s="467"/>
      <c r="E20" s="42">
        <v>54.09</v>
      </c>
      <c r="F20" s="470">
        <v>2439</v>
      </c>
      <c r="G20" s="464">
        <f t="shared" si="15"/>
        <v>131925.51</v>
      </c>
      <c r="H20" s="37" t="s">
        <v>91</v>
      </c>
      <c r="I20" s="468">
        <v>18</v>
      </c>
      <c r="J20" s="39">
        <v>2000</v>
      </c>
      <c r="K20" s="17">
        <f t="shared" si="1"/>
        <v>111.11111111111111</v>
      </c>
      <c r="L20" s="468">
        <v>18</v>
      </c>
      <c r="M20" s="18">
        <f t="shared" si="16"/>
        <v>1925.5263157894722</v>
      </c>
      <c r="N20" s="17">
        <f t="shared" si="3"/>
        <v>106.97368421052623</v>
      </c>
      <c r="O20" s="19">
        <f t="shared" si="4"/>
        <v>0</v>
      </c>
      <c r="P20" s="20">
        <f t="shared" si="5"/>
        <v>-4.1374269005848845</v>
      </c>
      <c r="Q20" s="463">
        <f t="shared" si="6"/>
        <v>0.96276315789473599</v>
      </c>
      <c r="R20" s="637"/>
      <c r="S20" s="40">
        <v>0.7944444444444444</v>
      </c>
      <c r="T20" s="40">
        <v>0.84722222222222221</v>
      </c>
      <c r="U20" s="464">
        <f t="shared" si="18"/>
        <v>4.9999999999999822</v>
      </c>
      <c r="V20" s="469">
        <f t="shared" si="17"/>
        <v>76.000000000000057</v>
      </c>
      <c r="W20" s="23"/>
      <c r="X20" s="23"/>
      <c r="Y20" s="26"/>
      <c r="Z20" s="26"/>
      <c r="AA20" s="459"/>
      <c r="AB20" s="460"/>
      <c r="AC20" s="25"/>
      <c r="AD20" s="25"/>
      <c r="AE20" s="19">
        <f t="shared" si="8"/>
        <v>-74.473684210527836</v>
      </c>
      <c r="AF20" s="463">
        <f t="shared" si="9"/>
        <v>0.9627631578947361</v>
      </c>
      <c r="AG20" s="637"/>
    </row>
    <row r="21" spans="1:33" ht="16.5" customHeight="1">
      <c r="A21" s="658" t="s">
        <v>2401</v>
      </c>
      <c r="B21" s="42" t="s">
        <v>2399</v>
      </c>
      <c r="C21" s="638"/>
      <c r="D21" s="638"/>
      <c r="E21" s="465"/>
      <c r="F21" s="44"/>
      <c r="G21" s="17"/>
      <c r="H21" s="470"/>
      <c r="I21" s="29">
        <v>18.428571428571427</v>
      </c>
      <c r="J21" s="39">
        <v>1785.7142857142858</v>
      </c>
      <c r="K21" s="17">
        <f t="shared" si="1"/>
        <v>96.899224806201559</v>
      </c>
      <c r="L21" s="29">
        <v>18.428571428571427</v>
      </c>
      <c r="M21" s="18">
        <f>AVERAGE(M14:M20)</f>
        <v>1707.3055782124607</v>
      </c>
      <c r="N21" s="17">
        <f t="shared" si="3"/>
        <v>92.644488740211045</v>
      </c>
      <c r="O21" s="19">
        <f t="shared" si="4"/>
        <v>0</v>
      </c>
      <c r="P21" s="20">
        <f t="shared" si="5"/>
        <v>-4.2547360659905138</v>
      </c>
      <c r="Q21" s="463">
        <f t="shared" si="6"/>
        <v>0.95609112379897787</v>
      </c>
      <c r="R21" s="637"/>
      <c r="S21" s="40"/>
      <c r="T21" s="40"/>
      <c r="U21" s="464"/>
      <c r="V21" s="469"/>
      <c r="W21" s="17"/>
      <c r="X21" s="17"/>
      <c r="Y21" s="30">
        <f>SUM(Y14:Y20)</f>
        <v>0</v>
      </c>
      <c r="Z21" s="30">
        <f>SUM(Z14:Z20)</f>
        <v>0</v>
      </c>
      <c r="AA21" s="631"/>
      <c r="AB21" s="631"/>
      <c r="AC21" s="30">
        <v>7</v>
      </c>
      <c r="AD21" s="30">
        <f>SUM(AD14:AD20)</f>
        <v>0</v>
      </c>
      <c r="AE21" s="19">
        <f t="shared" si="8"/>
        <v>-78.40870750182512</v>
      </c>
      <c r="AF21" s="463">
        <f t="shared" si="9"/>
        <v>0.95609112379897798</v>
      </c>
      <c r="AG21" s="637"/>
    </row>
    <row r="22" spans="1:33" ht="15.75" customHeight="1">
      <c r="A22" s="655" t="s">
        <v>2403</v>
      </c>
      <c r="B22" s="42" t="s">
        <v>92</v>
      </c>
      <c r="C22" s="653" t="s">
        <v>110</v>
      </c>
      <c r="D22" s="653"/>
      <c r="E22" s="42">
        <v>50.67</v>
      </c>
      <c r="F22" s="470">
        <v>1755</v>
      </c>
      <c r="G22" s="464">
        <f t="shared" ref="G22:G29" si="19">E22*F22</f>
        <v>88925.85</v>
      </c>
      <c r="H22" s="37" t="s">
        <v>91</v>
      </c>
      <c r="I22" s="468">
        <v>17</v>
      </c>
      <c r="J22" s="39">
        <v>2000</v>
      </c>
      <c r="K22" s="17">
        <f t="shared" si="1"/>
        <v>117.64705882352941</v>
      </c>
      <c r="L22" s="468">
        <v>17</v>
      </c>
      <c r="M22" s="18">
        <f t="shared" ref="M22:M29" si="20">F22/V22*60</f>
        <v>1914.5454545454545</v>
      </c>
      <c r="N22" s="17">
        <f t="shared" si="3"/>
        <v>112.62032085561498</v>
      </c>
      <c r="O22" s="19">
        <f t="shared" si="4"/>
        <v>0</v>
      </c>
      <c r="P22" s="20">
        <f t="shared" si="5"/>
        <v>-5.0267379679144284</v>
      </c>
      <c r="Q22" s="463">
        <f t="shared" si="6"/>
        <v>0.95727272727272739</v>
      </c>
      <c r="R22" s="637">
        <f>Q30</f>
        <v>0.96322161189479849</v>
      </c>
      <c r="S22" s="40">
        <v>0.20833333333333334</v>
      </c>
      <c r="T22" s="40">
        <v>0.24652777777777779</v>
      </c>
      <c r="U22" s="464"/>
      <c r="V22" s="469">
        <f t="shared" ref="V22:V29" si="21">(T22-S22)*24*60</f>
        <v>55.000000000000007</v>
      </c>
      <c r="W22" s="23"/>
      <c r="X22" s="23"/>
      <c r="Y22" s="28"/>
      <c r="Z22" s="28"/>
      <c r="AA22" s="632"/>
      <c r="AB22" s="632"/>
      <c r="AC22" s="25">
        <v>8</v>
      </c>
      <c r="AD22" s="25"/>
      <c r="AE22" s="19">
        <f t="shared" si="8"/>
        <v>-85.454545454545496</v>
      </c>
      <c r="AF22" s="463">
        <f t="shared" si="9"/>
        <v>0.95727272727272728</v>
      </c>
      <c r="AG22" s="637">
        <f>AF30</f>
        <v>0.9632216118947986</v>
      </c>
    </row>
    <row r="23" spans="1:33" ht="15.75" customHeight="1">
      <c r="A23" s="656" t="s">
        <v>2403</v>
      </c>
      <c r="B23" s="42" t="s">
        <v>92</v>
      </c>
      <c r="C23" s="653" t="s">
        <v>111</v>
      </c>
      <c r="D23" s="653"/>
      <c r="E23" s="42">
        <v>57.73</v>
      </c>
      <c r="F23" s="470">
        <v>2594</v>
      </c>
      <c r="G23" s="464">
        <f t="shared" si="19"/>
        <v>149751.62</v>
      </c>
      <c r="H23" s="37" t="s">
        <v>91</v>
      </c>
      <c r="I23" s="468">
        <v>14</v>
      </c>
      <c r="J23" s="39">
        <v>2000</v>
      </c>
      <c r="K23" s="17">
        <f t="shared" si="1"/>
        <v>142.85714285714286</v>
      </c>
      <c r="L23" s="468">
        <v>14</v>
      </c>
      <c r="M23" s="18">
        <f t="shared" si="20"/>
        <v>1921.4814814814808</v>
      </c>
      <c r="N23" s="17">
        <f t="shared" si="3"/>
        <v>137.24867724867721</v>
      </c>
      <c r="O23" s="19">
        <f t="shared" si="4"/>
        <v>0</v>
      </c>
      <c r="P23" s="20">
        <f t="shared" si="5"/>
        <v>-5.6084656084656501</v>
      </c>
      <c r="Q23" s="463">
        <f t="shared" si="6"/>
        <v>0.96074074074074045</v>
      </c>
      <c r="R23" s="637"/>
      <c r="S23" s="40">
        <v>0.25</v>
      </c>
      <c r="T23" s="40">
        <v>0.30625000000000002</v>
      </c>
      <c r="U23" s="464">
        <f t="shared" ref="U23:U29" si="22">IF(S23=TIME(17,0,0),"",(S23-T22)*24*60)</f>
        <v>4.9999999999999822</v>
      </c>
      <c r="V23" s="469">
        <f t="shared" si="21"/>
        <v>81.000000000000028</v>
      </c>
      <c r="W23" s="23"/>
      <c r="X23" s="464"/>
      <c r="Y23" s="464"/>
      <c r="Z23" s="464"/>
      <c r="AA23" s="632"/>
      <c r="AB23" s="632"/>
      <c r="AC23" s="25"/>
      <c r="AD23" s="25"/>
      <c r="AE23" s="19">
        <f t="shared" si="8"/>
        <v>-78.518518518519159</v>
      </c>
      <c r="AF23" s="463">
        <f t="shared" si="9"/>
        <v>0.96074074074074045</v>
      </c>
      <c r="AG23" s="637"/>
    </row>
    <row r="24" spans="1:33" ht="15.75" customHeight="1">
      <c r="A24" s="656" t="s">
        <v>2403</v>
      </c>
      <c r="B24" s="42" t="s">
        <v>92</v>
      </c>
      <c r="C24" s="653" t="s">
        <v>112</v>
      </c>
      <c r="D24" s="653"/>
      <c r="E24" s="42">
        <v>53.27</v>
      </c>
      <c r="F24" s="470">
        <v>1392</v>
      </c>
      <c r="G24" s="464">
        <f t="shared" si="19"/>
        <v>74151.840000000011</v>
      </c>
      <c r="H24" s="37" t="s">
        <v>91</v>
      </c>
      <c r="I24" s="468">
        <v>16</v>
      </c>
      <c r="J24" s="39">
        <v>2000</v>
      </c>
      <c r="K24" s="17">
        <f t="shared" si="1"/>
        <v>125</v>
      </c>
      <c r="L24" s="468">
        <v>16</v>
      </c>
      <c r="M24" s="18">
        <f t="shared" si="20"/>
        <v>1942.3255813953485</v>
      </c>
      <c r="N24" s="17">
        <f t="shared" si="3"/>
        <v>121.39534883720928</v>
      </c>
      <c r="O24" s="19">
        <f t="shared" si="4"/>
        <v>0</v>
      </c>
      <c r="P24" s="20">
        <f t="shared" si="5"/>
        <v>-3.6046511627907165</v>
      </c>
      <c r="Q24" s="463">
        <f t="shared" si="6"/>
        <v>0.97116279069767431</v>
      </c>
      <c r="R24" s="637"/>
      <c r="S24" s="40">
        <v>0.31180555555555556</v>
      </c>
      <c r="T24" s="40">
        <v>0.34166666666666667</v>
      </c>
      <c r="U24" s="464">
        <f t="shared" si="22"/>
        <v>7.9999999999999716</v>
      </c>
      <c r="V24" s="469">
        <f t="shared" si="21"/>
        <v>43.000000000000007</v>
      </c>
      <c r="W24" s="23"/>
      <c r="X24" s="464"/>
      <c r="Y24" s="464"/>
      <c r="Z24" s="464"/>
      <c r="AA24" s="632"/>
      <c r="AB24" s="632"/>
      <c r="AC24" s="25"/>
      <c r="AD24" s="25"/>
      <c r="AE24" s="19">
        <f t="shared" si="8"/>
        <v>-57.674418604651464</v>
      </c>
      <c r="AF24" s="463">
        <f t="shared" si="9"/>
        <v>0.97116279069767431</v>
      </c>
      <c r="AG24" s="637"/>
    </row>
    <row r="25" spans="1:33" ht="15.75" customHeight="1">
      <c r="A25" s="656" t="s">
        <v>2403</v>
      </c>
      <c r="B25" s="42" t="s">
        <v>92</v>
      </c>
      <c r="C25" s="653" t="s">
        <v>1852</v>
      </c>
      <c r="D25" s="653"/>
      <c r="E25" s="42">
        <v>56.43</v>
      </c>
      <c r="F25" s="470">
        <v>1893</v>
      </c>
      <c r="G25" s="464">
        <f t="shared" si="19"/>
        <v>106821.99</v>
      </c>
      <c r="H25" s="37" t="s">
        <v>91</v>
      </c>
      <c r="I25" s="468">
        <v>25</v>
      </c>
      <c r="J25" s="39">
        <v>2000</v>
      </c>
      <c r="K25" s="17">
        <f t="shared" si="1"/>
        <v>80</v>
      </c>
      <c r="L25" s="468">
        <v>25</v>
      </c>
      <c r="M25" s="18">
        <f t="shared" si="20"/>
        <v>1925.0847457627108</v>
      </c>
      <c r="N25" s="17">
        <f t="shared" si="3"/>
        <v>77.003389830508425</v>
      </c>
      <c r="O25" s="19">
        <f t="shared" si="4"/>
        <v>0</v>
      </c>
      <c r="P25" s="20">
        <f t="shared" si="5"/>
        <v>-2.996610169491575</v>
      </c>
      <c r="Q25" s="463">
        <f t="shared" si="6"/>
        <v>0.96254237288135536</v>
      </c>
      <c r="R25" s="637"/>
      <c r="S25" s="40">
        <v>0.34652777777777777</v>
      </c>
      <c r="T25" s="40">
        <v>0.38750000000000001</v>
      </c>
      <c r="U25" s="464">
        <f t="shared" si="22"/>
        <v>6.9999999999999751</v>
      </c>
      <c r="V25" s="469">
        <f t="shared" si="21"/>
        <v>59.000000000000028</v>
      </c>
      <c r="W25" s="23"/>
      <c r="X25" s="464"/>
      <c r="Y25" s="464"/>
      <c r="Z25" s="464"/>
      <c r="AA25" s="632"/>
      <c r="AB25" s="632"/>
      <c r="AC25" s="25"/>
      <c r="AD25" s="25"/>
      <c r="AE25" s="19">
        <f t="shared" si="8"/>
        <v>-74.915254237289219</v>
      </c>
      <c r="AF25" s="463">
        <f t="shared" si="9"/>
        <v>0.96254237288135536</v>
      </c>
      <c r="AG25" s="637"/>
    </row>
    <row r="26" spans="1:33" ht="15.75" customHeight="1">
      <c r="A26" s="656" t="s">
        <v>2403</v>
      </c>
      <c r="B26" s="42" t="s">
        <v>92</v>
      </c>
      <c r="C26" s="653" t="s">
        <v>133</v>
      </c>
      <c r="D26" s="653"/>
      <c r="E26" s="42">
        <v>59.04</v>
      </c>
      <c r="F26" s="470">
        <v>1344</v>
      </c>
      <c r="G26" s="464">
        <f t="shared" si="19"/>
        <v>79349.759999999995</v>
      </c>
      <c r="H26" s="37" t="s">
        <v>91</v>
      </c>
      <c r="I26" s="468">
        <v>19</v>
      </c>
      <c r="J26" s="39">
        <v>2000</v>
      </c>
      <c r="K26" s="17">
        <f t="shared" si="1"/>
        <v>105.26315789473684</v>
      </c>
      <c r="L26" s="468">
        <v>19</v>
      </c>
      <c r="M26" s="18">
        <f t="shared" si="20"/>
        <v>1919.9999999999993</v>
      </c>
      <c r="N26" s="17">
        <f t="shared" si="3"/>
        <v>101.05263157894733</v>
      </c>
      <c r="O26" s="19">
        <f t="shared" si="4"/>
        <v>0</v>
      </c>
      <c r="P26" s="20">
        <f t="shared" si="5"/>
        <v>-4.2105263157895081</v>
      </c>
      <c r="Q26" s="463">
        <f t="shared" si="6"/>
        <v>0.95999999999999963</v>
      </c>
      <c r="R26" s="637"/>
      <c r="S26" s="40">
        <v>0.3923611111111111</v>
      </c>
      <c r="T26" s="40">
        <v>0.42152777777777778</v>
      </c>
      <c r="U26" s="464">
        <f t="shared" si="22"/>
        <v>6.9999999999999751</v>
      </c>
      <c r="V26" s="469">
        <f t="shared" si="21"/>
        <v>42.000000000000014</v>
      </c>
      <c r="W26" s="23"/>
      <c r="X26" s="23"/>
      <c r="Y26" s="464"/>
      <c r="Z26" s="464"/>
      <c r="AA26" s="632"/>
      <c r="AB26" s="632"/>
      <c r="AC26" s="25"/>
      <c r="AD26" s="25"/>
      <c r="AE26" s="19">
        <f t="shared" si="8"/>
        <v>-80.000000000000682</v>
      </c>
      <c r="AF26" s="463">
        <f t="shared" si="9"/>
        <v>0.95999999999999963</v>
      </c>
      <c r="AG26" s="637"/>
    </row>
    <row r="27" spans="1:33" ht="15.75" customHeight="1">
      <c r="A27" s="656" t="s">
        <v>2403</v>
      </c>
      <c r="B27" s="42" t="s">
        <v>92</v>
      </c>
      <c r="C27" s="653" t="s">
        <v>113</v>
      </c>
      <c r="D27" s="653"/>
      <c r="E27" s="42">
        <v>56.43</v>
      </c>
      <c r="F27" s="470">
        <v>1391</v>
      </c>
      <c r="G27" s="464">
        <f t="shared" si="19"/>
        <v>78494.13</v>
      </c>
      <c r="H27" s="37" t="s">
        <v>91</v>
      </c>
      <c r="I27" s="468">
        <v>13</v>
      </c>
      <c r="J27" s="39">
        <v>2000</v>
      </c>
      <c r="K27" s="17">
        <f t="shared" si="1"/>
        <v>153.84615384615384</v>
      </c>
      <c r="L27" s="468">
        <v>13</v>
      </c>
      <c r="M27" s="18">
        <f t="shared" si="20"/>
        <v>1940.9302325581391</v>
      </c>
      <c r="N27" s="17">
        <f t="shared" si="3"/>
        <v>149.30232558139531</v>
      </c>
      <c r="O27" s="19">
        <f t="shared" si="4"/>
        <v>0</v>
      </c>
      <c r="P27" s="20">
        <f t="shared" si="5"/>
        <v>-4.5438282647585311</v>
      </c>
      <c r="Q27" s="463">
        <f t="shared" si="6"/>
        <v>0.97046511627906951</v>
      </c>
      <c r="R27" s="637"/>
      <c r="S27" s="40">
        <v>0.70833333333333337</v>
      </c>
      <c r="T27" s="40">
        <v>0.73819444444444449</v>
      </c>
      <c r="U27" s="464" t="str">
        <f t="shared" si="22"/>
        <v/>
      </c>
      <c r="V27" s="469">
        <f t="shared" si="21"/>
        <v>43.000000000000007</v>
      </c>
      <c r="W27" s="23"/>
      <c r="X27" s="28"/>
      <c r="Y27" s="28"/>
      <c r="Z27" s="28"/>
      <c r="AA27" s="632"/>
      <c r="AB27" s="632"/>
      <c r="AC27" s="25"/>
      <c r="AD27" s="25"/>
      <c r="AE27" s="19">
        <f t="shared" si="8"/>
        <v>-59.069767441860904</v>
      </c>
      <c r="AF27" s="463">
        <f t="shared" si="9"/>
        <v>0.97046511627906951</v>
      </c>
      <c r="AG27" s="637"/>
    </row>
    <row r="28" spans="1:33" ht="15.75" customHeight="1">
      <c r="A28" s="656" t="s">
        <v>2403</v>
      </c>
      <c r="B28" s="42" t="s">
        <v>92</v>
      </c>
      <c r="C28" s="679" t="s">
        <v>420</v>
      </c>
      <c r="D28" s="680"/>
      <c r="E28" s="42">
        <v>58.17</v>
      </c>
      <c r="F28" s="470">
        <v>2747</v>
      </c>
      <c r="G28" s="464">
        <f t="shared" si="19"/>
        <v>159792.99</v>
      </c>
      <c r="H28" s="37" t="s">
        <v>91</v>
      </c>
      <c r="I28" s="468">
        <v>13</v>
      </c>
      <c r="J28" s="39">
        <v>2000</v>
      </c>
      <c r="K28" s="17">
        <f t="shared" si="1"/>
        <v>153.84615384615384</v>
      </c>
      <c r="L28" s="468">
        <v>13</v>
      </c>
      <c r="M28" s="18">
        <f t="shared" si="20"/>
        <v>1916.5116279069764</v>
      </c>
      <c r="N28" s="17">
        <f t="shared" si="3"/>
        <v>147.42397137745974</v>
      </c>
      <c r="O28" s="19">
        <f t="shared" si="4"/>
        <v>0</v>
      </c>
      <c r="P28" s="20">
        <f t="shared" si="5"/>
        <v>-6.4221824686941034</v>
      </c>
      <c r="Q28" s="463">
        <f t="shared" si="6"/>
        <v>0.95825581395348836</v>
      </c>
      <c r="R28" s="637"/>
      <c r="S28" s="40">
        <v>0.7416666666666667</v>
      </c>
      <c r="T28" s="40">
        <v>0.80138888888888893</v>
      </c>
      <c r="U28" s="464">
        <f t="shared" si="22"/>
        <v>4.9999999999999822</v>
      </c>
      <c r="V28" s="469">
        <f t="shared" si="21"/>
        <v>86.000000000000014</v>
      </c>
      <c r="W28" s="23"/>
      <c r="X28" s="28"/>
      <c r="Y28" s="136"/>
      <c r="Z28" s="136"/>
      <c r="AA28" s="627"/>
      <c r="AB28" s="628"/>
      <c r="AC28" s="25"/>
      <c r="AD28" s="25"/>
      <c r="AE28" s="19">
        <f t="shared" si="8"/>
        <v>-83.4883720930236</v>
      </c>
      <c r="AF28" s="463">
        <f t="shared" si="9"/>
        <v>0.95825581395348824</v>
      </c>
      <c r="AG28" s="637"/>
    </row>
    <row r="29" spans="1:33" ht="15.75" customHeight="1">
      <c r="A29" s="656" t="s">
        <v>2403</v>
      </c>
      <c r="B29" s="42" t="s">
        <v>92</v>
      </c>
      <c r="C29" s="466" t="s">
        <v>95</v>
      </c>
      <c r="D29" s="467"/>
      <c r="E29" s="42">
        <v>50.67</v>
      </c>
      <c r="F29" s="470">
        <v>1448</v>
      </c>
      <c r="G29" s="464">
        <f t="shared" si="19"/>
        <v>73370.16</v>
      </c>
      <c r="H29" s="37" t="s">
        <v>91</v>
      </c>
      <c r="I29" s="468">
        <v>15</v>
      </c>
      <c r="J29" s="39">
        <v>2000</v>
      </c>
      <c r="K29" s="17">
        <f t="shared" si="1"/>
        <v>133.33333333333334</v>
      </c>
      <c r="L29" s="468">
        <v>15</v>
      </c>
      <c r="M29" s="18">
        <f t="shared" si="20"/>
        <v>1930.6666666666665</v>
      </c>
      <c r="N29" s="17">
        <f t="shared" si="3"/>
        <v>128.71111111111111</v>
      </c>
      <c r="O29" s="19">
        <f t="shared" si="4"/>
        <v>0</v>
      </c>
      <c r="P29" s="20">
        <f t="shared" si="5"/>
        <v>-4.6222222222222342</v>
      </c>
      <c r="Q29" s="463">
        <f t="shared" si="6"/>
        <v>0.96533333333333327</v>
      </c>
      <c r="R29" s="637"/>
      <c r="S29" s="40">
        <v>0.80555555555555558</v>
      </c>
      <c r="T29" s="40">
        <v>0.83680555555555558</v>
      </c>
      <c r="U29" s="464">
        <f t="shared" si="22"/>
        <v>5.9999999999999787</v>
      </c>
      <c r="V29" s="469">
        <f t="shared" si="21"/>
        <v>45</v>
      </c>
      <c r="W29" s="23"/>
      <c r="X29" s="23"/>
      <c r="Y29" s="26"/>
      <c r="Z29" s="26"/>
      <c r="AA29" s="459"/>
      <c r="AB29" s="460"/>
      <c r="AC29" s="25"/>
      <c r="AD29" s="25"/>
      <c r="AE29" s="19">
        <f t="shared" si="8"/>
        <v>-69.333333333333485</v>
      </c>
      <c r="AF29" s="463">
        <f t="shared" si="9"/>
        <v>0.96533333333333327</v>
      </c>
      <c r="AG29" s="637"/>
    </row>
    <row r="30" spans="1:33" ht="15.75" customHeight="1">
      <c r="A30" s="656" t="s">
        <v>2403</v>
      </c>
      <c r="B30" s="42" t="s">
        <v>2399</v>
      </c>
      <c r="C30" s="638"/>
      <c r="D30" s="638"/>
      <c r="E30" s="465"/>
      <c r="F30" s="470"/>
      <c r="G30" s="464"/>
      <c r="H30" s="470"/>
      <c r="I30" s="29">
        <v>16.5</v>
      </c>
      <c r="J30" s="39">
        <v>2000</v>
      </c>
      <c r="K30" s="17">
        <f t="shared" si="1"/>
        <v>121.21212121212122</v>
      </c>
      <c r="L30" s="29">
        <v>16.5</v>
      </c>
      <c r="M30" s="18">
        <f>AVERAGE(M22:M29)</f>
        <v>1926.4432237895971</v>
      </c>
      <c r="N30" s="17">
        <f t="shared" si="3"/>
        <v>116.7541347751271</v>
      </c>
      <c r="O30" s="19">
        <f t="shared" si="4"/>
        <v>0</v>
      </c>
      <c r="P30" s="20">
        <f t="shared" si="5"/>
        <v>-4.4579864369941191</v>
      </c>
      <c r="Q30" s="463">
        <f t="shared" si="6"/>
        <v>0.96322161189479849</v>
      </c>
      <c r="R30" s="637"/>
      <c r="S30" s="40"/>
      <c r="T30" s="40"/>
      <c r="U30" s="17"/>
      <c r="V30" s="469"/>
      <c r="W30" s="17"/>
      <c r="X30" s="17"/>
      <c r="Y30" s="30">
        <f>SUM(Y22:Y29)</f>
        <v>0</v>
      </c>
      <c r="Z30" s="30">
        <f>SUM(Z22:Z29)</f>
        <v>0</v>
      </c>
      <c r="AA30" s="631"/>
      <c r="AB30" s="631"/>
      <c r="AC30" s="30">
        <v>8</v>
      </c>
      <c r="AD30" s="30">
        <f>SUM(AD22:AD29)</f>
        <v>0</v>
      </c>
      <c r="AE30" s="19">
        <f t="shared" si="8"/>
        <v>-73.556776210402859</v>
      </c>
      <c r="AF30" s="463">
        <f t="shared" si="9"/>
        <v>0.9632216118947986</v>
      </c>
      <c r="AG30" s="637"/>
    </row>
    <row r="31" spans="1:33" ht="15.75" customHeight="1">
      <c r="A31" s="654" t="s">
        <v>2404</v>
      </c>
      <c r="B31" s="42" t="s">
        <v>116</v>
      </c>
      <c r="C31" s="653" t="s">
        <v>117</v>
      </c>
      <c r="D31" s="653"/>
      <c r="E31" s="42">
        <v>31.29</v>
      </c>
      <c r="F31" s="470">
        <v>5200</v>
      </c>
      <c r="G31" s="464">
        <f t="shared" ref="G31:G37" si="23">E31*F31</f>
        <v>162708</v>
      </c>
      <c r="H31" s="37">
        <v>2</v>
      </c>
      <c r="I31" s="468">
        <v>18</v>
      </c>
      <c r="J31" s="39">
        <v>2400</v>
      </c>
      <c r="K31" s="17">
        <f t="shared" si="1"/>
        <v>133.33333333333334</v>
      </c>
      <c r="L31" s="468">
        <v>18</v>
      </c>
      <c r="M31" s="18">
        <f t="shared" ref="M31:M37" si="24">F31/V31*60</f>
        <v>2294.1176470588239</v>
      </c>
      <c r="N31" s="17">
        <f t="shared" si="3"/>
        <v>127.45098039215688</v>
      </c>
      <c r="O31" s="19">
        <f t="shared" si="4"/>
        <v>0</v>
      </c>
      <c r="P31" s="20">
        <f t="shared" si="5"/>
        <v>-5.8823529411764639</v>
      </c>
      <c r="Q31" s="463">
        <f t="shared" si="6"/>
        <v>0.95588235294117652</v>
      </c>
      <c r="R31" s="637">
        <f>Q38</f>
        <v>0.95587415833191547</v>
      </c>
      <c r="S31" s="40">
        <v>8.3333333333333329E-2</v>
      </c>
      <c r="T31" s="40">
        <v>0.17777777777777776</v>
      </c>
      <c r="U31" s="464"/>
      <c r="V31" s="469">
        <f t="shared" ref="V31:V37" si="25">(T31-S31)*24*60</f>
        <v>135.99999999999997</v>
      </c>
      <c r="W31" s="23">
        <f>T31</f>
        <v>0.17777777777777776</v>
      </c>
      <c r="X31" s="23">
        <f>S32</f>
        <v>0.19930555555555554</v>
      </c>
      <c r="Y31" s="23"/>
      <c r="Z31" s="23"/>
      <c r="AA31" s="632"/>
      <c r="AB31" s="632"/>
      <c r="AC31" s="25">
        <v>7</v>
      </c>
      <c r="AD31" s="25"/>
      <c r="AE31" s="19">
        <f t="shared" si="8"/>
        <v>-105.88235294117612</v>
      </c>
      <c r="AF31" s="463">
        <f t="shared" si="9"/>
        <v>0.95588235294117663</v>
      </c>
      <c r="AG31" s="637">
        <f>AF38</f>
        <v>0.95587415833191547</v>
      </c>
    </row>
    <row r="32" spans="1:33" ht="15.75" customHeight="1">
      <c r="A32" s="654" t="s">
        <v>2404</v>
      </c>
      <c r="B32" s="42" t="s">
        <v>116</v>
      </c>
      <c r="C32" s="653" t="s">
        <v>118</v>
      </c>
      <c r="D32" s="653"/>
      <c r="E32" s="42">
        <v>26.37</v>
      </c>
      <c r="F32" s="470">
        <v>6615</v>
      </c>
      <c r="G32" s="464">
        <f t="shared" si="23"/>
        <v>174437.55000000002</v>
      </c>
      <c r="H32" s="37" t="s">
        <v>91</v>
      </c>
      <c r="I32" s="468">
        <v>18</v>
      </c>
      <c r="J32" s="39">
        <v>2400</v>
      </c>
      <c r="K32" s="17">
        <f t="shared" si="1"/>
        <v>133.33333333333334</v>
      </c>
      <c r="L32" s="468">
        <v>18</v>
      </c>
      <c r="M32" s="18">
        <f t="shared" si="24"/>
        <v>2281.0344827586209</v>
      </c>
      <c r="N32" s="17">
        <f t="shared" si="3"/>
        <v>126.72413793103449</v>
      </c>
      <c r="O32" s="19">
        <f t="shared" si="4"/>
        <v>0</v>
      </c>
      <c r="P32" s="20">
        <f t="shared" si="5"/>
        <v>-6.6091954022988517</v>
      </c>
      <c r="Q32" s="463">
        <f t="shared" si="6"/>
        <v>0.95043103448275856</v>
      </c>
      <c r="R32" s="637"/>
      <c r="S32" s="40">
        <v>0.19930555555555554</v>
      </c>
      <c r="T32" s="40">
        <v>0.32013888888888886</v>
      </c>
      <c r="U32" s="464">
        <f t="shared" ref="U32:U37" si="26">(S32-T31)*24*60</f>
        <v>31.000000000000011</v>
      </c>
      <c r="V32" s="469">
        <f t="shared" si="25"/>
        <v>173.99999999999997</v>
      </c>
      <c r="W32" s="23"/>
      <c r="X32" s="23"/>
      <c r="Y32" s="23"/>
      <c r="Z32" s="23"/>
      <c r="AA32" s="632"/>
      <c r="AB32" s="632"/>
      <c r="AC32" s="25"/>
      <c r="AD32" s="25"/>
      <c r="AE32" s="19">
        <f t="shared" si="8"/>
        <v>-118.96551724137908</v>
      </c>
      <c r="AF32" s="463">
        <f t="shared" si="9"/>
        <v>0.95043103448275867</v>
      </c>
      <c r="AG32" s="637"/>
    </row>
    <row r="33" spans="1:33" ht="15.75" customHeight="1">
      <c r="A33" s="654" t="s">
        <v>2404</v>
      </c>
      <c r="B33" s="42" t="s">
        <v>116</v>
      </c>
      <c r="C33" s="653" t="s">
        <v>124</v>
      </c>
      <c r="D33" s="653"/>
      <c r="E33" s="42">
        <v>24.43</v>
      </c>
      <c r="F33" s="470">
        <v>4000</v>
      </c>
      <c r="G33" s="464">
        <f t="shared" si="23"/>
        <v>97720</v>
      </c>
      <c r="H33" s="37">
        <v>2</v>
      </c>
      <c r="I33" s="468">
        <v>14</v>
      </c>
      <c r="J33" s="39">
        <v>2400</v>
      </c>
      <c r="K33" s="17">
        <f t="shared" si="1"/>
        <v>171.42857142857142</v>
      </c>
      <c r="L33" s="468">
        <v>14</v>
      </c>
      <c r="M33" s="18">
        <f t="shared" si="24"/>
        <v>2285.7142857142853</v>
      </c>
      <c r="N33" s="17">
        <f t="shared" si="3"/>
        <v>163.26530612244895</v>
      </c>
      <c r="O33" s="19">
        <f t="shared" si="4"/>
        <v>0</v>
      </c>
      <c r="P33" s="20">
        <f t="shared" si="5"/>
        <v>-8.1632653061224687</v>
      </c>
      <c r="Q33" s="463">
        <f t="shared" si="6"/>
        <v>0.95238095238095222</v>
      </c>
      <c r="R33" s="637"/>
      <c r="S33" s="40">
        <v>0.32361111111111107</v>
      </c>
      <c r="T33" s="40">
        <v>0.39652777777777776</v>
      </c>
      <c r="U33" s="464">
        <f t="shared" si="26"/>
        <v>4.9999999999999822</v>
      </c>
      <c r="V33" s="469">
        <f t="shared" si="25"/>
        <v>105.00000000000003</v>
      </c>
      <c r="W33" s="23"/>
      <c r="X33" s="23"/>
      <c r="Y33" s="23"/>
      <c r="Z33" s="23"/>
      <c r="AA33" s="632"/>
      <c r="AB33" s="632"/>
      <c r="AC33" s="25"/>
      <c r="AD33" s="25"/>
      <c r="AE33" s="19">
        <f t="shared" si="8"/>
        <v>-114.28571428571468</v>
      </c>
      <c r="AF33" s="463">
        <f t="shared" si="9"/>
        <v>0.95238095238095222</v>
      </c>
      <c r="AG33" s="637"/>
    </row>
    <row r="34" spans="1:33" ht="15.75" customHeight="1">
      <c r="A34" s="654" t="s">
        <v>2404</v>
      </c>
      <c r="B34" s="42" t="s">
        <v>116</v>
      </c>
      <c r="C34" s="653" t="s">
        <v>149</v>
      </c>
      <c r="D34" s="653"/>
      <c r="E34" s="42">
        <v>24.25</v>
      </c>
      <c r="F34" s="470">
        <v>3042</v>
      </c>
      <c r="G34" s="464">
        <f t="shared" si="23"/>
        <v>73768.5</v>
      </c>
      <c r="H34" s="37" t="s">
        <v>91</v>
      </c>
      <c r="I34" s="468">
        <v>16</v>
      </c>
      <c r="J34" s="39">
        <v>2400</v>
      </c>
      <c r="K34" s="17">
        <f t="shared" si="1"/>
        <v>150</v>
      </c>
      <c r="L34" s="468">
        <v>16</v>
      </c>
      <c r="M34" s="18">
        <f t="shared" si="24"/>
        <v>2281.5000000000014</v>
      </c>
      <c r="N34" s="17">
        <f t="shared" si="3"/>
        <v>142.59375000000009</v>
      </c>
      <c r="O34" s="19">
        <f t="shared" si="4"/>
        <v>0</v>
      </c>
      <c r="P34" s="20">
        <f t="shared" si="5"/>
        <v>-7.4062499999999147</v>
      </c>
      <c r="Q34" s="463">
        <f t="shared" si="6"/>
        <v>0.95062500000000061</v>
      </c>
      <c r="R34" s="637"/>
      <c r="S34" s="40">
        <v>0.40138888888888885</v>
      </c>
      <c r="T34" s="40">
        <v>0.45694444444444438</v>
      </c>
      <c r="U34" s="464">
        <f t="shared" si="26"/>
        <v>6.9999999999999751</v>
      </c>
      <c r="V34" s="469">
        <f t="shared" si="25"/>
        <v>79.999999999999957</v>
      </c>
      <c r="W34" s="23"/>
      <c r="X34" s="23"/>
      <c r="Y34" s="23"/>
      <c r="Z34" s="23"/>
      <c r="AA34" s="632"/>
      <c r="AB34" s="632"/>
      <c r="AC34" s="25"/>
      <c r="AD34" s="25"/>
      <c r="AE34" s="19">
        <f t="shared" si="8"/>
        <v>-118.49999999999864</v>
      </c>
      <c r="AF34" s="463">
        <f t="shared" si="9"/>
        <v>0.95062500000000061</v>
      </c>
      <c r="AG34" s="637"/>
    </row>
    <row r="35" spans="1:33" ht="15.75" customHeight="1">
      <c r="A35" s="654" t="s">
        <v>2404</v>
      </c>
      <c r="B35" s="42" t="s">
        <v>116</v>
      </c>
      <c r="C35" s="653" t="s">
        <v>120</v>
      </c>
      <c r="D35" s="653"/>
      <c r="E35" s="42">
        <v>25.99</v>
      </c>
      <c r="F35" s="470">
        <v>1241</v>
      </c>
      <c r="G35" s="464">
        <f t="shared" si="23"/>
        <v>32253.589999999997</v>
      </c>
      <c r="H35" s="37" t="s">
        <v>91</v>
      </c>
      <c r="I35" s="468">
        <v>18</v>
      </c>
      <c r="J35" s="39">
        <v>2400</v>
      </c>
      <c r="K35" s="17">
        <f t="shared" si="1"/>
        <v>133.33333333333334</v>
      </c>
      <c r="L35" s="468">
        <v>18</v>
      </c>
      <c r="M35" s="18">
        <f t="shared" si="24"/>
        <v>2326.8750000000027</v>
      </c>
      <c r="N35" s="17">
        <f t="shared" si="3"/>
        <v>129.27083333333348</v>
      </c>
      <c r="O35" s="19">
        <f t="shared" si="4"/>
        <v>0</v>
      </c>
      <c r="P35" s="20">
        <f t="shared" si="5"/>
        <v>-4.0624999999998579</v>
      </c>
      <c r="Q35" s="463">
        <f t="shared" si="6"/>
        <v>0.96953125000000107</v>
      </c>
      <c r="R35" s="637"/>
      <c r="S35" s="40">
        <v>0.46249999999999991</v>
      </c>
      <c r="T35" s="40">
        <v>0.48472222222222211</v>
      </c>
      <c r="U35" s="464">
        <f t="shared" si="26"/>
        <v>7.9999999999999716</v>
      </c>
      <c r="V35" s="469">
        <f t="shared" si="25"/>
        <v>31.999999999999964</v>
      </c>
      <c r="W35" s="23">
        <f>T35</f>
        <v>0.48472222222222211</v>
      </c>
      <c r="X35" s="23">
        <f>S36</f>
        <v>0.52361111111111092</v>
      </c>
      <c r="Y35" s="23"/>
      <c r="Z35" s="23"/>
      <c r="AA35" s="632"/>
      <c r="AB35" s="632"/>
      <c r="AC35" s="25"/>
      <c r="AD35" s="25"/>
      <c r="AE35" s="19">
        <f t="shared" si="8"/>
        <v>-73.124999999997272</v>
      </c>
      <c r="AF35" s="463">
        <f t="shared" si="9"/>
        <v>0.96953125000000118</v>
      </c>
      <c r="AG35" s="637"/>
    </row>
    <row r="36" spans="1:33" ht="15.75" customHeight="1">
      <c r="A36" s="654" t="s">
        <v>2404</v>
      </c>
      <c r="B36" s="42" t="s">
        <v>116</v>
      </c>
      <c r="C36" s="653" t="s">
        <v>124</v>
      </c>
      <c r="D36" s="653"/>
      <c r="E36" s="42">
        <v>24.43</v>
      </c>
      <c r="F36" s="470">
        <v>3335</v>
      </c>
      <c r="G36" s="464">
        <f t="shared" si="23"/>
        <v>81474.05</v>
      </c>
      <c r="H36" s="37" t="s">
        <v>91</v>
      </c>
      <c r="I36" s="468">
        <v>14</v>
      </c>
      <c r="J36" s="39">
        <v>2400</v>
      </c>
      <c r="K36" s="17">
        <f t="shared" si="1"/>
        <v>171.42857142857142</v>
      </c>
      <c r="L36" s="468">
        <v>14</v>
      </c>
      <c r="M36" s="18">
        <f t="shared" si="24"/>
        <v>2299.9999999999995</v>
      </c>
      <c r="N36" s="17">
        <f t="shared" si="3"/>
        <v>164.28571428571425</v>
      </c>
      <c r="O36" s="19">
        <f t="shared" si="4"/>
        <v>0</v>
      </c>
      <c r="P36" s="20">
        <f t="shared" si="5"/>
        <v>-7.1428571428571672</v>
      </c>
      <c r="Q36" s="463">
        <f t="shared" si="6"/>
        <v>0.95833333333333315</v>
      </c>
      <c r="R36" s="637"/>
      <c r="S36" s="40">
        <v>0.52361111111111092</v>
      </c>
      <c r="T36" s="40">
        <v>0.58402777777777759</v>
      </c>
      <c r="U36" s="464">
        <f t="shared" si="26"/>
        <v>55.999999999999879</v>
      </c>
      <c r="V36" s="469">
        <f t="shared" si="25"/>
        <v>87.000000000000014</v>
      </c>
      <c r="W36" s="23"/>
      <c r="X36" s="23"/>
      <c r="Y36" s="23"/>
      <c r="Z36" s="23"/>
      <c r="AA36" s="632"/>
      <c r="AB36" s="632"/>
      <c r="AC36" s="25"/>
      <c r="AD36" s="25"/>
      <c r="AE36" s="19">
        <f t="shared" si="8"/>
        <v>-100.00000000000045</v>
      </c>
      <c r="AF36" s="463">
        <f t="shared" si="9"/>
        <v>0.95833333333333315</v>
      </c>
      <c r="AG36" s="637"/>
    </row>
    <row r="37" spans="1:33" ht="15.75" customHeight="1">
      <c r="A37" s="654" t="s">
        <v>2404</v>
      </c>
      <c r="B37" s="42" t="s">
        <v>116</v>
      </c>
      <c r="C37" s="653" t="s">
        <v>117</v>
      </c>
      <c r="D37" s="653"/>
      <c r="E37" s="42">
        <v>31.29</v>
      </c>
      <c r="F37" s="470">
        <v>4121</v>
      </c>
      <c r="G37" s="464">
        <f t="shared" si="23"/>
        <v>128946.09</v>
      </c>
      <c r="H37" s="37" t="s">
        <v>91</v>
      </c>
      <c r="I37" s="468">
        <v>18</v>
      </c>
      <c r="J37" s="39">
        <v>2400</v>
      </c>
      <c r="K37" s="17">
        <f t="shared" si="1"/>
        <v>133.33333333333334</v>
      </c>
      <c r="L37" s="468">
        <v>18</v>
      </c>
      <c r="M37" s="18">
        <f t="shared" si="24"/>
        <v>2289.4444444444457</v>
      </c>
      <c r="N37" s="17">
        <f t="shared" si="3"/>
        <v>127.19135802469143</v>
      </c>
      <c r="O37" s="19">
        <f t="shared" si="4"/>
        <v>0</v>
      </c>
      <c r="P37" s="20">
        <f t="shared" si="5"/>
        <v>-6.1419753086419178</v>
      </c>
      <c r="Q37" s="463">
        <f t="shared" si="6"/>
        <v>0.95393518518518561</v>
      </c>
      <c r="R37" s="637"/>
      <c r="S37" s="40">
        <v>0.58819444444444424</v>
      </c>
      <c r="T37" s="40">
        <v>0.6631944444444442</v>
      </c>
      <c r="U37" s="464">
        <f t="shared" si="26"/>
        <v>5.9999999999999787</v>
      </c>
      <c r="V37" s="469">
        <f t="shared" si="25"/>
        <v>107.99999999999994</v>
      </c>
      <c r="W37" s="23"/>
      <c r="X37" s="23"/>
      <c r="Y37" s="23"/>
      <c r="Z37" s="23"/>
      <c r="AA37" s="632"/>
      <c r="AB37" s="632"/>
      <c r="AC37" s="25"/>
      <c r="AD37" s="25"/>
      <c r="AE37" s="19">
        <f t="shared" si="8"/>
        <v>-110.55555555555429</v>
      </c>
      <c r="AF37" s="463">
        <f t="shared" si="9"/>
        <v>0.95393518518518572</v>
      </c>
      <c r="AG37" s="637"/>
    </row>
    <row r="38" spans="1:33" ht="15.75" customHeight="1">
      <c r="A38" s="654" t="s">
        <v>2404</v>
      </c>
      <c r="B38" s="42" t="s">
        <v>2399</v>
      </c>
      <c r="C38" s="638"/>
      <c r="D38" s="638"/>
      <c r="E38" s="465"/>
      <c r="F38" s="470"/>
      <c r="G38" s="464"/>
      <c r="H38" s="470"/>
      <c r="I38" s="29">
        <v>16.571428571428573</v>
      </c>
      <c r="J38" s="39">
        <v>2400</v>
      </c>
      <c r="K38" s="17">
        <f t="shared" si="1"/>
        <v>144.82758620689654</v>
      </c>
      <c r="L38" s="29">
        <v>16.571428571428573</v>
      </c>
      <c r="M38" s="18">
        <f>AVERAGE(M31:M37)</f>
        <v>2294.0979799965971</v>
      </c>
      <c r="N38" s="17">
        <f t="shared" si="3"/>
        <v>138.43694706876016</v>
      </c>
      <c r="O38" s="19">
        <f t="shared" si="4"/>
        <v>0</v>
      </c>
      <c r="P38" s="20">
        <f t="shared" si="5"/>
        <v>-6.390639138136379</v>
      </c>
      <c r="Q38" s="463">
        <f t="shared" si="6"/>
        <v>0.95587415833191547</v>
      </c>
      <c r="R38" s="637"/>
      <c r="S38" s="40"/>
      <c r="T38" s="40"/>
      <c r="U38" s="464"/>
      <c r="V38" s="469"/>
      <c r="W38" s="464"/>
      <c r="X38" s="464"/>
      <c r="Y38" s="30">
        <f>SUM(Y31:Y37)</f>
        <v>0</v>
      </c>
      <c r="Z38" s="30">
        <f>SUM(Z31:Z37)</f>
        <v>0</v>
      </c>
      <c r="AA38" s="631"/>
      <c r="AB38" s="631"/>
      <c r="AC38" s="30">
        <v>7</v>
      </c>
      <c r="AD38" s="30">
        <f>SUM(AD31:AD37)</f>
        <v>0</v>
      </c>
      <c r="AE38" s="19">
        <f t="shared" si="8"/>
        <v>-105.90202000340287</v>
      </c>
      <c r="AF38" s="463">
        <f t="shared" si="9"/>
        <v>0.95587415833191547</v>
      </c>
      <c r="AG38" s="637"/>
    </row>
    <row r="39" spans="1:33" ht="15.75" customHeight="1">
      <c r="A39" s="651" t="s">
        <v>2405</v>
      </c>
      <c r="B39" s="42" t="s">
        <v>116</v>
      </c>
      <c r="C39" s="633" t="s">
        <v>123</v>
      </c>
      <c r="D39" s="633"/>
      <c r="E39" s="42">
        <v>26.18</v>
      </c>
      <c r="F39" s="470">
        <v>3500</v>
      </c>
      <c r="G39" s="464">
        <f t="shared" ref="G39:G45" si="27">E39*F39</f>
        <v>91630</v>
      </c>
      <c r="H39" s="37">
        <v>2</v>
      </c>
      <c r="I39" s="468">
        <v>20</v>
      </c>
      <c r="J39" s="39">
        <v>2400</v>
      </c>
      <c r="K39" s="17">
        <f t="shared" si="1"/>
        <v>120</v>
      </c>
      <c r="L39" s="468">
        <v>20</v>
      </c>
      <c r="M39" s="18">
        <f t="shared" ref="M39:M45" si="28">F39/V39*60</f>
        <v>2282.608695652174</v>
      </c>
      <c r="N39" s="17">
        <f t="shared" si="3"/>
        <v>114.1304347826087</v>
      </c>
      <c r="O39" s="19">
        <f t="shared" si="4"/>
        <v>0</v>
      </c>
      <c r="P39" s="20">
        <f t="shared" si="5"/>
        <v>-5.8695652173912976</v>
      </c>
      <c r="Q39" s="463">
        <f t="shared" si="6"/>
        <v>0.95108695652173914</v>
      </c>
      <c r="R39" s="637">
        <f>Q46</f>
        <v>0.95556764639740355</v>
      </c>
      <c r="S39" s="40">
        <v>8.3333333333333329E-2</v>
      </c>
      <c r="T39" s="40">
        <v>0.14722222222222223</v>
      </c>
      <c r="U39" s="464"/>
      <c r="V39" s="469">
        <f t="shared" ref="V39:V45" si="29">(T39-S39)*24*60</f>
        <v>92.000000000000014</v>
      </c>
      <c r="W39" s="28">
        <f>T39</f>
        <v>0.14722222222222223</v>
      </c>
      <c r="X39" s="28">
        <f>S40</f>
        <v>0.16736111111111113</v>
      </c>
      <c r="Y39" s="28"/>
      <c r="Z39" s="28"/>
      <c r="AA39" s="632"/>
      <c r="AB39" s="632"/>
      <c r="AC39" s="25">
        <v>7</v>
      </c>
      <c r="AD39" s="25"/>
      <c r="AE39" s="19">
        <f t="shared" si="8"/>
        <v>-117.39130434782601</v>
      </c>
      <c r="AF39" s="463">
        <f t="shared" si="9"/>
        <v>0.95108695652173914</v>
      </c>
      <c r="AG39" s="637">
        <f>AF46</f>
        <v>0.95556764639740355</v>
      </c>
    </row>
    <row r="40" spans="1:33" ht="15.75" customHeight="1">
      <c r="A40" s="651" t="s">
        <v>2405</v>
      </c>
      <c r="B40" s="42" t="s">
        <v>116</v>
      </c>
      <c r="C40" s="633" t="s">
        <v>147</v>
      </c>
      <c r="D40" s="633"/>
      <c r="E40" s="42">
        <v>25.98</v>
      </c>
      <c r="F40" s="470">
        <v>2488</v>
      </c>
      <c r="G40" s="464">
        <f t="shared" si="27"/>
        <v>64638.239999999998</v>
      </c>
      <c r="H40" s="37" t="s">
        <v>91</v>
      </c>
      <c r="I40" s="468">
        <v>17</v>
      </c>
      <c r="J40" s="39">
        <v>2400</v>
      </c>
      <c r="K40" s="17">
        <f t="shared" si="1"/>
        <v>141.1764705882353</v>
      </c>
      <c r="L40" s="468">
        <v>17</v>
      </c>
      <c r="M40" s="18">
        <f t="shared" si="28"/>
        <v>2296.6153846153843</v>
      </c>
      <c r="N40" s="17">
        <f t="shared" si="3"/>
        <v>135.09502262443436</v>
      </c>
      <c r="O40" s="19">
        <f t="shared" si="4"/>
        <v>0</v>
      </c>
      <c r="P40" s="20">
        <f t="shared" si="5"/>
        <v>-6.0814479638009402</v>
      </c>
      <c r="Q40" s="463">
        <f t="shared" si="6"/>
        <v>0.95692307692307665</v>
      </c>
      <c r="R40" s="637"/>
      <c r="S40" s="40">
        <v>0.16736111111111113</v>
      </c>
      <c r="T40" s="40">
        <v>0.21250000000000002</v>
      </c>
      <c r="U40" s="464">
        <f t="shared" ref="U40:U45" si="30">(S40-T39)*24*60</f>
        <v>29.000000000000018</v>
      </c>
      <c r="V40" s="469">
        <f t="shared" si="29"/>
        <v>65.000000000000014</v>
      </c>
      <c r="W40" s="464"/>
      <c r="X40" s="464"/>
      <c r="Y40" s="464"/>
      <c r="Z40" s="464"/>
      <c r="AA40" s="632"/>
      <c r="AB40" s="632"/>
      <c r="AC40" s="25"/>
      <c r="AD40" s="25"/>
      <c r="AE40" s="19">
        <f t="shared" si="8"/>
        <v>-103.3846153846157</v>
      </c>
      <c r="AF40" s="463">
        <f t="shared" si="9"/>
        <v>0.95692307692307677</v>
      </c>
      <c r="AG40" s="637"/>
    </row>
    <row r="41" spans="1:33">
      <c r="A41" s="652" t="s">
        <v>2405</v>
      </c>
      <c r="B41" s="42" t="s">
        <v>116</v>
      </c>
      <c r="C41" s="633" t="s">
        <v>119</v>
      </c>
      <c r="D41" s="633"/>
      <c r="E41" s="42">
        <v>26.18</v>
      </c>
      <c r="F41" s="470">
        <v>5100</v>
      </c>
      <c r="G41" s="464">
        <f t="shared" si="27"/>
        <v>133518</v>
      </c>
      <c r="H41" s="37">
        <v>2</v>
      </c>
      <c r="I41" s="468">
        <v>18</v>
      </c>
      <c r="J41" s="39">
        <v>2400</v>
      </c>
      <c r="K41" s="17">
        <f t="shared" si="1"/>
        <v>133.33333333333334</v>
      </c>
      <c r="L41" s="468">
        <v>18</v>
      </c>
      <c r="M41" s="18">
        <f t="shared" si="28"/>
        <v>2283.5820895522388</v>
      </c>
      <c r="N41" s="17">
        <f t="shared" si="3"/>
        <v>126.86567164179104</v>
      </c>
      <c r="O41" s="19">
        <f t="shared" si="4"/>
        <v>0</v>
      </c>
      <c r="P41" s="20">
        <f t="shared" si="5"/>
        <v>-6.467661691542304</v>
      </c>
      <c r="Q41" s="463">
        <f t="shared" si="6"/>
        <v>0.95149253731343275</v>
      </c>
      <c r="R41" s="637"/>
      <c r="S41" s="40">
        <v>0.21597222222222223</v>
      </c>
      <c r="T41" s="40">
        <v>0.30902777777777779</v>
      </c>
      <c r="U41" s="464">
        <f t="shared" si="30"/>
        <v>4.9999999999999822</v>
      </c>
      <c r="V41" s="469">
        <f t="shared" si="29"/>
        <v>134</v>
      </c>
      <c r="W41" s="464"/>
      <c r="X41" s="464"/>
      <c r="Y41" s="464"/>
      <c r="Z41" s="464"/>
      <c r="AA41" s="632"/>
      <c r="AB41" s="632"/>
      <c r="AC41" s="25"/>
      <c r="AD41" s="25"/>
      <c r="AE41" s="19">
        <f t="shared" si="8"/>
        <v>-116.41791044776119</v>
      </c>
      <c r="AF41" s="463">
        <f t="shared" si="9"/>
        <v>0.95149253731343286</v>
      </c>
      <c r="AG41" s="637"/>
    </row>
    <row r="42" spans="1:33">
      <c r="A42" s="652" t="s">
        <v>2405</v>
      </c>
      <c r="B42" s="42" t="s">
        <v>116</v>
      </c>
      <c r="C42" s="633" t="s">
        <v>121</v>
      </c>
      <c r="D42" s="633"/>
      <c r="E42" s="42">
        <v>25.99</v>
      </c>
      <c r="F42" s="470">
        <v>3989</v>
      </c>
      <c r="G42" s="464">
        <f t="shared" si="27"/>
        <v>103674.11</v>
      </c>
      <c r="H42" s="37" t="s">
        <v>91</v>
      </c>
      <c r="I42" s="468">
        <v>14</v>
      </c>
      <c r="J42" s="39">
        <v>2400</v>
      </c>
      <c r="K42" s="17">
        <f t="shared" si="1"/>
        <v>171.42857142857142</v>
      </c>
      <c r="L42" s="468">
        <v>14</v>
      </c>
      <c r="M42" s="18">
        <f t="shared" si="28"/>
        <v>2301.3461538461534</v>
      </c>
      <c r="N42" s="17">
        <f t="shared" si="3"/>
        <v>164.38186813186809</v>
      </c>
      <c r="O42" s="19">
        <f t="shared" si="4"/>
        <v>0</v>
      </c>
      <c r="P42" s="20">
        <f t="shared" si="5"/>
        <v>-7.0467032967033276</v>
      </c>
      <c r="Q42" s="463">
        <f t="shared" si="6"/>
        <v>0.95889423076923064</v>
      </c>
      <c r="R42" s="637"/>
      <c r="S42" s="40">
        <v>0.31458333333333333</v>
      </c>
      <c r="T42" s="40">
        <v>0.38680555555555557</v>
      </c>
      <c r="U42" s="464">
        <f t="shared" si="30"/>
        <v>7.9999999999999716</v>
      </c>
      <c r="V42" s="469">
        <f t="shared" si="29"/>
        <v>104.00000000000003</v>
      </c>
      <c r="W42" s="23"/>
      <c r="X42" s="23"/>
      <c r="Y42" s="23"/>
      <c r="Z42" s="23"/>
      <c r="AA42" s="632"/>
      <c r="AB42" s="632"/>
      <c r="AC42" s="25"/>
      <c r="AD42" s="25"/>
      <c r="AE42" s="19">
        <f t="shared" si="8"/>
        <v>-98.653846153846644</v>
      </c>
      <c r="AF42" s="463">
        <f t="shared" si="9"/>
        <v>0.95889423076923053</v>
      </c>
      <c r="AG42" s="637"/>
    </row>
    <row r="43" spans="1:33">
      <c r="A43" s="652" t="s">
        <v>2405</v>
      </c>
      <c r="B43" s="42" t="s">
        <v>116</v>
      </c>
      <c r="C43" s="633" t="s">
        <v>126</v>
      </c>
      <c r="D43" s="633"/>
      <c r="E43" s="42">
        <v>34.1</v>
      </c>
      <c r="F43" s="470">
        <v>3600</v>
      </c>
      <c r="G43" s="464">
        <f t="shared" si="27"/>
        <v>122760</v>
      </c>
      <c r="H43" s="37">
        <v>2</v>
      </c>
      <c r="I43" s="468">
        <v>17</v>
      </c>
      <c r="J43" s="39">
        <v>1600</v>
      </c>
      <c r="K43" s="17">
        <f t="shared" si="1"/>
        <v>94.117647058823536</v>
      </c>
      <c r="L43" s="468">
        <v>17</v>
      </c>
      <c r="M43" s="18">
        <f t="shared" si="28"/>
        <v>1531.9148936170218</v>
      </c>
      <c r="N43" s="17">
        <f t="shared" si="3"/>
        <v>90.112640801001277</v>
      </c>
      <c r="O43" s="19">
        <f t="shared" si="4"/>
        <v>0</v>
      </c>
      <c r="P43" s="20">
        <f t="shared" si="5"/>
        <v>-4.0050062578222594</v>
      </c>
      <c r="Q43" s="463">
        <f t="shared" si="6"/>
        <v>0.95744680851063846</v>
      </c>
      <c r="R43" s="637"/>
      <c r="S43" s="40">
        <v>0.39166666666666666</v>
      </c>
      <c r="T43" s="40">
        <v>0.48958333333333331</v>
      </c>
      <c r="U43" s="464">
        <f t="shared" si="30"/>
        <v>6.9999999999999751</v>
      </c>
      <c r="V43" s="469">
        <f t="shared" si="29"/>
        <v>140.99999999999997</v>
      </c>
      <c r="W43" s="23">
        <f>T43</f>
        <v>0.48958333333333331</v>
      </c>
      <c r="X43" s="23">
        <f>S44</f>
        <v>0.52986111111111112</v>
      </c>
      <c r="Y43" s="23"/>
      <c r="Z43" s="23"/>
      <c r="AA43" s="632"/>
      <c r="AB43" s="632"/>
      <c r="AC43" s="25"/>
      <c r="AD43" s="25"/>
      <c r="AE43" s="19">
        <f t="shared" si="8"/>
        <v>-68.085106382978211</v>
      </c>
      <c r="AF43" s="463">
        <f t="shared" si="9"/>
        <v>0.95744680851063857</v>
      </c>
      <c r="AG43" s="637"/>
    </row>
    <row r="44" spans="1:33">
      <c r="A44" s="652" t="s">
        <v>2405</v>
      </c>
      <c r="B44" s="42" t="s">
        <v>116</v>
      </c>
      <c r="C44" s="633" t="s">
        <v>119</v>
      </c>
      <c r="D44" s="633"/>
      <c r="E44" s="42">
        <v>26.18</v>
      </c>
      <c r="F44" s="470">
        <v>3977</v>
      </c>
      <c r="G44" s="464">
        <f t="shared" si="27"/>
        <v>104117.86</v>
      </c>
      <c r="H44" s="37" t="s">
        <v>91</v>
      </c>
      <c r="I44" s="468">
        <v>18</v>
      </c>
      <c r="J44" s="39">
        <v>2400</v>
      </c>
      <c r="K44" s="17">
        <f t="shared" si="1"/>
        <v>133.33333333333334</v>
      </c>
      <c r="L44" s="468">
        <v>18</v>
      </c>
      <c r="M44" s="18">
        <f t="shared" si="28"/>
        <v>2294.423076923078</v>
      </c>
      <c r="N44" s="17">
        <f t="shared" si="3"/>
        <v>127.46794871794879</v>
      </c>
      <c r="O44" s="19">
        <f t="shared" si="4"/>
        <v>0</v>
      </c>
      <c r="P44" s="20">
        <f t="shared" si="5"/>
        <v>-5.8653846153845564</v>
      </c>
      <c r="Q44" s="463">
        <f t="shared" si="6"/>
        <v>0.95600961538461582</v>
      </c>
      <c r="R44" s="637"/>
      <c r="S44" s="40">
        <v>0.52986111111111112</v>
      </c>
      <c r="T44" s="40">
        <v>0.6020833333333333</v>
      </c>
      <c r="U44" s="464">
        <f t="shared" si="30"/>
        <v>58.000000000000036</v>
      </c>
      <c r="V44" s="469">
        <f t="shared" si="29"/>
        <v>103.99999999999994</v>
      </c>
      <c r="W44" s="23"/>
      <c r="X44" s="23"/>
      <c r="Y44" s="23"/>
      <c r="Z44" s="23"/>
      <c r="AA44" s="632"/>
      <c r="AB44" s="632"/>
      <c r="AC44" s="25"/>
      <c r="AD44" s="25"/>
      <c r="AE44" s="19">
        <f t="shared" si="8"/>
        <v>-105.57692307692196</v>
      </c>
      <c r="AF44" s="463">
        <f t="shared" si="9"/>
        <v>0.95600961538461582</v>
      </c>
      <c r="AG44" s="637"/>
    </row>
    <row r="45" spans="1:33">
      <c r="A45" s="652" t="s">
        <v>2405</v>
      </c>
      <c r="B45" s="42" t="s">
        <v>116</v>
      </c>
      <c r="C45" s="633" t="s">
        <v>126</v>
      </c>
      <c r="D45" s="633"/>
      <c r="E45" s="42">
        <v>34.1</v>
      </c>
      <c r="F45" s="470">
        <v>2966</v>
      </c>
      <c r="G45" s="464">
        <f t="shared" si="27"/>
        <v>101140.6</v>
      </c>
      <c r="H45" s="37" t="s">
        <v>91</v>
      </c>
      <c r="I45" s="468">
        <v>17</v>
      </c>
      <c r="J45" s="39">
        <v>1600</v>
      </c>
      <c r="K45" s="17">
        <f t="shared" si="1"/>
        <v>94.117647058823536</v>
      </c>
      <c r="L45" s="468">
        <v>17</v>
      </c>
      <c r="M45" s="18">
        <f t="shared" si="28"/>
        <v>1534.1379310344819</v>
      </c>
      <c r="N45" s="17">
        <f t="shared" si="3"/>
        <v>90.243407707910706</v>
      </c>
      <c r="O45" s="19">
        <f t="shared" si="4"/>
        <v>0</v>
      </c>
      <c r="P45" s="20">
        <f t="shared" si="5"/>
        <v>-3.8742393509128306</v>
      </c>
      <c r="Q45" s="463">
        <f t="shared" si="6"/>
        <v>0.95883620689655114</v>
      </c>
      <c r="R45" s="637"/>
      <c r="S45" s="40">
        <v>0.60624999999999996</v>
      </c>
      <c r="T45" s="40">
        <v>0.68680555555555556</v>
      </c>
      <c r="U45" s="464">
        <f t="shared" si="30"/>
        <v>5.9999999999999787</v>
      </c>
      <c r="V45" s="469">
        <f t="shared" si="29"/>
        <v>116.00000000000007</v>
      </c>
      <c r="W45" s="23"/>
      <c r="X45" s="23"/>
      <c r="Y45" s="26"/>
      <c r="Z45" s="26"/>
      <c r="AA45" s="627"/>
      <c r="AB45" s="628"/>
      <c r="AC45" s="25"/>
      <c r="AD45" s="25"/>
      <c r="AE45" s="19">
        <f t="shared" si="8"/>
        <v>-65.86206896551812</v>
      </c>
      <c r="AF45" s="463">
        <f t="shared" si="9"/>
        <v>0.95883620689655114</v>
      </c>
      <c r="AG45" s="637"/>
    </row>
    <row r="46" spans="1:33">
      <c r="A46" s="652" t="s">
        <v>2405</v>
      </c>
      <c r="B46" s="44" t="s">
        <v>2399</v>
      </c>
      <c r="C46" s="638"/>
      <c r="D46" s="638"/>
      <c r="E46" s="465"/>
      <c r="F46" s="44"/>
      <c r="G46" s="17"/>
      <c r="H46" s="470"/>
      <c r="I46" s="29">
        <v>17.285714285714285</v>
      </c>
      <c r="J46" s="39">
        <v>2171.4285714285716</v>
      </c>
      <c r="K46" s="17">
        <f t="shared" si="1"/>
        <v>125.61983471074382</v>
      </c>
      <c r="L46" s="29">
        <v>17.285714285714285</v>
      </c>
      <c r="M46" s="18">
        <f>AVERAGE(M39:M45)</f>
        <v>2074.9468893200765</v>
      </c>
      <c r="N46" s="17">
        <f t="shared" si="3"/>
        <v>120.03824979537633</v>
      </c>
      <c r="O46" s="19">
        <f t="shared" si="4"/>
        <v>0</v>
      </c>
      <c r="P46" s="20">
        <f t="shared" si="5"/>
        <v>-5.5815849153674861</v>
      </c>
      <c r="Q46" s="463">
        <f t="shared" si="6"/>
        <v>0.95556764639740355</v>
      </c>
      <c r="R46" s="637"/>
      <c r="S46" s="40"/>
      <c r="T46" s="40"/>
      <c r="U46" s="17"/>
      <c r="V46" s="469"/>
      <c r="W46" s="17"/>
      <c r="X46" s="17"/>
      <c r="Y46" s="30">
        <f>SUM(Y39:Y45)</f>
        <v>0</v>
      </c>
      <c r="Z46" s="30">
        <f>SUM(Z39:Z45)</f>
        <v>0</v>
      </c>
      <c r="AA46" s="631"/>
      <c r="AB46" s="631"/>
      <c r="AC46" s="30">
        <v>7</v>
      </c>
      <c r="AD46" s="30">
        <f>SUM(AD39:AD45)</f>
        <v>0</v>
      </c>
      <c r="AE46" s="19">
        <f t="shared" si="8"/>
        <v>-96.481682108495079</v>
      </c>
      <c r="AF46" s="463">
        <f t="shared" si="9"/>
        <v>0.95556764639740355</v>
      </c>
      <c r="AG46" s="637"/>
    </row>
    <row r="47" spans="1:33" ht="15.75" customHeight="1">
      <c r="A47" s="648" t="s">
        <v>70</v>
      </c>
      <c r="B47" s="42" t="s">
        <v>127</v>
      </c>
      <c r="C47" s="625" t="s">
        <v>128</v>
      </c>
      <c r="D47" s="626"/>
      <c r="E47" s="42">
        <v>21.13</v>
      </c>
      <c r="F47" s="470">
        <v>6099</v>
      </c>
      <c r="G47" s="464">
        <f t="shared" ref="G47:G50" si="31">E47*F47</f>
        <v>128871.87</v>
      </c>
      <c r="H47" s="37" t="s">
        <v>91</v>
      </c>
      <c r="I47" s="468">
        <v>10</v>
      </c>
      <c r="J47" s="39">
        <v>3000</v>
      </c>
      <c r="K47" s="17">
        <f t="shared" si="1"/>
        <v>300</v>
      </c>
      <c r="L47" s="468">
        <v>10</v>
      </c>
      <c r="M47" s="18">
        <f t="shared" ref="M47:M50" si="32">F47/V47*60</f>
        <v>2858.9062500000005</v>
      </c>
      <c r="N47" s="18">
        <f t="shared" si="3"/>
        <v>285.89062500000006</v>
      </c>
      <c r="O47" s="19">
        <f t="shared" si="4"/>
        <v>0</v>
      </c>
      <c r="P47" s="20">
        <f t="shared" si="5"/>
        <v>-14.109374999999943</v>
      </c>
      <c r="Q47" s="463">
        <f t="shared" si="6"/>
        <v>0.95296875000000014</v>
      </c>
      <c r="R47" s="643">
        <f>Q51</f>
        <v>0.96299773218362605</v>
      </c>
      <c r="S47" s="40">
        <v>0.20833333333333334</v>
      </c>
      <c r="T47" s="40">
        <v>0.29722222222222222</v>
      </c>
      <c r="U47" s="28"/>
      <c r="V47" s="469">
        <f t="shared" ref="V47:V50" si="33">(T47-S47)*24*60</f>
        <v>127.99999999999997</v>
      </c>
      <c r="W47" s="23"/>
      <c r="X47" s="23"/>
      <c r="Y47" s="26"/>
      <c r="Z47" s="26"/>
      <c r="AA47" s="627"/>
      <c r="AB47" s="628"/>
      <c r="AC47" s="25">
        <v>4</v>
      </c>
      <c r="AD47" s="25"/>
      <c r="AE47" s="19">
        <f t="shared" si="8"/>
        <v>-141.09374999999955</v>
      </c>
      <c r="AF47" s="463">
        <f t="shared" si="9"/>
        <v>0.95296875000000014</v>
      </c>
      <c r="AG47" s="643">
        <f>AF51</f>
        <v>0.96299773218362605</v>
      </c>
    </row>
    <row r="48" spans="1:33" ht="15.75" customHeight="1">
      <c r="A48" s="649" t="s">
        <v>2406</v>
      </c>
      <c r="B48" s="42" t="s">
        <v>127</v>
      </c>
      <c r="C48" s="625" t="s">
        <v>129</v>
      </c>
      <c r="D48" s="626"/>
      <c r="E48" s="42">
        <v>27.17</v>
      </c>
      <c r="F48" s="470">
        <v>5023</v>
      </c>
      <c r="G48" s="464">
        <f t="shared" si="31"/>
        <v>136474.91</v>
      </c>
      <c r="H48" s="37" t="s">
        <v>91</v>
      </c>
      <c r="I48" s="468">
        <v>10</v>
      </c>
      <c r="J48" s="39">
        <v>3000</v>
      </c>
      <c r="K48" s="17">
        <f t="shared" si="1"/>
        <v>300</v>
      </c>
      <c r="L48" s="468">
        <v>10</v>
      </c>
      <c r="M48" s="18">
        <f t="shared" si="32"/>
        <v>2870.2857142857138</v>
      </c>
      <c r="N48" s="18">
        <f t="shared" si="3"/>
        <v>287.02857142857135</v>
      </c>
      <c r="O48" s="19">
        <f t="shared" si="4"/>
        <v>0</v>
      </c>
      <c r="P48" s="20">
        <f t="shared" si="5"/>
        <v>-12.971428571428646</v>
      </c>
      <c r="Q48" s="463">
        <f t="shared" si="6"/>
        <v>0.95676190476190448</v>
      </c>
      <c r="R48" s="644"/>
      <c r="S48" s="40">
        <v>0.30069444444444443</v>
      </c>
      <c r="T48" s="40">
        <v>0.37361111111111112</v>
      </c>
      <c r="U48" s="464">
        <f t="shared" ref="U48:U50" si="34">(S48-T47)*24*60</f>
        <v>4.9999999999999822</v>
      </c>
      <c r="V48" s="469">
        <f t="shared" si="33"/>
        <v>105.00000000000003</v>
      </c>
      <c r="W48" s="23"/>
      <c r="X48" s="23"/>
      <c r="Y48" s="26"/>
      <c r="Z48" s="26"/>
      <c r="AA48" s="627"/>
      <c r="AB48" s="628"/>
      <c r="AC48" s="25"/>
      <c r="AD48" s="25"/>
      <c r="AE48" s="19">
        <f t="shared" si="8"/>
        <v>-129.71428571428623</v>
      </c>
      <c r="AF48" s="463">
        <f t="shared" si="9"/>
        <v>0.95676190476190459</v>
      </c>
      <c r="AG48" s="644"/>
    </row>
    <row r="49" spans="1:33" ht="15.75" customHeight="1">
      <c r="A49" s="649" t="s">
        <v>70</v>
      </c>
      <c r="B49" s="42" t="s">
        <v>127</v>
      </c>
      <c r="C49" s="625" t="s">
        <v>144</v>
      </c>
      <c r="D49" s="626"/>
      <c r="E49" s="42">
        <v>35.869999999999997</v>
      </c>
      <c r="F49" s="470">
        <v>3494</v>
      </c>
      <c r="G49" s="464">
        <f t="shared" si="31"/>
        <v>125329.77999999998</v>
      </c>
      <c r="H49" s="37" t="s">
        <v>91</v>
      </c>
      <c r="I49" s="468">
        <v>10</v>
      </c>
      <c r="J49" s="39">
        <v>3000</v>
      </c>
      <c r="K49" s="17">
        <f t="shared" si="1"/>
        <v>300</v>
      </c>
      <c r="L49" s="468">
        <v>10</v>
      </c>
      <c r="M49" s="18">
        <f t="shared" si="32"/>
        <v>2871.7808219178087</v>
      </c>
      <c r="N49" s="18">
        <f t="shared" si="3"/>
        <v>287.17808219178085</v>
      </c>
      <c r="O49" s="19">
        <f t="shared" si="4"/>
        <v>0</v>
      </c>
      <c r="P49" s="20">
        <f t="shared" si="5"/>
        <v>-12.821917808219155</v>
      </c>
      <c r="Q49" s="463">
        <f t="shared" si="6"/>
        <v>0.95726027397260283</v>
      </c>
      <c r="R49" s="644"/>
      <c r="S49" s="40">
        <v>0.37708333333333333</v>
      </c>
      <c r="T49" s="40">
        <v>0.42777777777777776</v>
      </c>
      <c r="U49" s="464">
        <f t="shared" si="34"/>
        <v>4.9999999999999822</v>
      </c>
      <c r="V49" s="469">
        <f t="shared" si="33"/>
        <v>72.999999999999986</v>
      </c>
      <c r="W49" s="23"/>
      <c r="X49" s="23"/>
      <c r="Y49" s="26"/>
      <c r="Z49" s="26"/>
      <c r="AA49" s="627"/>
      <c r="AB49" s="628"/>
      <c r="AC49" s="25"/>
      <c r="AD49" s="25"/>
      <c r="AE49" s="19">
        <f t="shared" si="8"/>
        <v>-128.21917808219132</v>
      </c>
      <c r="AF49" s="463">
        <f t="shared" si="9"/>
        <v>0.95726027397260294</v>
      </c>
      <c r="AG49" s="644"/>
    </row>
    <row r="50" spans="1:33" ht="15.75" customHeight="1">
      <c r="A50" s="649" t="s">
        <v>70</v>
      </c>
      <c r="B50" s="42" t="s">
        <v>127</v>
      </c>
      <c r="C50" s="625" t="s">
        <v>131</v>
      </c>
      <c r="D50" s="626"/>
      <c r="E50" s="42">
        <v>34.35</v>
      </c>
      <c r="F50" s="470">
        <v>591</v>
      </c>
      <c r="G50" s="464">
        <f t="shared" si="31"/>
        <v>20300.850000000002</v>
      </c>
      <c r="H50" s="37" t="s">
        <v>91</v>
      </c>
      <c r="I50" s="468">
        <v>8</v>
      </c>
      <c r="J50" s="39">
        <v>3000</v>
      </c>
      <c r="K50" s="17">
        <f t="shared" si="1"/>
        <v>375</v>
      </c>
      <c r="L50" s="468">
        <v>8</v>
      </c>
      <c r="M50" s="18">
        <f t="shared" si="32"/>
        <v>2954.9999999999905</v>
      </c>
      <c r="N50" s="18">
        <f t="shared" si="3"/>
        <v>369.37499999999881</v>
      </c>
      <c r="O50" s="19">
        <f t="shared" si="4"/>
        <v>0</v>
      </c>
      <c r="P50" s="20">
        <f t="shared" si="5"/>
        <v>-5.6250000000011937</v>
      </c>
      <c r="Q50" s="463">
        <f t="shared" si="6"/>
        <v>0.98499999999999677</v>
      </c>
      <c r="R50" s="644"/>
      <c r="S50" s="40">
        <v>0.43333333333333329</v>
      </c>
      <c r="T50" s="40">
        <v>0.44166666666666665</v>
      </c>
      <c r="U50" s="464">
        <f t="shared" si="34"/>
        <v>7.9999999999999716</v>
      </c>
      <c r="V50" s="469">
        <f t="shared" si="33"/>
        <v>12.000000000000037</v>
      </c>
      <c r="W50" s="23"/>
      <c r="X50" s="23"/>
      <c r="Y50" s="26"/>
      <c r="Z50" s="26"/>
      <c r="AA50" s="627"/>
      <c r="AB50" s="628"/>
      <c r="AC50" s="25"/>
      <c r="AD50" s="25"/>
      <c r="AE50" s="19">
        <f t="shared" si="8"/>
        <v>-45.00000000000955</v>
      </c>
      <c r="AF50" s="463">
        <f t="shared" si="9"/>
        <v>0.98499999999999677</v>
      </c>
      <c r="AG50" s="644"/>
    </row>
    <row r="51" spans="1:33" ht="15.75" customHeight="1">
      <c r="A51" s="650" t="s">
        <v>2406</v>
      </c>
      <c r="B51" s="42" t="s">
        <v>2399</v>
      </c>
      <c r="C51" s="629"/>
      <c r="D51" s="630"/>
      <c r="E51" s="461"/>
      <c r="F51" s="470"/>
      <c r="G51" s="464"/>
      <c r="H51" s="470"/>
      <c r="I51" s="29">
        <v>9.5</v>
      </c>
      <c r="J51" s="39">
        <v>3000</v>
      </c>
      <c r="K51" s="17">
        <f t="shared" si="1"/>
        <v>315.78947368421052</v>
      </c>
      <c r="L51" s="29">
        <v>9.5</v>
      </c>
      <c r="M51" s="18">
        <f>AVERAGE(M47:M50)</f>
        <v>2888.9931965508781</v>
      </c>
      <c r="N51" s="17">
        <f t="shared" si="3"/>
        <v>304.10454700535558</v>
      </c>
      <c r="O51" s="19">
        <f t="shared" si="4"/>
        <v>0</v>
      </c>
      <c r="P51" s="20">
        <f t="shared" si="5"/>
        <v>-11.684926678854936</v>
      </c>
      <c r="Q51" s="463">
        <f t="shared" si="6"/>
        <v>0.96299773218362605</v>
      </c>
      <c r="R51" s="645"/>
      <c r="S51" s="40"/>
      <c r="T51" s="40"/>
      <c r="U51" s="464"/>
      <c r="V51" s="469"/>
      <c r="W51" s="23"/>
      <c r="X51" s="23"/>
      <c r="Y51" s="30">
        <f>SUM(Y47:Y50)</f>
        <v>0</v>
      </c>
      <c r="Z51" s="30">
        <f>SUM(Z47:Z50)</f>
        <v>0</v>
      </c>
      <c r="AA51" s="646"/>
      <c r="AB51" s="647"/>
      <c r="AC51" s="30">
        <v>4</v>
      </c>
      <c r="AD51" s="30">
        <f>SUM(AD47:AD50)</f>
        <v>0</v>
      </c>
      <c r="AE51" s="19">
        <f t="shared" si="8"/>
        <v>-111.00680344912189</v>
      </c>
      <c r="AF51" s="463">
        <f t="shared" si="9"/>
        <v>0.96299773218362605</v>
      </c>
      <c r="AG51" s="645"/>
    </row>
    <row r="52" spans="1:33" ht="15.75" customHeight="1">
      <c r="A52" s="641" t="s">
        <v>2407</v>
      </c>
      <c r="B52" s="42" t="s">
        <v>92</v>
      </c>
      <c r="C52" s="633" t="s">
        <v>135</v>
      </c>
      <c r="D52" s="633"/>
      <c r="E52" s="42">
        <v>51.44</v>
      </c>
      <c r="F52" s="48">
        <v>1617</v>
      </c>
      <c r="G52" s="464">
        <f t="shared" ref="G52:G57" si="35">E52*F52</f>
        <v>83178.48</v>
      </c>
      <c r="H52" s="37" t="s">
        <v>91</v>
      </c>
      <c r="I52" s="468">
        <v>25</v>
      </c>
      <c r="J52" s="39">
        <v>2000</v>
      </c>
      <c r="K52" s="17">
        <f t="shared" si="1"/>
        <v>80</v>
      </c>
      <c r="L52" s="468">
        <v>25</v>
      </c>
      <c r="M52" s="18">
        <f t="shared" ref="M52" si="36">F52/V52*60</f>
        <v>1902.3529411764698</v>
      </c>
      <c r="N52" s="18">
        <f t="shared" si="3"/>
        <v>76.094117647058795</v>
      </c>
      <c r="O52" s="19">
        <f t="shared" si="4"/>
        <v>0</v>
      </c>
      <c r="P52" s="20">
        <f t="shared" si="5"/>
        <v>-3.9058823529412052</v>
      </c>
      <c r="Q52" s="463">
        <f t="shared" si="6"/>
        <v>0.95117647058823496</v>
      </c>
      <c r="R52" s="637">
        <f>Q58</f>
        <v>0.9577726767161957</v>
      </c>
      <c r="S52" s="40">
        <v>0.20833333333333334</v>
      </c>
      <c r="T52" s="40">
        <v>0.24375000000000002</v>
      </c>
      <c r="U52" s="28"/>
      <c r="V52" s="469">
        <f t="shared" ref="V52:V57" si="37">(T52-S52)*24*60</f>
        <v>51.000000000000021</v>
      </c>
      <c r="W52" s="23"/>
      <c r="X52" s="23"/>
      <c r="Y52" s="28"/>
      <c r="Z52" s="28"/>
      <c r="AA52" s="632"/>
      <c r="AB52" s="632"/>
      <c r="AC52" s="25">
        <v>6</v>
      </c>
      <c r="AD52" s="25"/>
      <c r="AE52" s="19">
        <f t="shared" si="8"/>
        <v>-97.647058823530188</v>
      </c>
      <c r="AF52" s="463">
        <f t="shared" si="9"/>
        <v>0.95117647058823496</v>
      </c>
      <c r="AG52" s="637">
        <f>AF58</f>
        <v>0.9577726767161957</v>
      </c>
    </row>
    <row r="53" spans="1:33" ht="15.75" customHeight="1">
      <c r="A53" s="641" t="s">
        <v>76</v>
      </c>
      <c r="B53" s="42" t="s">
        <v>92</v>
      </c>
      <c r="C53" s="633" t="s">
        <v>2408</v>
      </c>
      <c r="D53" s="633"/>
      <c r="E53" s="42">
        <v>56.43</v>
      </c>
      <c r="F53" s="48">
        <v>9202</v>
      </c>
      <c r="G53" s="464">
        <f t="shared" si="35"/>
        <v>519268.86</v>
      </c>
      <c r="H53" s="37" t="s">
        <v>91</v>
      </c>
      <c r="I53" s="468">
        <v>23</v>
      </c>
      <c r="J53" s="39">
        <v>2000</v>
      </c>
      <c r="K53" s="17">
        <f t="shared" si="1"/>
        <v>86.956521739130437</v>
      </c>
      <c r="L53" s="468">
        <v>23</v>
      </c>
      <c r="M53" s="18">
        <f>F53/V53*60</f>
        <v>1910.4498269896199</v>
      </c>
      <c r="N53" s="18">
        <f t="shared" si="3"/>
        <v>83.063035956070422</v>
      </c>
      <c r="O53" s="19">
        <f t="shared" si="4"/>
        <v>0</v>
      </c>
      <c r="P53" s="20">
        <f t="shared" si="5"/>
        <v>-3.8934857830600151</v>
      </c>
      <c r="Q53" s="463">
        <f t="shared" si="6"/>
        <v>0.95522491349480987</v>
      </c>
      <c r="R53" s="637"/>
      <c r="S53" s="40">
        <v>0.24722222222222223</v>
      </c>
      <c r="T53" s="40">
        <v>0.44791666666666663</v>
      </c>
      <c r="U53" s="464">
        <f t="shared" ref="U53:U57" si="38">IF(S53=TIME(17,0,0),"",(S53-T52)*24*60)</f>
        <v>4.9999999999999822</v>
      </c>
      <c r="V53" s="469">
        <f t="shared" si="37"/>
        <v>288.99999999999994</v>
      </c>
      <c r="W53" s="23"/>
      <c r="X53" s="23"/>
      <c r="Y53" s="23"/>
      <c r="Z53" s="23"/>
      <c r="AA53" s="632"/>
      <c r="AB53" s="632"/>
      <c r="AC53" s="25"/>
      <c r="AD53" s="25"/>
      <c r="AE53" s="19">
        <f t="shared" si="8"/>
        <v>-89.550173010380149</v>
      </c>
      <c r="AF53" s="463">
        <f t="shared" si="9"/>
        <v>0.95522491349480998</v>
      </c>
      <c r="AG53" s="637"/>
    </row>
    <row r="54" spans="1:33" ht="15.75" customHeight="1">
      <c r="A54" s="641" t="s">
        <v>76</v>
      </c>
      <c r="B54" s="42" t="s">
        <v>96</v>
      </c>
      <c r="C54" s="625" t="s">
        <v>136</v>
      </c>
      <c r="D54" s="626"/>
      <c r="E54" s="42">
        <v>46</v>
      </c>
      <c r="F54" s="48">
        <v>1354</v>
      </c>
      <c r="G54" s="464">
        <f t="shared" si="35"/>
        <v>62284</v>
      </c>
      <c r="H54" s="37" t="s">
        <v>91</v>
      </c>
      <c r="I54" s="468">
        <v>16</v>
      </c>
      <c r="J54" s="39">
        <v>2000</v>
      </c>
      <c r="K54" s="17">
        <f t="shared" si="1"/>
        <v>125</v>
      </c>
      <c r="L54" s="468">
        <v>16</v>
      </c>
      <c r="M54" s="18">
        <f t="shared" ref="M54:M57" si="39">F54/V54*60</f>
        <v>1934.2857142857135</v>
      </c>
      <c r="N54" s="18">
        <f t="shared" si="3"/>
        <v>120.8928571428571</v>
      </c>
      <c r="O54" s="19">
        <f t="shared" si="4"/>
        <v>0</v>
      </c>
      <c r="P54" s="20">
        <f t="shared" si="5"/>
        <v>-4.1071428571429038</v>
      </c>
      <c r="Q54" s="463">
        <f t="shared" si="6"/>
        <v>0.96714285714285675</v>
      </c>
      <c r="R54" s="637"/>
      <c r="S54" s="40">
        <v>0.45138888888888884</v>
      </c>
      <c r="T54" s="40">
        <v>0.48055555555555551</v>
      </c>
      <c r="U54" s="464">
        <f t="shared" si="38"/>
        <v>4.9999999999999822</v>
      </c>
      <c r="V54" s="469">
        <f t="shared" si="37"/>
        <v>42.000000000000014</v>
      </c>
      <c r="W54" s="23"/>
      <c r="X54" s="23"/>
      <c r="Y54" s="26"/>
      <c r="Z54" s="26"/>
      <c r="AA54" s="632"/>
      <c r="AB54" s="632"/>
      <c r="AC54" s="25"/>
      <c r="AD54" s="25"/>
      <c r="AE54" s="19">
        <f t="shared" si="8"/>
        <v>-65.714285714286461</v>
      </c>
      <c r="AF54" s="463">
        <f t="shared" si="9"/>
        <v>0.96714285714285675</v>
      </c>
      <c r="AG54" s="637"/>
    </row>
    <row r="55" spans="1:33" ht="15.75" customHeight="1">
      <c r="A55" s="641" t="s">
        <v>76</v>
      </c>
      <c r="B55" s="42" t="s">
        <v>96</v>
      </c>
      <c r="C55" s="457" t="s">
        <v>137</v>
      </c>
      <c r="D55" s="458"/>
      <c r="E55" s="42">
        <v>46</v>
      </c>
      <c r="F55" s="48">
        <v>1432</v>
      </c>
      <c r="G55" s="464">
        <f t="shared" si="35"/>
        <v>65872</v>
      </c>
      <c r="H55" s="37" t="s">
        <v>91</v>
      </c>
      <c r="I55" s="468">
        <v>17</v>
      </c>
      <c r="J55" s="39">
        <v>2000</v>
      </c>
      <c r="K55" s="17">
        <f t="shared" si="1"/>
        <v>117.64705882352941</v>
      </c>
      <c r="L55" s="468">
        <v>17</v>
      </c>
      <c r="M55" s="18">
        <f t="shared" si="39"/>
        <v>1909.3333333333335</v>
      </c>
      <c r="N55" s="18">
        <f t="shared" si="3"/>
        <v>112.31372549019609</v>
      </c>
      <c r="O55" s="19">
        <f t="shared" si="4"/>
        <v>0</v>
      </c>
      <c r="P55" s="20">
        <f t="shared" si="5"/>
        <v>-5.3333333333333144</v>
      </c>
      <c r="Q55" s="463">
        <f t="shared" si="6"/>
        <v>0.95466666666666677</v>
      </c>
      <c r="R55" s="637"/>
      <c r="S55" s="40">
        <v>0.48541666666666661</v>
      </c>
      <c r="T55" s="40">
        <v>0.51666666666666661</v>
      </c>
      <c r="U55" s="464">
        <f t="shared" si="38"/>
        <v>6.9999999999999751</v>
      </c>
      <c r="V55" s="469">
        <f t="shared" si="37"/>
        <v>45</v>
      </c>
      <c r="W55" s="23"/>
      <c r="X55" s="23"/>
      <c r="Y55" s="26"/>
      <c r="Z55" s="26"/>
      <c r="AA55" s="632"/>
      <c r="AB55" s="632"/>
      <c r="AC55" s="25"/>
      <c r="AD55" s="25"/>
      <c r="AE55" s="19">
        <f t="shared" si="8"/>
        <v>-90.666666666666515</v>
      </c>
      <c r="AF55" s="463">
        <f t="shared" si="9"/>
        <v>0.95466666666666677</v>
      </c>
      <c r="AG55" s="637"/>
    </row>
    <row r="56" spans="1:33" ht="15.75" customHeight="1">
      <c r="A56" s="641" t="s">
        <v>76</v>
      </c>
      <c r="B56" s="42" t="s">
        <v>92</v>
      </c>
      <c r="C56" s="457" t="s">
        <v>138</v>
      </c>
      <c r="D56" s="458"/>
      <c r="E56" s="42">
        <v>55.56</v>
      </c>
      <c r="F56" s="48">
        <v>2755</v>
      </c>
      <c r="G56" s="464">
        <f t="shared" si="35"/>
        <v>153067.80000000002</v>
      </c>
      <c r="H56" s="37" t="s">
        <v>91</v>
      </c>
      <c r="I56" s="468">
        <v>17</v>
      </c>
      <c r="J56" s="39">
        <v>2000</v>
      </c>
      <c r="K56" s="17">
        <f t="shared" si="1"/>
        <v>117.64705882352941</v>
      </c>
      <c r="L56" s="468">
        <v>17</v>
      </c>
      <c r="M56" s="18">
        <f t="shared" si="39"/>
        <v>1922.0930232558135</v>
      </c>
      <c r="N56" s="18">
        <f t="shared" si="3"/>
        <v>113.06429548563608</v>
      </c>
      <c r="O56" s="19">
        <f t="shared" si="4"/>
        <v>0</v>
      </c>
      <c r="P56" s="20">
        <f t="shared" si="5"/>
        <v>-4.5827633378933257</v>
      </c>
      <c r="Q56" s="463">
        <f t="shared" si="6"/>
        <v>0.96104651162790677</v>
      </c>
      <c r="R56" s="637"/>
      <c r="S56" s="40">
        <v>0.70833333333333337</v>
      </c>
      <c r="T56" s="40">
        <v>0.7680555555555556</v>
      </c>
      <c r="U56" s="464" t="str">
        <f t="shared" si="38"/>
        <v/>
      </c>
      <c r="V56" s="469">
        <f t="shared" si="37"/>
        <v>86.000000000000014</v>
      </c>
      <c r="W56" s="23"/>
      <c r="X56" s="23"/>
      <c r="Y56" s="26"/>
      <c r="Z56" s="26"/>
      <c r="AA56" s="632"/>
      <c r="AB56" s="632"/>
      <c r="AC56" s="25"/>
      <c r="AD56" s="25"/>
      <c r="AE56" s="19">
        <f t="shared" si="8"/>
        <v>-77.906976744186522</v>
      </c>
      <c r="AF56" s="463">
        <f t="shared" si="9"/>
        <v>0.96104651162790677</v>
      </c>
      <c r="AG56" s="637"/>
    </row>
    <row r="57" spans="1:33" ht="15.75" customHeight="1">
      <c r="A57" s="641" t="s">
        <v>76</v>
      </c>
      <c r="B57" s="42" t="s">
        <v>92</v>
      </c>
      <c r="C57" s="625" t="s">
        <v>140</v>
      </c>
      <c r="D57" s="626"/>
      <c r="E57" s="42">
        <v>51.06</v>
      </c>
      <c r="F57" s="48">
        <v>3287</v>
      </c>
      <c r="G57" s="464">
        <f t="shared" si="35"/>
        <v>167834.22</v>
      </c>
      <c r="H57" s="37" t="s">
        <v>91</v>
      </c>
      <c r="I57" s="468">
        <v>13</v>
      </c>
      <c r="J57" s="39">
        <v>2000</v>
      </c>
      <c r="K57" s="17">
        <f t="shared" si="1"/>
        <v>153.84615384615384</v>
      </c>
      <c r="L57" s="468">
        <v>13</v>
      </c>
      <c r="M57" s="18">
        <f t="shared" si="39"/>
        <v>1914.757281553399</v>
      </c>
      <c r="N57" s="18">
        <f t="shared" si="3"/>
        <v>147.28902165795378</v>
      </c>
      <c r="O57" s="19">
        <f t="shared" si="4"/>
        <v>0</v>
      </c>
      <c r="P57" s="20">
        <f t="shared" si="5"/>
        <v>-6.5571321882000575</v>
      </c>
      <c r="Q57" s="463">
        <f t="shared" si="6"/>
        <v>0.95737864077669965</v>
      </c>
      <c r="R57" s="637"/>
      <c r="S57" s="40">
        <v>0.77152777777777781</v>
      </c>
      <c r="T57" s="40">
        <v>0.84305555555555556</v>
      </c>
      <c r="U57" s="464">
        <f t="shared" si="38"/>
        <v>4.9999999999999822</v>
      </c>
      <c r="V57" s="469">
        <f t="shared" si="37"/>
        <v>102.99999999999996</v>
      </c>
      <c r="W57" s="23"/>
      <c r="X57" s="23"/>
      <c r="Y57" s="26"/>
      <c r="Z57" s="26"/>
      <c r="AA57" s="627"/>
      <c r="AB57" s="628"/>
      <c r="AC57" s="25"/>
      <c r="AD57" s="25"/>
      <c r="AE57" s="19">
        <f t="shared" si="8"/>
        <v>-85.242718446600975</v>
      </c>
      <c r="AF57" s="463">
        <f t="shared" si="9"/>
        <v>0.95737864077669954</v>
      </c>
      <c r="AG57" s="637"/>
    </row>
    <row r="58" spans="1:33">
      <c r="A58" s="642" t="s">
        <v>76</v>
      </c>
      <c r="B58" s="42" t="s">
        <v>57</v>
      </c>
      <c r="C58" s="638"/>
      <c r="D58" s="638"/>
      <c r="E58" s="465"/>
      <c r="F58" s="44"/>
      <c r="G58" s="17"/>
      <c r="H58" s="470"/>
      <c r="I58" s="29">
        <v>18.5</v>
      </c>
      <c r="J58" s="39">
        <v>2000</v>
      </c>
      <c r="K58" s="17">
        <f t="shared" si="1"/>
        <v>108.10810810810811</v>
      </c>
      <c r="L58" s="29">
        <v>18.5</v>
      </c>
      <c r="M58" s="18">
        <f>AVERAGE(M52:M57)</f>
        <v>1915.5453534323915</v>
      </c>
      <c r="N58" s="17">
        <f t="shared" si="3"/>
        <v>103.54299207742656</v>
      </c>
      <c r="O58" s="19">
        <f t="shared" si="4"/>
        <v>0</v>
      </c>
      <c r="P58" s="20">
        <f t="shared" si="5"/>
        <v>-4.5651160306815513</v>
      </c>
      <c r="Q58" s="463">
        <f t="shared" si="6"/>
        <v>0.9577726767161957</v>
      </c>
      <c r="R58" s="637"/>
      <c r="S58" s="40"/>
      <c r="T58" s="40"/>
      <c r="U58" s="464"/>
      <c r="V58" s="469"/>
      <c r="W58" s="17"/>
      <c r="X58" s="17"/>
      <c r="Y58" s="30">
        <f>SUM(Y52:Y57)</f>
        <v>0</v>
      </c>
      <c r="Z58" s="30">
        <f>SUM(Z52:Z57)</f>
        <v>0</v>
      </c>
      <c r="AA58" s="631"/>
      <c r="AB58" s="631"/>
      <c r="AC58" s="30">
        <v>6</v>
      </c>
      <c r="AD58" s="30">
        <f>SUM(AD52:AD57)</f>
        <v>0</v>
      </c>
      <c r="AE58" s="19">
        <f>M58-J58</f>
        <v>-84.454646567608506</v>
      </c>
      <c r="AF58" s="463">
        <f t="shared" si="9"/>
        <v>0.9577726767161957</v>
      </c>
      <c r="AG58" s="637"/>
    </row>
    <row r="59" spans="1:33" ht="15.75" customHeight="1">
      <c r="A59" s="639" t="s">
        <v>84</v>
      </c>
      <c r="B59" s="470" t="s">
        <v>127</v>
      </c>
      <c r="C59" s="633" t="s">
        <v>141</v>
      </c>
      <c r="D59" s="633"/>
      <c r="E59" s="42">
        <v>35.119999999999997</v>
      </c>
      <c r="F59" s="48">
        <v>5079</v>
      </c>
      <c r="G59" s="464">
        <f t="shared" ref="G59:G63" si="40">E59*F59</f>
        <v>178374.47999999998</v>
      </c>
      <c r="H59" s="37" t="s">
        <v>91</v>
      </c>
      <c r="I59" s="468">
        <v>10</v>
      </c>
      <c r="J59" s="39">
        <v>3000</v>
      </c>
      <c r="K59" s="17">
        <f t="shared" si="1"/>
        <v>300</v>
      </c>
      <c r="L59" s="468">
        <v>10</v>
      </c>
      <c r="M59" s="18">
        <f t="shared" ref="M59:M63" si="41">F59/V59*60</f>
        <v>2874.9056603773588</v>
      </c>
      <c r="N59" s="17">
        <f t="shared" si="3"/>
        <v>287.4905660377359</v>
      </c>
      <c r="O59" s="19">
        <f t="shared" si="4"/>
        <v>0</v>
      </c>
      <c r="P59" s="20">
        <f t="shared" si="5"/>
        <v>-12.509433962264097</v>
      </c>
      <c r="Q59" s="463">
        <f t="shared" si="6"/>
        <v>0.95830188679245298</v>
      </c>
      <c r="R59" s="637">
        <f>Q64</f>
        <v>0.96413680833492166</v>
      </c>
      <c r="S59" s="40">
        <v>0.20833333333333334</v>
      </c>
      <c r="T59" s="40">
        <v>0.28194444444444444</v>
      </c>
      <c r="U59" s="464"/>
      <c r="V59" s="469">
        <f t="shared" ref="V59:V63" si="42">(T59-S59)*24*60</f>
        <v>105.99999999999999</v>
      </c>
      <c r="W59" s="23"/>
      <c r="X59" s="23"/>
      <c r="Y59" s="28"/>
      <c r="Z59" s="28"/>
      <c r="AA59" s="632"/>
      <c r="AB59" s="632"/>
      <c r="AC59" s="25">
        <v>5</v>
      </c>
      <c r="AD59" s="25"/>
      <c r="AE59" s="19">
        <f t="shared" ref="AE59:AE72" si="43">M59-J59</f>
        <v>-125.0943396226412</v>
      </c>
      <c r="AF59" s="463">
        <f t="shared" si="9"/>
        <v>0.95830188679245298</v>
      </c>
      <c r="AG59" s="637">
        <f>AF64</f>
        <v>0.96413680833492166</v>
      </c>
    </row>
    <row r="60" spans="1:33" ht="15.75" customHeight="1">
      <c r="A60" s="639" t="s">
        <v>84</v>
      </c>
      <c r="B60" s="470" t="s">
        <v>127</v>
      </c>
      <c r="C60" s="633" t="s">
        <v>142</v>
      </c>
      <c r="D60" s="633"/>
      <c r="E60" s="42">
        <v>26.78</v>
      </c>
      <c r="F60" s="48">
        <v>2579</v>
      </c>
      <c r="G60" s="464">
        <f t="shared" si="40"/>
        <v>69065.62000000001</v>
      </c>
      <c r="H60" s="37" t="s">
        <v>91</v>
      </c>
      <c r="I60" s="468">
        <v>10</v>
      </c>
      <c r="J60" s="39">
        <v>3000</v>
      </c>
      <c r="K60" s="17">
        <f t="shared" si="1"/>
        <v>300</v>
      </c>
      <c r="L60" s="468">
        <v>10</v>
      </c>
      <c r="M60" s="18">
        <f t="shared" si="41"/>
        <v>2865.5555555555575</v>
      </c>
      <c r="N60" s="17">
        <f t="shared" si="3"/>
        <v>286.55555555555577</v>
      </c>
      <c r="O60" s="19">
        <f t="shared" si="4"/>
        <v>0</v>
      </c>
      <c r="P60" s="20">
        <f t="shared" si="5"/>
        <v>-13.44444444444423</v>
      </c>
      <c r="Q60" s="463">
        <f t="shared" si="6"/>
        <v>0.95518518518518591</v>
      </c>
      <c r="R60" s="637"/>
      <c r="S60" s="40">
        <v>0.28680555555555554</v>
      </c>
      <c r="T60" s="40">
        <v>0.32430555555555551</v>
      </c>
      <c r="U60" s="464">
        <f t="shared" ref="U60:U63" si="44">(S60-T59)*24*60</f>
        <v>6.9999999999999751</v>
      </c>
      <c r="V60" s="469">
        <f t="shared" si="42"/>
        <v>53.999999999999972</v>
      </c>
      <c r="W60" s="464"/>
      <c r="X60" s="464"/>
      <c r="Y60" s="464"/>
      <c r="Z60" s="464"/>
      <c r="AA60" s="632"/>
      <c r="AB60" s="632"/>
      <c r="AC60" s="25"/>
      <c r="AD60" s="25"/>
      <c r="AE60" s="19">
        <f t="shared" si="43"/>
        <v>-134.44444444444252</v>
      </c>
      <c r="AF60" s="463">
        <f t="shared" si="9"/>
        <v>0.9551851851851858</v>
      </c>
      <c r="AG60" s="637"/>
    </row>
    <row r="61" spans="1:33" ht="15.75" customHeight="1">
      <c r="A61" s="639" t="s">
        <v>84</v>
      </c>
      <c r="B61" s="470" t="s">
        <v>127</v>
      </c>
      <c r="C61" s="633" t="s">
        <v>143</v>
      </c>
      <c r="D61" s="633"/>
      <c r="E61" s="42">
        <v>36.14</v>
      </c>
      <c r="F61" s="48">
        <v>1040</v>
      </c>
      <c r="G61" s="464">
        <f t="shared" si="40"/>
        <v>37585.599999999999</v>
      </c>
      <c r="H61" s="37" t="s">
        <v>91</v>
      </c>
      <c r="I61" s="468">
        <v>11</v>
      </c>
      <c r="J61" s="39">
        <v>3000</v>
      </c>
      <c r="K61" s="17">
        <f t="shared" si="1"/>
        <v>272.72727272727275</v>
      </c>
      <c r="L61" s="468">
        <v>11</v>
      </c>
      <c r="M61" s="18">
        <f t="shared" si="41"/>
        <v>2971.4285714285702</v>
      </c>
      <c r="N61" s="17">
        <f t="shared" si="3"/>
        <v>270.12987012987003</v>
      </c>
      <c r="O61" s="19">
        <f t="shared" si="4"/>
        <v>0</v>
      </c>
      <c r="P61" s="20">
        <f t="shared" si="5"/>
        <v>-2.5974025974027199</v>
      </c>
      <c r="Q61" s="463">
        <f t="shared" si="6"/>
        <v>0.99047619047619007</v>
      </c>
      <c r="R61" s="637"/>
      <c r="S61" s="40">
        <v>0.32777777777777772</v>
      </c>
      <c r="T61" s="40">
        <v>0.34236111111111106</v>
      </c>
      <c r="U61" s="464">
        <f t="shared" si="44"/>
        <v>4.9999999999999822</v>
      </c>
      <c r="V61" s="469">
        <f t="shared" si="42"/>
        <v>21.000000000000007</v>
      </c>
      <c r="W61" s="464"/>
      <c r="X61" s="464"/>
      <c r="Y61" s="464"/>
      <c r="Z61" s="464"/>
      <c r="AA61" s="632"/>
      <c r="AB61" s="632"/>
      <c r="AC61" s="25"/>
      <c r="AD61" s="25"/>
      <c r="AE61" s="19">
        <f t="shared" si="43"/>
        <v>-28.571428571429806</v>
      </c>
      <c r="AF61" s="463">
        <f t="shared" si="9"/>
        <v>0.99047619047619007</v>
      </c>
      <c r="AG61" s="637"/>
    </row>
    <row r="62" spans="1:33" ht="15.75" customHeight="1">
      <c r="A62" s="639" t="s">
        <v>84</v>
      </c>
      <c r="B62" s="470" t="s">
        <v>127</v>
      </c>
      <c r="C62" s="633" t="s">
        <v>130</v>
      </c>
      <c r="D62" s="633"/>
      <c r="E62" s="42">
        <v>35.869999999999997</v>
      </c>
      <c r="F62" s="48">
        <v>1532</v>
      </c>
      <c r="G62" s="464">
        <f t="shared" si="40"/>
        <v>54952.84</v>
      </c>
      <c r="H62" s="37" t="s">
        <v>91</v>
      </c>
      <c r="I62" s="468">
        <v>9</v>
      </c>
      <c r="J62" s="39">
        <v>3000</v>
      </c>
      <c r="K62" s="17">
        <f t="shared" si="1"/>
        <v>333.33333333333331</v>
      </c>
      <c r="L62" s="468">
        <v>9</v>
      </c>
      <c r="M62" s="18">
        <f t="shared" si="41"/>
        <v>2872.5000000000032</v>
      </c>
      <c r="N62" s="17">
        <f t="shared" si="3"/>
        <v>319.16666666666703</v>
      </c>
      <c r="O62" s="19">
        <f t="shared" si="4"/>
        <v>0</v>
      </c>
      <c r="P62" s="20">
        <f t="shared" si="5"/>
        <v>-14.166666666666288</v>
      </c>
      <c r="Q62" s="463">
        <f t="shared" si="6"/>
        <v>0.95750000000000113</v>
      </c>
      <c r="R62" s="637"/>
      <c r="S62" s="40">
        <v>0.34583333333333327</v>
      </c>
      <c r="T62" s="40">
        <v>0.36805555555555547</v>
      </c>
      <c r="U62" s="464">
        <f t="shared" si="44"/>
        <v>4.9999999999999822</v>
      </c>
      <c r="V62" s="469">
        <f t="shared" si="42"/>
        <v>31.999999999999964</v>
      </c>
      <c r="W62" s="464"/>
      <c r="X62" s="464"/>
      <c r="Y62" s="464"/>
      <c r="Z62" s="464"/>
      <c r="AA62" s="632"/>
      <c r="AB62" s="632"/>
      <c r="AC62" s="25"/>
      <c r="AD62" s="25"/>
      <c r="AE62" s="19">
        <f t="shared" si="43"/>
        <v>-127.49999999999682</v>
      </c>
      <c r="AF62" s="463">
        <f t="shared" si="9"/>
        <v>0.95750000000000102</v>
      </c>
      <c r="AG62" s="637"/>
    </row>
    <row r="63" spans="1:33">
      <c r="A63" s="640" t="s">
        <v>84</v>
      </c>
      <c r="B63" s="470" t="s">
        <v>127</v>
      </c>
      <c r="C63" s="633" t="s">
        <v>1857</v>
      </c>
      <c r="D63" s="633"/>
      <c r="E63" s="42">
        <v>33.770000000000003</v>
      </c>
      <c r="F63" s="48">
        <v>3693</v>
      </c>
      <c r="G63" s="464">
        <f t="shared" si="40"/>
        <v>124712.61000000002</v>
      </c>
      <c r="H63" s="37" t="s">
        <v>91</v>
      </c>
      <c r="I63" s="468">
        <v>12</v>
      </c>
      <c r="J63" s="39">
        <v>3000</v>
      </c>
      <c r="K63" s="17">
        <f t="shared" si="1"/>
        <v>250</v>
      </c>
      <c r="L63" s="468">
        <v>12</v>
      </c>
      <c r="M63" s="18">
        <f t="shared" si="41"/>
        <v>2877.6623376623361</v>
      </c>
      <c r="N63" s="17">
        <f t="shared" si="3"/>
        <v>239.80519480519467</v>
      </c>
      <c r="O63" s="19">
        <f t="shared" si="4"/>
        <v>0</v>
      </c>
      <c r="P63" s="20">
        <f t="shared" si="5"/>
        <v>-10.194805194805326</v>
      </c>
      <c r="Q63" s="463">
        <f t="shared" si="6"/>
        <v>0.95922077922077864</v>
      </c>
      <c r="R63" s="637"/>
      <c r="S63" s="40">
        <v>0.37152777777777768</v>
      </c>
      <c r="T63" s="40">
        <v>0.42499999999999993</v>
      </c>
      <c r="U63" s="464">
        <f t="shared" si="44"/>
        <v>4.9999999999999822</v>
      </c>
      <c r="V63" s="469">
        <f t="shared" si="42"/>
        <v>77.000000000000043</v>
      </c>
      <c r="W63" s="23"/>
      <c r="X63" s="23"/>
      <c r="Y63" s="23"/>
      <c r="Z63" s="23"/>
      <c r="AA63" s="632"/>
      <c r="AB63" s="632"/>
      <c r="AC63" s="25"/>
      <c r="AD63" s="25"/>
      <c r="AE63" s="19">
        <f t="shared" si="43"/>
        <v>-122.33766233766391</v>
      </c>
      <c r="AF63" s="463">
        <f t="shared" si="9"/>
        <v>0.95922077922077864</v>
      </c>
      <c r="AG63" s="637"/>
    </row>
    <row r="64" spans="1:33">
      <c r="A64" s="640" t="s">
        <v>84</v>
      </c>
      <c r="B64" s="42" t="s">
        <v>57</v>
      </c>
      <c r="C64" s="638"/>
      <c r="D64" s="638"/>
      <c r="E64" s="465"/>
      <c r="F64" s="44"/>
      <c r="G64" s="17"/>
      <c r="H64" s="470"/>
      <c r="I64" s="29">
        <v>10.4</v>
      </c>
      <c r="J64" s="39">
        <v>3000</v>
      </c>
      <c r="K64" s="17">
        <f t="shared" si="1"/>
        <v>288.46153846153845</v>
      </c>
      <c r="L64" s="29">
        <v>10.4</v>
      </c>
      <c r="M64" s="18">
        <f>AVERAGE(M59:M63)</f>
        <v>2892.4104250047649</v>
      </c>
      <c r="N64" s="17">
        <f t="shared" si="3"/>
        <v>278.11638701968894</v>
      </c>
      <c r="O64" s="19">
        <f t="shared" si="4"/>
        <v>0</v>
      </c>
      <c r="P64" s="20">
        <f t="shared" si="5"/>
        <v>-10.345151441849509</v>
      </c>
      <c r="Q64" s="463">
        <f t="shared" si="6"/>
        <v>0.96413680833492166</v>
      </c>
      <c r="R64" s="637"/>
      <c r="S64" s="40"/>
      <c r="T64" s="40"/>
      <c r="U64" s="17"/>
      <c r="V64" s="469"/>
      <c r="W64" s="17"/>
      <c r="X64" s="17"/>
      <c r="Y64" s="30">
        <f>SUM(Y59:Y63)</f>
        <v>0</v>
      </c>
      <c r="Z64" s="30">
        <f>SUM(Z59:Z63)</f>
        <v>0</v>
      </c>
      <c r="AA64" s="631"/>
      <c r="AB64" s="631"/>
      <c r="AC64" s="30">
        <v>5</v>
      </c>
      <c r="AD64" s="30">
        <f>SUM(AD59:AD63)</f>
        <v>0</v>
      </c>
      <c r="AE64" s="19">
        <f t="shared" si="43"/>
        <v>-107.58957499523513</v>
      </c>
      <c r="AF64" s="463">
        <f t="shared" si="9"/>
        <v>0.96413680833492166</v>
      </c>
      <c r="AG64" s="637"/>
    </row>
    <row r="65" spans="1:33" ht="15.75" customHeight="1">
      <c r="A65" s="634" t="s">
        <v>2409</v>
      </c>
      <c r="B65" s="470" t="s">
        <v>116</v>
      </c>
      <c r="C65" s="633" t="s">
        <v>145</v>
      </c>
      <c r="D65" s="633"/>
      <c r="E65" s="42">
        <v>19.02</v>
      </c>
      <c r="F65" s="470">
        <v>6000</v>
      </c>
      <c r="G65" s="464">
        <f t="shared" ref="G65:G71" si="45">E65*F65</f>
        <v>114120</v>
      </c>
      <c r="H65" s="37">
        <v>2</v>
      </c>
      <c r="I65" s="468">
        <v>14</v>
      </c>
      <c r="J65" s="39">
        <v>2400</v>
      </c>
      <c r="K65" s="17">
        <f t="shared" si="1"/>
        <v>171.42857142857142</v>
      </c>
      <c r="L65" s="468">
        <v>14</v>
      </c>
      <c r="M65" s="18">
        <f t="shared" ref="M65:M71" si="46">F65/V65*60</f>
        <v>2292.993630573249</v>
      </c>
      <c r="N65" s="17">
        <f t="shared" si="3"/>
        <v>163.78525932666065</v>
      </c>
      <c r="O65" s="19">
        <f t="shared" si="4"/>
        <v>0</v>
      </c>
      <c r="P65" s="20">
        <f t="shared" si="5"/>
        <v>-7.6433121019107659</v>
      </c>
      <c r="Q65" s="463">
        <f t="shared" si="6"/>
        <v>0.95541401273885385</v>
      </c>
      <c r="R65" s="637">
        <f>Q72</f>
        <v>0.95758211798767412</v>
      </c>
      <c r="S65" s="40">
        <v>8.3333333333333329E-2</v>
      </c>
      <c r="T65" s="40">
        <v>0.19236111111111109</v>
      </c>
      <c r="U65" s="28"/>
      <c r="V65" s="469">
        <f t="shared" ref="V65:V71" si="47">(T65-S65)*24*60</f>
        <v>156.99999999999997</v>
      </c>
      <c r="W65" s="23">
        <f>T65</f>
        <v>0.19236111111111109</v>
      </c>
      <c r="X65" s="23">
        <f>S66</f>
        <v>0.21180555555555555</v>
      </c>
      <c r="Y65" s="23"/>
      <c r="Z65" s="23"/>
      <c r="AA65" s="632"/>
      <c r="AB65" s="632"/>
      <c r="AC65" s="25">
        <v>7</v>
      </c>
      <c r="AD65" s="25"/>
      <c r="AE65" s="19">
        <f t="shared" si="43"/>
        <v>-107.00636942675101</v>
      </c>
      <c r="AF65" s="463">
        <f t="shared" si="9"/>
        <v>0.95541401273885374</v>
      </c>
      <c r="AG65" s="637">
        <f>AF72</f>
        <v>0.95758211798767412</v>
      </c>
    </row>
    <row r="66" spans="1:33" ht="15.75" customHeight="1">
      <c r="A66" s="635" t="s">
        <v>86</v>
      </c>
      <c r="B66" s="470" t="s">
        <v>116</v>
      </c>
      <c r="C66" s="633" t="s">
        <v>146</v>
      </c>
      <c r="D66" s="633"/>
      <c r="E66" s="42">
        <v>20.36</v>
      </c>
      <c r="F66" s="470">
        <v>4410</v>
      </c>
      <c r="G66" s="464">
        <f t="shared" si="45"/>
        <v>89787.599999999991</v>
      </c>
      <c r="H66" s="37" t="s">
        <v>91</v>
      </c>
      <c r="I66" s="468">
        <v>17</v>
      </c>
      <c r="J66" s="39">
        <v>2400</v>
      </c>
      <c r="K66" s="17">
        <f t="shared" si="1"/>
        <v>141.1764705882353</v>
      </c>
      <c r="L66" s="468">
        <v>17</v>
      </c>
      <c r="M66" s="18">
        <f t="shared" si="46"/>
        <v>2300.8695652173906</v>
      </c>
      <c r="N66" s="17">
        <f t="shared" si="3"/>
        <v>135.34526854219945</v>
      </c>
      <c r="O66" s="19">
        <f t="shared" si="4"/>
        <v>0</v>
      </c>
      <c r="P66" s="20">
        <f t="shared" si="5"/>
        <v>-5.8312020460358553</v>
      </c>
      <c r="Q66" s="463">
        <f t="shared" si="6"/>
        <v>0.95869565217391273</v>
      </c>
      <c r="R66" s="637"/>
      <c r="S66" s="40">
        <v>0.21180555555555555</v>
      </c>
      <c r="T66" s="40">
        <v>0.29166666666666669</v>
      </c>
      <c r="U66" s="464">
        <f t="shared" ref="U66:U71" si="48">(S66-T65)*24*60</f>
        <v>28.000000000000021</v>
      </c>
      <c r="V66" s="469">
        <f t="shared" si="47"/>
        <v>115.00000000000003</v>
      </c>
      <c r="W66" s="23"/>
      <c r="X66" s="23"/>
      <c r="Y66" s="23"/>
      <c r="Z66" s="23"/>
      <c r="AA66" s="632"/>
      <c r="AB66" s="632"/>
      <c r="AC66" s="25"/>
      <c r="AD66" s="25"/>
      <c r="AE66" s="19">
        <f t="shared" si="43"/>
        <v>-99.130434782609427</v>
      </c>
      <c r="AF66" s="463">
        <f t="shared" si="9"/>
        <v>0.95869565217391273</v>
      </c>
      <c r="AG66" s="637"/>
    </row>
    <row r="67" spans="1:33" ht="15.75" customHeight="1">
      <c r="A67" s="635" t="s">
        <v>86</v>
      </c>
      <c r="B67" s="470" t="s">
        <v>116</v>
      </c>
      <c r="C67" s="633" t="s">
        <v>150</v>
      </c>
      <c r="D67" s="633"/>
      <c r="E67" s="42">
        <v>23.89</v>
      </c>
      <c r="F67" s="470">
        <v>1863</v>
      </c>
      <c r="G67" s="464">
        <f t="shared" si="45"/>
        <v>44507.07</v>
      </c>
      <c r="H67" s="37" t="s">
        <v>91</v>
      </c>
      <c r="I67" s="468">
        <v>13</v>
      </c>
      <c r="J67" s="39">
        <v>2400</v>
      </c>
      <c r="K67" s="17">
        <f t="shared" si="1"/>
        <v>184.61538461538461</v>
      </c>
      <c r="L67" s="468">
        <v>13</v>
      </c>
      <c r="M67" s="18">
        <f t="shared" si="46"/>
        <v>2328.7500000000009</v>
      </c>
      <c r="N67" s="17">
        <f t="shared" si="3"/>
        <v>179.13461538461544</v>
      </c>
      <c r="O67" s="19">
        <f t="shared" si="4"/>
        <v>0</v>
      </c>
      <c r="P67" s="20">
        <f t="shared" si="5"/>
        <v>-5.4807692307691696</v>
      </c>
      <c r="Q67" s="463">
        <f t="shared" si="6"/>
        <v>0.97031250000000036</v>
      </c>
      <c r="R67" s="637"/>
      <c r="S67" s="40">
        <v>0.29722222222222222</v>
      </c>
      <c r="T67" s="40">
        <v>0.33055555555555555</v>
      </c>
      <c r="U67" s="464">
        <f t="shared" si="48"/>
        <v>7.9999999999999716</v>
      </c>
      <c r="V67" s="469">
        <f t="shared" si="47"/>
        <v>47.999999999999986</v>
      </c>
      <c r="W67" s="23"/>
      <c r="X67" s="23"/>
      <c r="Y67" s="23"/>
      <c r="Z67" s="23"/>
      <c r="AA67" s="632"/>
      <c r="AB67" s="632"/>
      <c r="AC67" s="25"/>
      <c r="AD67" s="25"/>
      <c r="AE67" s="19">
        <f t="shared" si="43"/>
        <v>-71.249999999999091</v>
      </c>
      <c r="AF67" s="463">
        <f t="shared" si="9"/>
        <v>0.97031250000000036</v>
      </c>
      <c r="AG67" s="637"/>
    </row>
    <row r="68" spans="1:33" ht="15.75" customHeight="1">
      <c r="A68" s="635" t="s">
        <v>2409</v>
      </c>
      <c r="B68" s="470" t="s">
        <v>116</v>
      </c>
      <c r="C68" s="633" t="s">
        <v>148</v>
      </c>
      <c r="D68" s="633"/>
      <c r="E68" s="42">
        <v>28.29</v>
      </c>
      <c r="F68" s="470">
        <v>3473</v>
      </c>
      <c r="G68" s="464">
        <f t="shared" si="45"/>
        <v>98251.17</v>
      </c>
      <c r="H68" s="37" t="s">
        <v>91</v>
      </c>
      <c r="I68" s="468">
        <v>19</v>
      </c>
      <c r="J68" s="39">
        <v>2400</v>
      </c>
      <c r="K68" s="17">
        <f t="shared" si="1"/>
        <v>126.31578947368421</v>
      </c>
      <c r="L68" s="468">
        <v>19</v>
      </c>
      <c r="M68" s="18">
        <f t="shared" si="46"/>
        <v>2289.8901098901101</v>
      </c>
      <c r="N68" s="17">
        <f t="shared" si="3"/>
        <v>120.52053209947948</v>
      </c>
      <c r="O68" s="19">
        <f t="shared" si="4"/>
        <v>0</v>
      </c>
      <c r="P68" s="20">
        <f t="shared" si="5"/>
        <v>-5.7952573742047235</v>
      </c>
      <c r="Q68" s="463">
        <f t="shared" si="6"/>
        <v>0.95412087912087928</v>
      </c>
      <c r="R68" s="637"/>
      <c r="S68" s="40">
        <v>0.3347222222222222</v>
      </c>
      <c r="T68" s="40">
        <v>0.39791666666666664</v>
      </c>
      <c r="U68" s="464">
        <f t="shared" si="48"/>
        <v>5.9999999999999787</v>
      </c>
      <c r="V68" s="469">
        <f t="shared" si="47"/>
        <v>91</v>
      </c>
      <c r="W68" s="23"/>
      <c r="X68" s="23"/>
      <c r="Y68" s="23"/>
      <c r="Z68" s="23"/>
      <c r="AA68" s="632"/>
      <c r="AB68" s="632"/>
      <c r="AC68" s="25"/>
      <c r="AD68" s="25"/>
      <c r="AE68" s="19">
        <f t="shared" si="43"/>
        <v>-110.10989010988988</v>
      </c>
      <c r="AF68" s="463">
        <f t="shared" si="9"/>
        <v>0.95412087912087917</v>
      </c>
      <c r="AG68" s="637"/>
    </row>
    <row r="69" spans="1:33" ht="15.75" customHeight="1">
      <c r="A69" s="635" t="s">
        <v>86</v>
      </c>
      <c r="B69" s="470" t="s">
        <v>116</v>
      </c>
      <c r="C69" s="633" t="s">
        <v>1859</v>
      </c>
      <c r="D69" s="633"/>
      <c r="E69" s="42">
        <v>25.98</v>
      </c>
      <c r="F69" s="470">
        <v>4348</v>
      </c>
      <c r="G69" s="464">
        <f t="shared" si="45"/>
        <v>112961.04000000001</v>
      </c>
      <c r="H69" s="37" t="s">
        <v>91</v>
      </c>
      <c r="I69" s="468">
        <v>19</v>
      </c>
      <c r="J69" s="39">
        <v>2400</v>
      </c>
      <c r="K69" s="17">
        <f t="shared" ref="K69:K72" si="49">J69/I69</f>
        <v>126.31578947368421</v>
      </c>
      <c r="L69" s="468">
        <v>19</v>
      </c>
      <c r="M69" s="18">
        <f t="shared" si="46"/>
        <v>2288.4210526315787</v>
      </c>
      <c r="N69" s="17">
        <f t="shared" ref="N69:N72" si="50">M69/L69</f>
        <v>120.44321329639888</v>
      </c>
      <c r="O69" s="19">
        <f t="shared" ref="O69:O72" si="51">L69-I69</f>
        <v>0</v>
      </c>
      <c r="P69" s="20">
        <f t="shared" ref="P69:P72" si="52">N69-K69</f>
        <v>-5.8725761772853247</v>
      </c>
      <c r="Q69" s="463">
        <f t="shared" ref="Q69:Q72" si="53">N69/K69</f>
        <v>0.95350877192982453</v>
      </c>
      <c r="R69" s="637"/>
      <c r="S69" s="40">
        <v>0.40138888888888885</v>
      </c>
      <c r="T69" s="40">
        <v>0.48055555555555551</v>
      </c>
      <c r="U69" s="464">
        <f t="shared" si="48"/>
        <v>4.9999999999999822</v>
      </c>
      <c r="V69" s="469">
        <f t="shared" si="47"/>
        <v>114</v>
      </c>
      <c r="W69" s="23">
        <f>T69</f>
        <v>0.48055555555555551</v>
      </c>
      <c r="X69" s="23">
        <f>S70</f>
        <v>0.5215277777777777</v>
      </c>
      <c r="Y69" s="23"/>
      <c r="Z69" s="23"/>
      <c r="AA69" s="632"/>
      <c r="AB69" s="632"/>
      <c r="AC69" s="25"/>
      <c r="AD69" s="25"/>
      <c r="AE69" s="19">
        <f t="shared" si="43"/>
        <v>-111.57894736842127</v>
      </c>
      <c r="AF69" s="463">
        <f t="shared" ref="AF69:AF72" si="54">M69/J69</f>
        <v>0.95350877192982442</v>
      </c>
      <c r="AG69" s="637"/>
    </row>
    <row r="70" spans="1:33" ht="15.75" customHeight="1">
      <c r="A70" s="635" t="s">
        <v>86</v>
      </c>
      <c r="B70" s="470" t="s">
        <v>116</v>
      </c>
      <c r="C70" s="633" t="s">
        <v>145</v>
      </c>
      <c r="D70" s="633"/>
      <c r="E70" s="42">
        <v>19.02</v>
      </c>
      <c r="F70" s="470">
        <v>5112</v>
      </c>
      <c r="G70" s="464">
        <f t="shared" si="45"/>
        <v>97230.239999999991</v>
      </c>
      <c r="H70" s="37" t="s">
        <v>91</v>
      </c>
      <c r="I70" s="468">
        <v>14</v>
      </c>
      <c r="J70" s="39">
        <v>2400</v>
      </c>
      <c r="K70" s="17">
        <f t="shared" si="49"/>
        <v>171.42857142857142</v>
      </c>
      <c r="L70" s="468">
        <v>14</v>
      </c>
      <c r="M70" s="18">
        <f t="shared" si="46"/>
        <v>2288.9552238805973</v>
      </c>
      <c r="N70" s="17">
        <f t="shared" si="50"/>
        <v>163.49680170575695</v>
      </c>
      <c r="O70" s="19">
        <f t="shared" si="51"/>
        <v>0</v>
      </c>
      <c r="P70" s="20">
        <f t="shared" si="52"/>
        <v>-7.9317697228144652</v>
      </c>
      <c r="Q70" s="463">
        <f t="shared" si="53"/>
        <v>0.95373134328358233</v>
      </c>
      <c r="R70" s="637"/>
      <c r="S70" s="40">
        <v>0.5215277777777777</v>
      </c>
      <c r="T70" s="40">
        <v>0.61458333333333326</v>
      </c>
      <c r="U70" s="464">
        <f t="shared" si="48"/>
        <v>58.99999999999995</v>
      </c>
      <c r="V70" s="469">
        <f t="shared" si="47"/>
        <v>134</v>
      </c>
      <c r="W70" s="23"/>
      <c r="X70" s="23"/>
      <c r="Y70" s="23"/>
      <c r="Z70" s="23"/>
      <c r="AA70" s="632"/>
      <c r="AB70" s="632"/>
      <c r="AC70" s="25"/>
      <c r="AD70" s="25"/>
      <c r="AE70" s="19">
        <f t="shared" si="43"/>
        <v>-111.04477611940274</v>
      </c>
      <c r="AF70" s="463">
        <f t="shared" si="54"/>
        <v>0.95373134328358222</v>
      </c>
      <c r="AG70" s="637"/>
    </row>
    <row r="71" spans="1:33" ht="15.75" customHeight="1">
      <c r="A71" s="635" t="s">
        <v>86</v>
      </c>
      <c r="B71" s="470" t="s">
        <v>116</v>
      </c>
      <c r="C71" s="625" t="s">
        <v>123</v>
      </c>
      <c r="D71" s="626"/>
      <c r="E71" s="42">
        <v>26.18</v>
      </c>
      <c r="F71" s="470">
        <v>2757</v>
      </c>
      <c r="G71" s="464">
        <f t="shared" si="45"/>
        <v>72178.259999999995</v>
      </c>
      <c r="H71" s="37" t="s">
        <v>91</v>
      </c>
      <c r="I71" s="468">
        <v>20</v>
      </c>
      <c r="J71" s="39">
        <v>2400</v>
      </c>
      <c r="K71" s="17">
        <f t="shared" si="49"/>
        <v>120</v>
      </c>
      <c r="L71" s="468">
        <v>20</v>
      </c>
      <c r="M71" s="18">
        <f t="shared" si="46"/>
        <v>2297.4999999999982</v>
      </c>
      <c r="N71" s="17">
        <f t="shared" si="50"/>
        <v>114.87499999999991</v>
      </c>
      <c r="O71" s="19">
        <f t="shared" si="51"/>
        <v>0</v>
      </c>
      <c r="P71" s="20">
        <f t="shared" si="52"/>
        <v>-5.1250000000000853</v>
      </c>
      <c r="Q71" s="463">
        <f t="shared" si="53"/>
        <v>0.95729166666666599</v>
      </c>
      <c r="R71" s="637"/>
      <c r="S71" s="40">
        <v>0.61944444444444435</v>
      </c>
      <c r="T71" s="40">
        <v>0.6694444444444444</v>
      </c>
      <c r="U71" s="464">
        <f t="shared" si="48"/>
        <v>6.9999999999999751</v>
      </c>
      <c r="V71" s="469">
        <f t="shared" si="47"/>
        <v>72.000000000000057</v>
      </c>
      <c r="W71" s="23"/>
      <c r="X71" s="23"/>
      <c r="Y71" s="26"/>
      <c r="Z71" s="26"/>
      <c r="AA71" s="627"/>
      <c r="AB71" s="628"/>
      <c r="AC71" s="25"/>
      <c r="AD71" s="25"/>
      <c r="AE71" s="19">
        <f t="shared" si="43"/>
        <v>-102.50000000000182</v>
      </c>
      <c r="AF71" s="463">
        <f t="shared" si="54"/>
        <v>0.95729166666666587</v>
      </c>
      <c r="AG71" s="637"/>
    </row>
    <row r="72" spans="1:33" ht="16.5" customHeight="1">
      <c r="A72" s="636" t="s">
        <v>86</v>
      </c>
      <c r="B72" s="42" t="s">
        <v>57</v>
      </c>
      <c r="C72" s="629"/>
      <c r="D72" s="630"/>
      <c r="E72" s="465"/>
      <c r="F72" s="44"/>
      <c r="G72" s="17"/>
      <c r="H72" s="470"/>
      <c r="I72" s="29">
        <v>16.571428571428573</v>
      </c>
      <c r="J72" s="39">
        <v>2400</v>
      </c>
      <c r="K72" s="17">
        <f t="shared" si="49"/>
        <v>144.82758620689654</v>
      </c>
      <c r="L72" s="29">
        <v>16.571428571428573</v>
      </c>
      <c r="M72" s="18">
        <f>AVERAGE(M65:M71)</f>
        <v>2298.197083170418</v>
      </c>
      <c r="N72" s="17">
        <f t="shared" si="50"/>
        <v>138.68430674304244</v>
      </c>
      <c r="O72" s="19">
        <f t="shared" si="51"/>
        <v>0</v>
      </c>
      <c r="P72" s="20">
        <f t="shared" si="52"/>
        <v>-6.1432794638540997</v>
      </c>
      <c r="Q72" s="463">
        <f t="shared" si="53"/>
        <v>0.95758211798767412</v>
      </c>
      <c r="R72" s="637"/>
      <c r="S72" s="40"/>
      <c r="T72" s="40"/>
      <c r="U72" s="17"/>
      <c r="V72" s="469"/>
      <c r="W72" s="17"/>
      <c r="X72" s="17"/>
      <c r="Y72" s="30">
        <f>SUM(Y65:Y71)</f>
        <v>0</v>
      </c>
      <c r="Z72" s="30">
        <f>SUM(Z65:Z71)</f>
        <v>0</v>
      </c>
      <c r="AA72" s="631"/>
      <c r="AB72" s="631"/>
      <c r="AC72" s="30">
        <v>7</v>
      </c>
      <c r="AD72" s="30">
        <f>SUM(AD65:AD71)</f>
        <v>0</v>
      </c>
      <c r="AE72" s="19">
        <f t="shared" si="43"/>
        <v>-101.80291682958205</v>
      </c>
      <c r="AF72" s="463">
        <f t="shared" si="54"/>
        <v>0.95758211798767412</v>
      </c>
      <c r="AG72" s="637"/>
    </row>
    <row r="73" spans="1:33">
      <c r="D73" s="33"/>
      <c r="E73" s="33"/>
    </row>
  </sheetData>
  <mergeCells count="191">
    <mergeCell ref="A65:A72"/>
    <mergeCell ref="C65:D65"/>
    <mergeCell ref="R65:R72"/>
    <mergeCell ref="AA65:AB65"/>
    <mergeCell ref="AG65:AG72"/>
    <mergeCell ref="C66:D66"/>
    <mergeCell ref="AA66:AB66"/>
    <mergeCell ref="C67:D67"/>
    <mergeCell ref="AA67:AB67"/>
    <mergeCell ref="C68:D68"/>
    <mergeCell ref="C72:D72"/>
    <mergeCell ref="AA72:AB72"/>
    <mergeCell ref="AA68:AB68"/>
    <mergeCell ref="C69:D69"/>
    <mergeCell ref="AA69:AB69"/>
    <mergeCell ref="C70:D70"/>
    <mergeCell ref="AA70:AB70"/>
    <mergeCell ref="C71:D71"/>
    <mergeCell ref="AA71:AB71"/>
    <mergeCell ref="AG59:AG64"/>
    <mergeCell ref="C60:D60"/>
    <mergeCell ref="AA60:AB60"/>
    <mergeCell ref="C61:D61"/>
    <mergeCell ref="AA61:AB61"/>
    <mergeCell ref="C62:D62"/>
    <mergeCell ref="AA62:AB62"/>
    <mergeCell ref="C63:D63"/>
    <mergeCell ref="AA63:AB63"/>
    <mergeCell ref="C64:D64"/>
    <mergeCell ref="A59:A64"/>
    <mergeCell ref="C59:D59"/>
    <mergeCell ref="R59:R64"/>
    <mergeCell ref="AA59:AB59"/>
    <mergeCell ref="AA64:AB64"/>
    <mergeCell ref="A52:A58"/>
    <mergeCell ref="C52:D52"/>
    <mergeCell ref="R52:R58"/>
    <mergeCell ref="AA52:AB52"/>
    <mergeCell ref="AG52:AG58"/>
    <mergeCell ref="C53:D53"/>
    <mergeCell ref="AA53:AB53"/>
    <mergeCell ref="C54:D54"/>
    <mergeCell ref="AA54:AB54"/>
    <mergeCell ref="AA55:AB55"/>
    <mergeCell ref="AG47:AG51"/>
    <mergeCell ref="C48:D48"/>
    <mergeCell ref="AA48:AB48"/>
    <mergeCell ref="C49:D49"/>
    <mergeCell ref="AA49:AB49"/>
    <mergeCell ref="C50:D50"/>
    <mergeCell ref="AA50:AB50"/>
    <mergeCell ref="C51:D51"/>
    <mergeCell ref="AA51:AB51"/>
    <mergeCell ref="AA56:AB56"/>
    <mergeCell ref="C57:D57"/>
    <mergeCell ref="AA57:AB57"/>
    <mergeCell ref="C58:D58"/>
    <mergeCell ref="AA58:AB58"/>
    <mergeCell ref="A47:A51"/>
    <mergeCell ref="C47:D47"/>
    <mergeCell ref="R47:R51"/>
    <mergeCell ref="AA47:AB47"/>
    <mergeCell ref="C42:D42"/>
    <mergeCell ref="AA42:AB42"/>
    <mergeCell ref="C43:D43"/>
    <mergeCell ref="AA43:AB43"/>
    <mergeCell ref="C44:D44"/>
    <mergeCell ref="AA44:AB44"/>
    <mergeCell ref="A39:A46"/>
    <mergeCell ref="C39:D39"/>
    <mergeCell ref="R39:R46"/>
    <mergeCell ref="AA39:AB39"/>
    <mergeCell ref="AG31:AG38"/>
    <mergeCell ref="C32:D32"/>
    <mergeCell ref="AA32:AB32"/>
    <mergeCell ref="C33:D33"/>
    <mergeCell ref="AA33:AB33"/>
    <mergeCell ref="C34:D34"/>
    <mergeCell ref="AA34:AB34"/>
    <mergeCell ref="C35:D35"/>
    <mergeCell ref="AA35:AB35"/>
    <mergeCell ref="C36:D36"/>
    <mergeCell ref="AG39:AG46"/>
    <mergeCell ref="C40:D40"/>
    <mergeCell ref="AA40:AB40"/>
    <mergeCell ref="C41:D41"/>
    <mergeCell ref="AA41:AB41"/>
    <mergeCell ref="C45:D45"/>
    <mergeCell ref="AA45:AB45"/>
    <mergeCell ref="C46:D46"/>
    <mergeCell ref="AA46:AB46"/>
    <mergeCell ref="A22:A30"/>
    <mergeCell ref="C22:D22"/>
    <mergeCell ref="R22:R30"/>
    <mergeCell ref="AA22:AB22"/>
    <mergeCell ref="C30:D30"/>
    <mergeCell ref="AA30:AB30"/>
    <mergeCell ref="A31:A38"/>
    <mergeCell ref="C31:D31"/>
    <mergeCell ref="R31:R38"/>
    <mergeCell ref="AA31:AB31"/>
    <mergeCell ref="AA36:AB36"/>
    <mergeCell ref="C37:D37"/>
    <mergeCell ref="AA37:AB37"/>
    <mergeCell ref="C38:D38"/>
    <mergeCell ref="AA38:AB38"/>
    <mergeCell ref="AG22:AG30"/>
    <mergeCell ref="C23:D23"/>
    <mergeCell ref="AA23:AB23"/>
    <mergeCell ref="C24:D24"/>
    <mergeCell ref="AA24:AB24"/>
    <mergeCell ref="C25:D25"/>
    <mergeCell ref="C17:D17"/>
    <mergeCell ref="AA17:AB17"/>
    <mergeCell ref="C18:D18"/>
    <mergeCell ref="AA18:AB18"/>
    <mergeCell ref="C21:D21"/>
    <mergeCell ref="AA21:AB21"/>
    <mergeCell ref="AA25:AB25"/>
    <mergeCell ref="C26:D26"/>
    <mergeCell ref="AA26:AB26"/>
    <mergeCell ref="C27:D27"/>
    <mergeCell ref="AA27:AB27"/>
    <mergeCell ref="C28:D28"/>
    <mergeCell ref="AA28:AB28"/>
    <mergeCell ref="AA13:AB13"/>
    <mergeCell ref="A14:A21"/>
    <mergeCell ref="C14:D14"/>
    <mergeCell ref="R14:R21"/>
    <mergeCell ref="AA14:AB14"/>
    <mergeCell ref="AG14:AG21"/>
    <mergeCell ref="C15:D15"/>
    <mergeCell ref="AA15:AB15"/>
    <mergeCell ref="C16:D16"/>
    <mergeCell ref="AA16:AB16"/>
    <mergeCell ref="A10:A13"/>
    <mergeCell ref="C10:D10"/>
    <mergeCell ref="R10:R13"/>
    <mergeCell ref="AA10:AB10"/>
    <mergeCell ref="AG10:AG13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</mergeCells>
  <phoneticPr fontId="3" type="noConversion"/>
  <conditionalFormatting sqref="O62:O70 O72 O5:O10 O13:O15 O21:O59">
    <cfRule type="cellIs" dxfId="1790" priority="49" operator="greaterThan">
      <formula>0</formula>
    </cfRule>
  </conditionalFormatting>
  <conditionalFormatting sqref="P5:P8 P62:P63 AE62:AE63 P65:P70 P31:P37 P59 P10 P13:P15 P22:P29 P52:P57 P39:P50 AE5:AE59 AE65:AE72">
    <cfRule type="cellIs" dxfId="1789" priority="53" operator="lessThan">
      <formula>0</formula>
    </cfRule>
  </conditionalFormatting>
  <conditionalFormatting sqref="AF62:AF63 Q62:Q70 Q72 Q5:Q10 Q13:Q15 Q21:Q59 AF5:AF59 AF65:AF72">
    <cfRule type="cellIs" dxfId="1788" priority="50" operator="greaterThan">
      <formula>1</formula>
    </cfRule>
    <cfRule type="cellIs" dxfId="1787" priority="51" operator="lessThan">
      <formula>0.8</formula>
    </cfRule>
  </conditionalFormatting>
  <conditionalFormatting sqref="AG14:AG15 R14:R15 AG62 R62:R70 R21:R27 AG21:AG27 R72 AG5:AG10 R5:R10 AG30:AG59 R30:R59">
    <cfRule type="cellIs" dxfId="1786" priority="55" operator="lessThan">
      <formula>0.8</formula>
    </cfRule>
  </conditionalFormatting>
  <conditionalFormatting sqref="AG47">
    <cfRule type="cellIs" dxfId="1785" priority="57" operator="lessThan">
      <formula>0.8</formula>
    </cfRule>
  </conditionalFormatting>
  <conditionalFormatting sqref="AG22:AG27">
    <cfRule type="cellIs" dxfId="1784" priority="54" operator="lessThan">
      <formula>0.8</formula>
    </cfRule>
  </conditionalFormatting>
  <conditionalFormatting sqref="AG31">
    <cfRule type="cellIs" dxfId="1783" priority="56" operator="lessThan">
      <formula>0.8</formula>
    </cfRule>
  </conditionalFormatting>
  <conditionalFormatting sqref="AG39:AG45">
    <cfRule type="cellIs" dxfId="1782" priority="52" operator="lessThan">
      <formula>0.8</formula>
    </cfRule>
  </conditionalFormatting>
  <conditionalFormatting sqref="AE64">
    <cfRule type="cellIs" dxfId="1781" priority="48" operator="lessThan">
      <formula>0</formula>
    </cfRule>
  </conditionalFormatting>
  <conditionalFormatting sqref="AF64">
    <cfRule type="cellIs" dxfId="1780" priority="46" operator="greaterThan">
      <formula>1</formula>
    </cfRule>
    <cfRule type="cellIs" dxfId="1779" priority="47" operator="lessThan">
      <formula>0.8</formula>
    </cfRule>
  </conditionalFormatting>
  <conditionalFormatting sqref="O16:O17">
    <cfRule type="cellIs" dxfId="1778" priority="41" operator="greaterThan">
      <formula>0</formula>
    </cfRule>
  </conditionalFormatting>
  <conditionalFormatting sqref="P16:P17">
    <cfRule type="cellIs" dxfId="1777" priority="44" operator="lessThan">
      <formula>0</formula>
    </cfRule>
  </conditionalFormatting>
  <conditionalFormatting sqref="Q16:Q17">
    <cfRule type="cellIs" dxfId="1776" priority="42" operator="greaterThan">
      <formula>1</formula>
    </cfRule>
    <cfRule type="cellIs" dxfId="1775" priority="43" operator="lessThan">
      <formula>0.8</formula>
    </cfRule>
  </conditionalFormatting>
  <conditionalFormatting sqref="R16:R17 AG16:AG17">
    <cfRule type="cellIs" dxfId="1774" priority="45" operator="lessThan">
      <formula>0.8</formula>
    </cfRule>
  </conditionalFormatting>
  <conditionalFormatting sqref="O11:O12">
    <cfRule type="cellIs" dxfId="1773" priority="37" operator="greaterThan">
      <formula>0</formula>
    </cfRule>
  </conditionalFormatting>
  <conditionalFormatting sqref="P11:P12">
    <cfRule type="cellIs" dxfId="1772" priority="40" operator="lessThan">
      <formula>0</formula>
    </cfRule>
  </conditionalFormatting>
  <conditionalFormatting sqref="Q11:Q12">
    <cfRule type="cellIs" dxfId="1771" priority="38" operator="greaterThan">
      <formula>1</formula>
    </cfRule>
    <cfRule type="cellIs" dxfId="1770" priority="39" operator="lessThan">
      <formula>0.8</formula>
    </cfRule>
  </conditionalFormatting>
  <conditionalFormatting sqref="AG29 R29">
    <cfRule type="cellIs" dxfId="1769" priority="36" operator="lessThan">
      <formula>0.8</formula>
    </cfRule>
  </conditionalFormatting>
  <conditionalFormatting sqref="O61">
    <cfRule type="cellIs" dxfId="1768" priority="31" operator="greaterThan">
      <formula>0</formula>
    </cfRule>
  </conditionalFormatting>
  <conditionalFormatting sqref="P61 AE61">
    <cfRule type="cellIs" dxfId="1767" priority="34" operator="lessThan">
      <formula>0</formula>
    </cfRule>
  </conditionalFormatting>
  <conditionalFormatting sqref="Q61 AF61">
    <cfRule type="cellIs" dxfId="1766" priority="32" operator="greaterThan">
      <formula>1</formula>
    </cfRule>
    <cfRule type="cellIs" dxfId="1765" priority="33" operator="lessThan">
      <formula>0.8</formula>
    </cfRule>
  </conditionalFormatting>
  <conditionalFormatting sqref="R61 AG61">
    <cfRule type="cellIs" dxfId="1764" priority="35" operator="lessThan">
      <formula>0.8</formula>
    </cfRule>
  </conditionalFormatting>
  <conditionalFormatting sqref="O71">
    <cfRule type="cellIs" dxfId="1763" priority="26" operator="greaterThan">
      <formula>0</formula>
    </cfRule>
  </conditionalFormatting>
  <conditionalFormatting sqref="P71">
    <cfRule type="cellIs" dxfId="1762" priority="29" operator="lessThan">
      <formula>0</formula>
    </cfRule>
  </conditionalFormatting>
  <conditionalFormatting sqref="Q71">
    <cfRule type="cellIs" dxfId="1761" priority="27" operator="greaterThan">
      <formula>1</formula>
    </cfRule>
    <cfRule type="cellIs" dxfId="1760" priority="28" operator="lessThan">
      <formula>0.8</formula>
    </cfRule>
  </conditionalFormatting>
  <conditionalFormatting sqref="R71">
    <cfRule type="cellIs" dxfId="1759" priority="30" operator="lessThan">
      <formula>0.8</formula>
    </cfRule>
  </conditionalFormatting>
  <conditionalFormatting sqref="O18:O19">
    <cfRule type="cellIs" dxfId="1758" priority="21" operator="greaterThan">
      <formula>0</formula>
    </cfRule>
  </conditionalFormatting>
  <conditionalFormatting sqref="P18:P19">
    <cfRule type="cellIs" dxfId="1757" priority="24" operator="lessThan">
      <formula>0</formula>
    </cfRule>
  </conditionalFormatting>
  <conditionalFormatting sqref="Q18:Q19">
    <cfRule type="cellIs" dxfId="1756" priority="22" operator="greaterThan">
      <formula>1</formula>
    </cfRule>
    <cfRule type="cellIs" dxfId="1755" priority="23" operator="lessThan">
      <formula>0.8</formula>
    </cfRule>
  </conditionalFormatting>
  <conditionalFormatting sqref="R18:R19 AG18:AG19">
    <cfRule type="cellIs" dxfId="1754" priority="25" operator="lessThan">
      <formula>0.8</formula>
    </cfRule>
  </conditionalFormatting>
  <conditionalFormatting sqref="R28 AG28">
    <cfRule type="cellIs" dxfId="1753" priority="20" operator="lessThan">
      <formula>0.8</formula>
    </cfRule>
  </conditionalFormatting>
  <conditionalFormatting sqref="AG28">
    <cfRule type="cellIs" dxfId="1752" priority="19" operator="lessThan">
      <formula>0.8</formula>
    </cfRule>
  </conditionalFormatting>
  <conditionalFormatting sqref="O60">
    <cfRule type="cellIs" dxfId="1751" priority="14" operator="greaterThan">
      <formula>0</formula>
    </cfRule>
  </conditionalFormatting>
  <conditionalFormatting sqref="P60 AE60">
    <cfRule type="cellIs" dxfId="1750" priority="17" operator="lessThan">
      <formula>0</formula>
    </cfRule>
  </conditionalFormatting>
  <conditionalFormatting sqref="Q60 AF60">
    <cfRule type="cellIs" dxfId="1749" priority="15" operator="greaterThan">
      <formula>1</formula>
    </cfRule>
    <cfRule type="cellIs" dxfId="1748" priority="16" operator="lessThan">
      <formula>0.8</formula>
    </cfRule>
  </conditionalFormatting>
  <conditionalFormatting sqref="R60 AG60">
    <cfRule type="cellIs" dxfId="1747" priority="18" operator="lessThan">
      <formula>0.8</formula>
    </cfRule>
  </conditionalFormatting>
  <conditionalFormatting sqref="O20">
    <cfRule type="cellIs" dxfId="1746" priority="9" operator="greaterThan">
      <formula>0</formula>
    </cfRule>
  </conditionalFormatting>
  <conditionalFormatting sqref="P20">
    <cfRule type="cellIs" dxfId="1745" priority="12" operator="lessThan">
      <formula>0</formula>
    </cfRule>
  </conditionalFormatting>
  <conditionalFormatting sqref="Q20">
    <cfRule type="cellIs" dxfId="1744" priority="10" operator="greaterThan">
      <formula>1</formula>
    </cfRule>
    <cfRule type="cellIs" dxfId="1743" priority="11" operator="lessThan">
      <formula>0.8</formula>
    </cfRule>
  </conditionalFormatting>
  <conditionalFormatting sqref="AG20 R20">
    <cfRule type="cellIs" dxfId="1742" priority="13" operator="lessThan">
      <formula>0.8</formula>
    </cfRule>
  </conditionalFormatting>
  <conditionalFormatting sqref="P9">
    <cfRule type="cellIs" dxfId="1741" priority="8" operator="lessThan">
      <formula>0</formula>
    </cfRule>
  </conditionalFormatting>
  <conditionalFormatting sqref="P21">
    <cfRule type="cellIs" dxfId="1740" priority="7" operator="lessThan">
      <formula>0</formula>
    </cfRule>
  </conditionalFormatting>
  <conditionalFormatting sqref="P30">
    <cfRule type="cellIs" dxfId="1739" priority="6" operator="lessThan">
      <formula>0</formula>
    </cfRule>
  </conditionalFormatting>
  <conditionalFormatting sqref="P38">
    <cfRule type="cellIs" dxfId="1738" priority="5" operator="lessThan">
      <formula>0</formula>
    </cfRule>
  </conditionalFormatting>
  <conditionalFormatting sqref="P51">
    <cfRule type="cellIs" dxfId="1737" priority="4" operator="lessThan">
      <formula>0</formula>
    </cfRule>
  </conditionalFormatting>
  <conditionalFormatting sqref="P58">
    <cfRule type="cellIs" dxfId="1736" priority="3" operator="lessThan">
      <formula>0</formula>
    </cfRule>
  </conditionalFormatting>
  <conditionalFormatting sqref="P64">
    <cfRule type="cellIs" dxfId="1735" priority="2" operator="lessThan">
      <formula>0</formula>
    </cfRule>
  </conditionalFormatting>
  <conditionalFormatting sqref="P72">
    <cfRule type="cellIs" dxfId="1734" priority="1" operator="lessThan">
      <formula>0</formula>
    </cfRule>
  </conditionalFormatting>
  <dataValidations count="1">
    <dataValidation type="list" allowBlank="1" showInputMessage="1" showErrorMessage="1" sqref="AB9 AA5:AB8 AB63 AA9:AA63 AB11:AB59 AA64:AB72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Q10" sqref="Q10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612" t="s">
        <v>623</v>
      </c>
      <c r="C1" s="612"/>
      <c r="D1" s="612"/>
      <c r="E1" s="612"/>
      <c r="F1" s="612"/>
      <c r="G1" s="612"/>
      <c r="H1" s="612"/>
      <c r="I1" s="612"/>
      <c r="J1" s="612"/>
      <c r="K1" s="51"/>
      <c r="L1" s="51"/>
      <c r="M1" s="51"/>
      <c r="N1" s="51"/>
      <c r="O1" s="51"/>
      <c r="P1" s="51"/>
    </row>
    <row r="2" spans="2:17" ht="27.75" customHeight="1">
      <c r="B2" s="613"/>
      <c r="C2" s="613"/>
      <c r="D2" s="613"/>
      <c r="E2" s="613"/>
      <c r="F2" s="613"/>
      <c r="G2" s="613"/>
      <c r="H2" s="613"/>
      <c r="I2" s="613"/>
      <c r="J2" s="613"/>
      <c r="K2" s="53"/>
      <c r="L2" s="53"/>
      <c r="M2" s="53"/>
      <c r="N2" s="51"/>
      <c r="O2" s="51"/>
      <c r="P2" s="51"/>
    </row>
    <row r="3" spans="2:17" ht="46.5" customHeight="1">
      <c r="B3" s="54" t="s">
        <v>2250</v>
      </c>
      <c r="C3" s="614" t="str">
        <f>TEXT('0824 4度C'!A2,"yyyy.mm.ddaaaa")</f>
        <v>2026.08.24星期一</v>
      </c>
      <c r="D3" s="615"/>
      <c r="E3" s="54" t="s">
        <v>625</v>
      </c>
      <c r="F3" s="616">
        <f>'0824 4度C'!D1</f>
        <v>185363</v>
      </c>
      <c r="G3" s="617"/>
      <c r="H3" s="54" t="s">
        <v>626</v>
      </c>
      <c r="I3" s="618">
        <f>'0824 4度C'!F1</f>
        <v>6465800.8600000003</v>
      </c>
      <c r="J3" s="619"/>
      <c r="K3" s="55"/>
      <c r="L3" s="56"/>
      <c r="M3" s="57"/>
      <c r="N3" s="57"/>
    </row>
    <row r="4" spans="2:17" ht="28.5" customHeight="1">
      <c r="B4" s="620" t="s">
        <v>627</v>
      </c>
      <c r="C4" s="606" t="s">
        <v>722</v>
      </c>
      <c r="D4" s="607"/>
      <c r="E4" s="623" t="s">
        <v>723</v>
      </c>
      <c r="F4" s="624"/>
      <c r="G4" s="623" t="s">
        <v>724</v>
      </c>
      <c r="H4" s="624"/>
      <c r="I4" s="623" t="s">
        <v>725</v>
      </c>
      <c r="J4" s="624"/>
      <c r="K4" s="604" t="s">
        <v>2251</v>
      </c>
      <c r="L4" s="605"/>
      <c r="M4" s="605" t="s">
        <v>2252</v>
      </c>
      <c r="N4" s="605"/>
    </row>
    <row r="5" spans="2:17" ht="28.5" customHeight="1">
      <c r="B5" s="621"/>
      <c r="C5" s="606" t="s">
        <v>2253</v>
      </c>
      <c r="D5" s="607"/>
      <c r="E5" s="606" t="s">
        <v>2254</v>
      </c>
      <c r="F5" s="607"/>
      <c r="G5" s="608" t="s">
        <v>2255</v>
      </c>
      <c r="H5" s="609"/>
      <c r="I5" s="610" t="s">
        <v>2256</v>
      </c>
      <c r="J5" s="611"/>
      <c r="K5" s="58" t="s">
        <v>2257</v>
      </c>
      <c r="L5" s="59" t="s">
        <v>2258</v>
      </c>
      <c r="M5" s="58" t="s">
        <v>2257</v>
      </c>
      <c r="N5" s="59" t="s">
        <v>2259</v>
      </c>
    </row>
    <row r="6" spans="2:17" ht="28.5" customHeight="1">
      <c r="B6" s="621"/>
      <c r="C6" s="606" t="s">
        <v>169</v>
      </c>
      <c r="D6" s="607"/>
      <c r="E6" s="598">
        <f>AVERAGE(D13:M13)</f>
        <v>156.15354159778698</v>
      </c>
      <c r="F6" s="599">
        <f>AVERAGE(D31:O31,D13:J13)</f>
        <v>163.75148697904757</v>
      </c>
      <c r="G6" s="600">
        <f>AVERAGE(D13:J13)</f>
        <v>163.75148697904757</v>
      </c>
      <c r="H6" s="601"/>
      <c r="I6" s="600">
        <f>AVERAGE(K13:M13)</f>
        <v>138.4250023748456</v>
      </c>
      <c r="J6" s="601"/>
      <c r="K6" s="602">
        <f>'0824 4度C'!Y2</f>
        <v>0</v>
      </c>
      <c r="L6" s="587">
        <f>'0824 4度C'!Z2</f>
        <v>0</v>
      </c>
      <c r="M6" s="603">
        <f>'0824 4度C'!AC2</f>
        <v>57</v>
      </c>
      <c r="N6" s="587">
        <f>'0824 4度C'!AD2</f>
        <v>0</v>
      </c>
    </row>
    <row r="7" spans="2:17" ht="28.5" customHeight="1">
      <c r="B7" s="621"/>
      <c r="C7" s="588" t="s">
        <v>170</v>
      </c>
      <c r="D7" s="589"/>
      <c r="E7" s="590">
        <f>AVERAGE(D14:M14)</f>
        <v>149.56856453129308</v>
      </c>
      <c r="F7" s="591">
        <f>AVERAGE(D32:O32,D14:J14)</f>
        <v>157.03334479770447</v>
      </c>
      <c r="G7" s="592">
        <f>AVERAGE(D14:J14)</f>
        <v>157.03334479770447</v>
      </c>
      <c r="H7" s="593"/>
      <c r="I7" s="592">
        <f>AVERAGE(K14:M14)</f>
        <v>132.15074390966652</v>
      </c>
      <c r="J7" s="593"/>
      <c r="K7" s="602"/>
      <c r="L7" s="587"/>
      <c r="M7" s="603"/>
      <c r="N7" s="587"/>
    </row>
    <row r="8" spans="2:17" ht="28.5" customHeight="1">
      <c r="B8" s="622"/>
      <c r="C8" s="588" t="s">
        <v>171</v>
      </c>
      <c r="D8" s="589"/>
      <c r="E8" s="594">
        <f>AVERAGE(D15:M15)</f>
        <v>0.95740021918978579</v>
      </c>
      <c r="F8" s="595">
        <f>AVERAGE(D15:J15,D33:O33)</f>
        <v>0.95860046223079631</v>
      </c>
      <c r="G8" s="596">
        <f>AVERAGE(D15:J15)</f>
        <v>0.95860046223079631</v>
      </c>
      <c r="H8" s="597"/>
      <c r="I8" s="596">
        <f>AVERAGE(K15:M15)</f>
        <v>0.95459965209409459</v>
      </c>
      <c r="J8" s="597"/>
      <c r="K8" s="602"/>
      <c r="L8" s="587"/>
      <c r="M8" s="603"/>
      <c r="N8" s="587"/>
    </row>
    <row r="9" spans="2:17" ht="28.5" customHeight="1" thickBot="1">
      <c r="H9" s="61"/>
      <c r="K9" s="62" t="s">
        <v>1109</v>
      </c>
      <c r="N9" s="57"/>
      <c r="O9" s="57"/>
      <c r="P9" s="57"/>
      <c r="Q9" s="57"/>
    </row>
    <row r="10" spans="2:17" ht="30" customHeight="1">
      <c r="B10" s="570" t="s">
        <v>1110</v>
      </c>
      <c r="C10" s="571"/>
      <c r="D10" s="572" t="s">
        <v>1393</v>
      </c>
      <c r="E10" s="573"/>
      <c r="F10" s="573"/>
      <c r="G10" s="573"/>
      <c r="H10" s="573"/>
      <c r="I10" s="573"/>
      <c r="J10" s="574"/>
      <c r="K10" s="575" t="s">
        <v>1394</v>
      </c>
      <c r="L10" s="576"/>
      <c r="M10" s="577"/>
      <c r="P10" s="63"/>
      <c r="Q10" s="63"/>
    </row>
    <row r="11" spans="2:17" ht="17.25" customHeight="1">
      <c r="B11" s="578" t="s">
        <v>1113</v>
      </c>
      <c r="C11" s="579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80"/>
      <c r="C12" s="581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582" t="s">
        <v>26</v>
      </c>
      <c r="C13" s="70" t="s">
        <v>547</v>
      </c>
      <c r="D13" s="71">
        <f>SUMIFS('0824 4度C'!$K:$K,'0824 4度C'!$A:$A,"新豐6線",'0824 4度C'!$B:$B,"平均")</f>
        <v>129.03225806451613</v>
      </c>
      <c r="E13" s="72">
        <f>SUMIFS('0824 4度C'!$K:$K,'0824 4度C'!$A:$A,"新豐2線",'0824 4度C'!$B:$B,"平均")</f>
        <v>83.333333333333329</v>
      </c>
      <c r="F13" s="73">
        <f>SUMIFS('0824 4度C'!$K:$K,'0824 4度C'!$A:$A,"新豐5線",'0824 4度C'!$B:$B,"平均")</f>
        <v>93.75</v>
      </c>
      <c r="G13" s="73">
        <f>SUMIFS('0824 4度C'!$K:$K,'0824 4度C'!$A:$A,"新豐7線",'0824 4度C'!$B:$B,"平均")</f>
        <v>123.89380530973452</v>
      </c>
      <c r="H13" s="73">
        <f>SUMIFS('0824 4度C'!$K:$K,'0824 4度C'!$A:$A,"新豐3線",'0824 4度C'!$B:$B,"平均")</f>
        <v>315.78947368421052</v>
      </c>
      <c r="I13" s="73">
        <f>SUMIFS('0824 4度C'!$K:$K,'0824 4度C'!$A:$A,"新豐1線",'0824 4度C'!$B:$B,"平均")</f>
        <v>112</v>
      </c>
      <c r="J13" s="74">
        <f>SUMIFS('0824 4度C'!$K:$K,'0824 4度C'!$A:$A,"新豐10線",'0824 4度C'!$B:$B,"平均")</f>
        <v>288.46153846153845</v>
      </c>
      <c r="K13" s="75">
        <f>SUMIFS('0824 4度C'!$K:$K,'0824 4度C'!$A:$A,"新豐8線",'0824 4度C'!$B:$B,"平均")</f>
        <v>144.82758620689654</v>
      </c>
      <c r="L13" s="76">
        <f>SUMIFS('0824 4度C'!$K:$K,'0824 4度C'!$A:$A,"新豐9線",'0824 4度C'!$B:$B,"平均")</f>
        <v>125.61983471074382</v>
      </c>
      <c r="M13" s="74">
        <f>SUMIFS('0824 4度C'!$K:$K,'0824 4度C'!$A:$A,"新豐4線",'0824 4度C'!$B:$B,"平均")</f>
        <v>144.82758620689654</v>
      </c>
    </row>
    <row r="14" spans="2:17" ht="39.6" customHeight="1">
      <c r="B14" s="583"/>
      <c r="C14" s="77" t="s">
        <v>548</v>
      </c>
      <c r="D14" s="78">
        <f>SUMIFS('0824 4度C'!$N:$N,'0824 4度C'!$A:$A,"新豐6線",'0824 4度C'!$B:$B,"平均")</f>
        <v>124.08467063079399</v>
      </c>
      <c r="E14" s="79">
        <f>SUMIFS('0824 4度C'!$N:$N,'0824 4度C'!$A:$A,"新豐2線",'0824 4度C'!$B:$B,"平均")</f>
        <v>79.466808776019278</v>
      </c>
      <c r="F14" s="79">
        <f>SUMIFS('0824 4度C'!$N:$N,'0824 4度C'!$A:$A,"新豐5線",'0824 4度C'!$B:$B,"平均")</f>
        <v>90.027899891709978</v>
      </c>
      <c r="G14" s="79">
        <f>SUMIFS('0824 4度C'!$N:$N,'0824 4度C'!$A:$A,"新豐7線",'0824 4度C'!$B:$B,"平均")</f>
        <v>118.42848453331082</v>
      </c>
      <c r="H14" s="79">
        <f>SUMIFS('0824 4度C'!$N:$N,'0824 4度C'!$A:$A,"新豐3線",'0824 4度C'!$B:$B,"平均")</f>
        <v>302.43051535949053</v>
      </c>
      <c r="I14" s="79">
        <f>SUMIFS('0824 4度C'!$N:$N,'0824 4度C'!$A:$A,"新豐1線",'0824 4度C'!$B:$B,"平均")</f>
        <v>107.49142556130252</v>
      </c>
      <c r="J14" s="80">
        <f>SUMIFS('0824 4度C'!$N:$N,'0824 4度C'!$A:$A,"新豐10線",'0824 4度C'!$B:$B,"平均")</f>
        <v>277.30360883130402</v>
      </c>
      <c r="K14" s="81">
        <f>SUMIFS('0824 4度C'!$N:$N,'0824 4度C'!$A:$A,"新豐8線",'0824 4度C'!$B:$B,"平均")</f>
        <v>138.35804458839738</v>
      </c>
      <c r="L14" s="82">
        <f>SUMIFS('0824 4度C'!$N:$N,'0824 4度C'!$A:$A,"新豐9線",'0824 4度C'!$B:$B,"平均")</f>
        <v>119.71486087415406</v>
      </c>
      <c r="M14" s="80">
        <f>SUMIFS('0824 4度C'!$N:$N,'0824 4度C'!$A:$A,"新豐4線",'0824 4度C'!$B:$B,"平均")</f>
        <v>138.37932626644809</v>
      </c>
    </row>
    <row r="15" spans="2:17" ht="40.15" customHeight="1">
      <c r="B15" s="584"/>
      <c r="C15" s="83" t="s">
        <v>1399</v>
      </c>
      <c r="D15" s="84">
        <f t="shared" ref="D15:M15" si="0">D14/D13</f>
        <v>0.96165619738865349</v>
      </c>
      <c r="E15" s="85">
        <f t="shared" si="0"/>
        <v>0.95360170531223143</v>
      </c>
      <c r="F15" s="85">
        <f t="shared" si="0"/>
        <v>0.9602975988449064</v>
      </c>
      <c r="G15" s="85">
        <f t="shared" si="0"/>
        <v>0.95588705373315164</v>
      </c>
      <c r="H15" s="85">
        <f t="shared" si="0"/>
        <v>0.95769663197172006</v>
      </c>
      <c r="I15" s="85">
        <f t="shared" si="0"/>
        <v>0.95974487108305817</v>
      </c>
      <c r="J15" s="86">
        <f t="shared" si="0"/>
        <v>0.96131917728185401</v>
      </c>
      <c r="K15" s="84">
        <f t="shared" si="0"/>
        <v>0.95532935549131526</v>
      </c>
      <c r="L15" s="85">
        <f t="shared" si="0"/>
        <v>0.95299330037977892</v>
      </c>
      <c r="M15" s="86">
        <f t="shared" si="0"/>
        <v>0.95547630041118925</v>
      </c>
    </row>
    <row r="16" spans="2:17" ht="17.25" customHeight="1">
      <c r="B16" s="585" t="s">
        <v>1210</v>
      </c>
      <c r="C16" s="87" t="s">
        <v>551</v>
      </c>
      <c r="D16" s="88">
        <f>VLOOKUP("新豐6線",'0824 4度C'!$A:$T,19,0)</f>
        <v>0.70833333333333337</v>
      </c>
      <c r="E16" s="89">
        <f>VLOOKUP("新豐2線",'0824 4度C'!$A:$T,19,0)</f>
        <v>8.3333333333333329E-2</v>
      </c>
      <c r="F16" s="89">
        <f>VLOOKUP("新豐5線",'0824 4度C'!$A:$T,19,0)</f>
        <v>0.20833333333333334</v>
      </c>
      <c r="G16" s="89">
        <f>VLOOKUP("新豐7線",'0824 4度C'!$A:$T,19,0)</f>
        <v>0.20833333333333334</v>
      </c>
      <c r="H16" s="89">
        <f>VLOOKUP("新豐3線",'0824 4度C'!$A:$T,19,0)</f>
        <v>0.20833333333333334</v>
      </c>
      <c r="I16" s="89">
        <f>VLOOKUP("新豐1線",'0824 4度C'!$A:$T,19,0)</f>
        <v>0.20833333333333334</v>
      </c>
      <c r="J16" s="90">
        <f>VLOOKUP("新豐10線",'0824 4度C'!$A:$T,19,0)</f>
        <v>0.20833333333333334</v>
      </c>
      <c r="K16" s="91">
        <f>VLOOKUP("新豐8線",'0824 4度C'!$A:$T,19,0)</f>
        <v>8.3333333333333329E-2</v>
      </c>
      <c r="L16" s="92">
        <f>VLOOKUP("新豐9線",'0824 4度C'!$A:$T,19,0)</f>
        <v>8.3333333333333329E-2</v>
      </c>
      <c r="M16" s="93">
        <f>VLOOKUP("新豐4線",'0824 4度C'!$A:$T,19,0)</f>
        <v>8.3333333333333329E-2</v>
      </c>
    </row>
    <row r="17" spans="2:13" ht="17.25" customHeight="1">
      <c r="B17" s="586"/>
      <c r="C17" s="87" t="s">
        <v>1120</v>
      </c>
      <c r="D17" s="91">
        <f>LOOKUP(2,1/(('0824 4度C'!$A:$A="新豐6線")*('0824 4度C'!$T:$T&lt;&gt;"")),'0824 4度C'!$T:$T)</f>
        <v>0.92152777777777783</v>
      </c>
      <c r="E17" s="89">
        <f>LOOKUP(2,1/(('0824 4度C'!$A:$A="新豐2線")*('0824 4度C'!$T:$T&lt;&gt;"")),'0824 4度C'!$T:$T)</f>
        <v>0.46319444444444446</v>
      </c>
      <c r="F17" s="89">
        <f>LOOKUP(2,1/(('0824 4度C'!$A:$A="新豐5線")*('0824 4度C'!$T:$T&lt;&gt;"")),'0824 4度C'!$T:$T)</f>
        <v>0.85416666666666663</v>
      </c>
      <c r="G17" s="89">
        <f>LOOKUP(2,1/(('0824 4度C'!$A:$A="新豐7線")*('0824 4度C'!$T:$T&lt;&gt;"")),'0824 4度C'!$T:$T)</f>
        <v>0.85416666666666663</v>
      </c>
      <c r="H17" s="89">
        <f>LOOKUP(2,1/(('0824 4度C'!$A:$A="新豐3線")*('0824 4度C'!$T:$T&lt;&gt;"")),'0824 4度C'!$T:$T)</f>
        <v>0.45902777777777776</v>
      </c>
      <c r="I17" s="89">
        <f>LOOKUP(2,1/(('0824 4度C'!$A:$A="新豐1線")*('0824 4度C'!$T:$T&lt;&gt;"")),'0824 4度C'!$T:$T)</f>
        <v>0.83263888888888893</v>
      </c>
      <c r="J17" s="90">
        <f>LOOKUP(2,1/(('0824 4度C'!$A:$A="新豐10線")*('0824 4度C'!$T:$T&lt;&gt;"")),'0824 4度C'!$T:$T)</f>
        <v>0.45624999999999993</v>
      </c>
      <c r="K17" s="88">
        <f>LOOKUP(2,1/(('0824 4度C'!$A:$A="新豐8線")*('0824 4度C'!$T:$T&lt;&gt;"")),'0824 4度C'!$T:$T)</f>
        <v>0.68958333333333333</v>
      </c>
      <c r="L17" s="89">
        <f>LOOKUP(2,1/(('0824 4度C'!$A:$A="新豐9線")*('0824 4度C'!$T:$T&lt;&gt;"")),'0824 4度C'!$T:$T)</f>
        <v>0.69791666666666652</v>
      </c>
      <c r="M17" s="90">
        <f>LOOKUP(2,1/(('0824 4度C'!$A:$A="新豐4線")*('0824 4度C'!$T:$T&lt;&gt;"")),'0824 4度C'!$T:$T)</f>
        <v>0.68888888888888877</v>
      </c>
    </row>
    <row r="18" spans="2:13" ht="17.25" customHeight="1">
      <c r="B18" s="564" t="s">
        <v>553</v>
      </c>
      <c r="C18" s="94" t="s">
        <v>2260</v>
      </c>
      <c r="D18" s="95">
        <f>SUMIFS('0824 4度C'!$Y:$Y,'0824 4度C'!$A:$A,"新豐6線",'0824 4度C'!$B:$B,"平均")</f>
        <v>0</v>
      </c>
      <c r="E18" s="96">
        <f>SUMIFS('0824 4度C'!$Y:$Y,'0824 4度C'!$A:$A,"新豐2線",'0824 4度C'!$B:$B,"平均")</f>
        <v>0</v>
      </c>
      <c r="F18" s="96">
        <f>SUMIFS('0824 4度C'!$Y:$Y,'0824 4度C'!$A:$A,"新豐5線",'0824 4度C'!$B:$B,"平均")</f>
        <v>0</v>
      </c>
      <c r="G18" s="96">
        <f>SUMIFS('0824 4度C'!$Y:$Y,'0824 4度C'!$A:$A,"新豐7線",'0824 4度C'!$B:$B,"平均")</f>
        <v>0</v>
      </c>
      <c r="H18" s="96">
        <f>SUMIFS('0824 4度C'!$Y:$Y,'0824 4度C'!$A:$A,"新豐3線",'0824 4度C'!$B:$B,"平均")</f>
        <v>0</v>
      </c>
      <c r="I18" s="96">
        <f>SUMIFS('0824 4度C'!$Y:$Y,'0824 4度C'!$A:$A,"新豐1線",'0824 4度C'!$B:$B,"平均")</f>
        <v>0</v>
      </c>
      <c r="J18" s="97">
        <f>SUMIFS('0824 4度C'!$Y:$Y,'0824 4度C'!$A:$A,"新豐10線",'0824 4度C'!$B:$B,"平均")</f>
        <v>0</v>
      </c>
      <c r="K18" s="98">
        <f>SUMIFS('0824 4度C'!$Y:$Y,'0824 4度C'!$A:$A,"新豐8線",'0824 4度C'!$B:$B,"平均")</f>
        <v>0</v>
      </c>
      <c r="L18" s="96">
        <f>SUMIFS('0824 4度C'!$Y:$Y,'0824 4度C'!$A:$A,"新豐9線",'0824 4度C'!$B:$B,"平均")</f>
        <v>0</v>
      </c>
      <c r="M18" s="97">
        <f>SUMIFS('0824 4度C'!$Y:$Y,'0824 4度C'!$A:$A,"新豐4線",'0824 4度C'!$B:$B,"平均")</f>
        <v>0</v>
      </c>
    </row>
    <row r="19" spans="2:13" ht="17.25" customHeight="1">
      <c r="B19" s="565"/>
      <c r="C19" s="94" t="s">
        <v>555</v>
      </c>
      <c r="D19" s="95">
        <f>SUMIFS('0824 4度C'!$Z:$Z,'0824 4度C'!$A:$A,"新豐6線",'0824 4度C'!$B:$B,"平均")</f>
        <v>0</v>
      </c>
      <c r="E19" s="96">
        <f>SUMIFS('0824 4度C'!$Z:$Z,'0824 4度C'!$A:$A,"新豐2線",'0824 4度C'!$B:$B,"平均")</f>
        <v>0</v>
      </c>
      <c r="F19" s="96">
        <f>SUMIFS('0824 4度C'!$Z:$Z,'0824 4度C'!$A:$A,"新豐5線",'0824 4度C'!$B:$B,"平均")</f>
        <v>0</v>
      </c>
      <c r="G19" s="96">
        <f>SUMIFS('0824 4度C'!$Z:$Z,'0824 4度C'!$A:$A,"新豐7線",'0824 4度C'!$B:$B,"平均")</f>
        <v>0</v>
      </c>
      <c r="H19" s="96">
        <f>SUMIFS('0824 4度C'!$Z:$Z,'0824 4度C'!$A:$A,"新豐3線",'0824 4度C'!$B:$B,"平均")</f>
        <v>0</v>
      </c>
      <c r="I19" s="96">
        <f>SUMIFS('0824 4度C'!$Z:$Z,'0824 4度C'!$A:$A,"新豐1線",'0824 4度C'!$B:$B,"平均")</f>
        <v>0</v>
      </c>
      <c r="J19" s="97">
        <f>SUMIFS('0824 4度C'!$Z:$Z,'0824 4度C'!$A:$A,"新豐10線",'0824 4度C'!$B:$B,"平均")</f>
        <v>0</v>
      </c>
      <c r="K19" s="98">
        <f>SUMIFS('0824 4度C'!$Z:$Z,'0824 4度C'!$A:$A,"新豐8線",'0824 4度C'!$B:$B,"平均")</f>
        <v>0</v>
      </c>
      <c r="L19" s="96">
        <f>SUMIFS('0824 4度C'!$Z:$Z,'0824 4度C'!$A:$A,"新豐9線",'0824 4度C'!$B:$B,"平均")</f>
        <v>0</v>
      </c>
      <c r="M19" s="97">
        <f>SUMIFS('0824 4度C'!$Z:$Z,'0824 4度C'!$A:$A,"新豐4線",'0824 4度C'!$B:$B,"平均")</f>
        <v>0</v>
      </c>
    </row>
    <row r="20" spans="2:13" ht="17.25" customHeight="1">
      <c r="B20" s="564" t="s">
        <v>1406</v>
      </c>
      <c r="C20" s="94" t="s">
        <v>43</v>
      </c>
      <c r="D20" s="95">
        <f>SUMIFS('0824 4度C'!$AC:$AC,'0824 4度C'!$A:$A,"新豐6線",'0824 4度C'!$B:$B,"平均")</f>
        <v>4</v>
      </c>
      <c r="E20" s="96">
        <f>SUMIFS('0824 4度C'!$AC:$AC,'0824 4度C'!$A:$A,"新豐2線",'0824 4度C'!$B:$B,"平均")</f>
        <v>2</v>
      </c>
      <c r="F20" s="96">
        <f>SUMIFS('0824 4度C'!$AC:$AC,'0824 4度C'!$A:$A,"新豐5線",'0824 4度C'!$B:$B,"平均")</f>
        <v>7</v>
      </c>
      <c r="G20" s="96">
        <f>SUMIFS('0824 4度C'!$AC:$AC,'0824 4度C'!$A:$A,"新豐7線",'0824 4度C'!$B:$B,"平均")</f>
        <v>7</v>
      </c>
      <c r="H20" s="96">
        <f>SUMIFS('0824 4度C'!$AC:$AC,'0824 4度C'!$A:$A,"新豐3線",'0824 4度C'!$B:$B,"平均")</f>
        <v>4</v>
      </c>
      <c r="I20" s="96">
        <f>SUMIFS('0824 4度C'!$AC:$AC,'0824 4度C'!$A:$A,"新豐1線",'0824 4度C'!$B:$B,"平均")</f>
        <v>7</v>
      </c>
      <c r="J20" s="97">
        <f>SUMIFS('0824 4度C'!$AC:$AC,'0824 4度C'!$A:$A,"新豐10線",'0824 4度C'!$B:$B,"平均")</f>
        <v>5</v>
      </c>
      <c r="K20" s="98">
        <f>SUMIFS('0824 4度C'!$AC:$AC,'0824 4度C'!$A:$A,"新豐8線",'0824 4度C'!$B:$B,"平均")</f>
        <v>7</v>
      </c>
      <c r="L20" s="96">
        <f>SUMIFS('0824 4度C'!$AC:$AC,'0824 4度C'!$A:$A,"新豐9線",'0824 4度C'!$B:$B,"平均")</f>
        <v>7</v>
      </c>
      <c r="M20" s="97">
        <f>SUMIFS('0824 4度C'!$AC:$AC,'0824 4度C'!$A:$A,"新豐4線",'0824 4度C'!$B:$B,"平均")</f>
        <v>7</v>
      </c>
    </row>
    <row r="21" spans="2:13" ht="17.25" customHeight="1">
      <c r="B21" s="565"/>
      <c r="C21" s="94" t="s">
        <v>1125</v>
      </c>
      <c r="D21" s="95">
        <f>SUMIFS('0824 4度C'!$AD:$AD,'0824 4度C'!$A:$A,"新豐6線",'0824 4度C'!$B:$B,"平均")</f>
        <v>0</v>
      </c>
      <c r="E21" s="96">
        <f>SUMIFS('0824 4度C'!$AD:$AD,'0824 4度C'!$A:$A,"新豐2線",'0824 4度C'!$B:$B,"平均")</f>
        <v>0</v>
      </c>
      <c r="F21" s="96">
        <f>SUMIFS('0824 4度C'!$AD:$AD,'0824 4度C'!$A:$A,"新豐5線",'0824 4度C'!$B:$B,"平均")</f>
        <v>0</v>
      </c>
      <c r="G21" s="96">
        <f>SUMIFS('0824 4度C'!$AD:$AD,'0824 4度C'!$A:$A,"新豐7線",'0824 4度C'!$B:$B,"平均")</f>
        <v>0</v>
      </c>
      <c r="H21" s="96">
        <f>SUMIFS('0824 4度C'!$AD:$AD,'0824 4度C'!$A:$A,"新豐3線",'0824 4度C'!$B:$B,"平均")</f>
        <v>0</v>
      </c>
      <c r="I21" s="96">
        <f>SUMIFS('0824 4度C'!$AD:$AD,'0824 4度C'!$A:$A,"新豐1線",'0824 4度C'!$B:$B,"平均")</f>
        <v>0</v>
      </c>
      <c r="J21" s="97">
        <f>SUMIFS('0824 4度C'!$AD:$AD,'0824 4度C'!$A:$A,"新豐10線",'0824 4度C'!$B:$B,"平均")</f>
        <v>0</v>
      </c>
      <c r="K21" s="98">
        <f>SUMIFS('0824 4度C'!$AD:$AD,'0824 4度C'!$A:$A,"新豐8線",'0824 4度C'!$B:$B,"平均")</f>
        <v>0</v>
      </c>
      <c r="L21" s="96">
        <f>SUMIFS('0824 4度C'!$AD:$AD,'0824 4度C'!$A:$A,"新豐9線",'0824 4度C'!$B:$B,"平均")</f>
        <v>0</v>
      </c>
      <c r="M21" s="97">
        <f>SUMIFS('0824 4度C'!$AD:$AD,'0824 4度C'!$A:$A,"新豐4線",'0824 4度C'!$B:$B,"平均")</f>
        <v>0</v>
      </c>
    </row>
    <row r="22" spans="2:13" ht="17.25" customHeight="1">
      <c r="B22" s="566" t="s">
        <v>558</v>
      </c>
      <c r="C22" s="567"/>
      <c r="D22" s="99">
        <f>SUMIFS('0824 4度C'!$I:$I,'0824 4度C'!$A:$A,"新豐6線",'0824 4度C'!$B:$B,"平均")</f>
        <v>15.5</v>
      </c>
      <c r="E22" s="100">
        <f>SUMIFS('0824 4度C'!$I:$I,'0824 4度C'!$A:$A,"新豐2線",'0824 4度C'!$B:$B,"平均")</f>
        <v>18</v>
      </c>
      <c r="F22" s="100">
        <f>SUMIFS('0824 4度C'!$I:$I,'0824 4度C'!$A:$A,"新豐5線",'0824 4度C'!$B:$B,"平均")</f>
        <v>18.285714285714285</v>
      </c>
      <c r="G22" s="100">
        <f>SUMIFS('0824 4度C'!$I:$I,'0824 4度C'!$A:$A,"新豐7線",'0824 4度C'!$B:$B,"平均")</f>
        <v>16.142857142857142</v>
      </c>
      <c r="H22" s="100">
        <f>SUMIFS('0824 4度C'!$I:$I,'0824 4度C'!$A:$A,"新豐3線",'0824 4度C'!$B:$B,"平均")</f>
        <v>9.5</v>
      </c>
      <c r="I22" s="100">
        <f>SUMIFS('0824 4度C'!$I:$I,'0824 4度C'!$A:$A,"新豐1線",'0824 4度C'!$B:$B,"平均")</f>
        <v>17.857142857142858</v>
      </c>
      <c r="J22" s="101">
        <f>SUMIFS('0824 4度C'!$I:$I,'0824 4度C'!$A:$A,"新豐10線",'0824 4度C'!$B:$B,"平均")</f>
        <v>10.4</v>
      </c>
      <c r="K22" s="99">
        <f>SUMIFS('0824 4度C'!$I:$I,'0824 4度C'!$A:$A,"新豐8線",'0824 4度C'!$B:$B,"平均")</f>
        <v>16.571428571428573</v>
      </c>
      <c r="L22" s="100">
        <f>SUMIFS('0824 4度C'!$I:$I,'0824 4度C'!$A:$A,"新豐9線",'0824 4度C'!$B:$B,"平均")</f>
        <v>17.285714285714285</v>
      </c>
      <c r="M22" s="101">
        <f>SUMIFS('0824 4度C'!$I:$I,'0824 4度C'!$A:$A,"新豐4線",'0824 4度C'!$B:$B,"平均")</f>
        <v>16.571428571428573</v>
      </c>
    </row>
    <row r="23" spans="2:13" ht="17.25" customHeight="1">
      <c r="B23" s="566" t="s">
        <v>559</v>
      </c>
      <c r="C23" s="567"/>
      <c r="D23" s="102" t="s">
        <v>202</v>
      </c>
      <c r="E23" s="103" t="s">
        <v>203</v>
      </c>
      <c r="F23" s="103" t="s">
        <v>2261</v>
      </c>
      <c r="G23" s="103" t="s">
        <v>2261</v>
      </c>
      <c r="H23" s="103" t="s">
        <v>205</v>
      </c>
      <c r="I23" s="103" t="s">
        <v>202</v>
      </c>
      <c r="J23" s="104" t="s">
        <v>205</v>
      </c>
      <c r="K23" s="102" t="s">
        <v>562</v>
      </c>
      <c r="L23" s="103" t="s">
        <v>562</v>
      </c>
      <c r="M23" s="104" t="s">
        <v>562</v>
      </c>
    </row>
    <row r="24" spans="2:13" ht="17.25" customHeight="1">
      <c r="B24" s="566" t="s">
        <v>563</v>
      </c>
      <c r="C24" s="567"/>
      <c r="D24" s="102"/>
      <c r="E24" s="103"/>
      <c r="F24" s="103" t="s">
        <v>564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68" t="s">
        <v>565</v>
      </c>
      <c r="C25" s="569"/>
      <c r="D25" s="105"/>
      <c r="E25" s="106" t="s">
        <v>566</v>
      </c>
      <c r="F25" s="562" t="s">
        <v>567</v>
      </c>
      <c r="G25" s="563"/>
      <c r="H25" s="106" t="s">
        <v>568</v>
      </c>
      <c r="I25" s="106" t="s">
        <v>569</v>
      </c>
      <c r="J25" s="107" t="s">
        <v>568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73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2"/>
  <sheetViews>
    <sheetView zoomScale="80" zoomScaleNormal="80" workbookViewId="0">
      <pane ySplit="4" topLeftCell="A41" activePane="bottomLeft" state="frozen"/>
      <selection activeCell="A9" sqref="A9"/>
      <selection pane="bottomLeft" activeCell="A5" sqref="A5:A9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41" customWidth="1"/>
    <col min="20" max="20" width="7.625" style="41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2262</v>
      </c>
      <c r="B1" s="1"/>
      <c r="C1" s="2" t="s">
        <v>2263</v>
      </c>
      <c r="D1" s="3">
        <f>SUM(F5:F71)</f>
        <v>185363</v>
      </c>
      <c r="E1" s="448" t="s">
        <v>2264</v>
      </c>
      <c r="F1" s="1">
        <f>SUM(G5:G71)</f>
        <v>6465800.8600000003</v>
      </c>
      <c r="G1" s="1" t="s">
        <v>2265</v>
      </c>
      <c r="H1" s="5">
        <f>L9+L12+L49+L57+L20+L63+L36+L44+L28+L71</f>
        <v>156.11428571428573</v>
      </c>
      <c r="I1" s="676" t="s">
        <v>2266</v>
      </c>
      <c r="J1" s="676"/>
      <c r="K1" s="676"/>
      <c r="L1" s="676" t="s">
        <v>2267</v>
      </c>
      <c r="M1" s="676"/>
      <c r="N1" s="676"/>
      <c r="O1" s="676" t="s">
        <v>2268</v>
      </c>
      <c r="P1" s="676"/>
      <c r="Q1" s="676"/>
      <c r="R1" s="676"/>
      <c r="S1" s="676" t="s">
        <v>2269</v>
      </c>
      <c r="T1" s="676"/>
      <c r="U1" s="676"/>
      <c r="V1" s="676"/>
      <c r="W1" s="676"/>
      <c r="X1" s="676"/>
      <c r="Y1" s="6" t="s">
        <v>2270</v>
      </c>
      <c r="Z1" s="7" t="s">
        <v>2271</v>
      </c>
      <c r="AA1" s="677" t="s">
        <v>2272</v>
      </c>
      <c r="AB1" s="677"/>
      <c r="AC1" s="8" t="s">
        <v>2270</v>
      </c>
      <c r="AD1" s="7" t="s">
        <v>2273</v>
      </c>
      <c r="AE1" s="676" t="s">
        <v>2274</v>
      </c>
      <c r="AF1" s="678"/>
      <c r="AG1" s="678"/>
    </row>
    <row r="2" spans="1:33" ht="26.25" customHeight="1">
      <c r="A2" s="35">
        <v>46258</v>
      </c>
      <c r="B2" s="36" t="s">
        <v>378</v>
      </c>
      <c r="C2" s="2" t="s">
        <v>2275</v>
      </c>
      <c r="D2" s="10">
        <f>AVERAGE(N9,N12,N49,N57,N20,N63,N28,N36,N44,N71)</f>
        <v>149.56856453129308</v>
      </c>
      <c r="E2" s="11" t="s">
        <v>14</v>
      </c>
      <c r="F2" s="12">
        <f>F1/D1</f>
        <v>34.881831109768399</v>
      </c>
      <c r="G2" s="1" t="s">
        <v>2276</v>
      </c>
      <c r="H2" s="456">
        <f>COUNT(H5:H71)</f>
        <v>7</v>
      </c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14">
        <f>SUM(Y9+Y12+Y20+Y28+Y36+Y44+Y49+Y57+Y63+Y71)</f>
        <v>0</v>
      </c>
      <c r="Z2" s="14">
        <f>SUM(Z9+Z12+Z20+Z28+Z36+Z44+Z49+Z57+Z63+Z71)</f>
        <v>0</v>
      </c>
      <c r="AA2" s="677"/>
      <c r="AB2" s="677"/>
      <c r="AC2" s="14">
        <v>57</v>
      </c>
      <c r="AD2" s="14">
        <f>SUM(AD9+AD12+AD20+AD28+AD36+AD44+AD49+AD57+AD63+AD71)</f>
        <v>0</v>
      </c>
      <c r="AE2" s="678"/>
      <c r="AF2" s="678"/>
      <c r="AG2" s="678"/>
    </row>
    <row r="3" spans="1:33" ht="40.5" customHeight="1">
      <c r="A3" s="632" t="s">
        <v>2277</v>
      </c>
      <c r="B3" s="632" t="s">
        <v>2278</v>
      </c>
      <c r="C3" s="632" t="s">
        <v>2279</v>
      </c>
      <c r="D3" s="632"/>
      <c r="E3" s="674" t="s">
        <v>2280</v>
      </c>
      <c r="F3" s="632" t="s">
        <v>2281</v>
      </c>
      <c r="G3" s="674" t="s">
        <v>2282</v>
      </c>
      <c r="H3" s="667" t="s">
        <v>2283</v>
      </c>
      <c r="I3" s="665" t="s">
        <v>2284</v>
      </c>
      <c r="J3" s="662" t="s">
        <v>2285</v>
      </c>
      <c r="K3" s="672" t="s">
        <v>2275</v>
      </c>
      <c r="L3" s="665" t="s">
        <v>2284</v>
      </c>
      <c r="M3" s="662" t="s">
        <v>2285</v>
      </c>
      <c r="N3" s="672" t="s">
        <v>2275</v>
      </c>
      <c r="O3" s="665" t="s">
        <v>2284</v>
      </c>
      <c r="P3" s="672" t="s">
        <v>2275</v>
      </c>
      <c r="Q3" s="663" t="s">
        <v>2286</v>
      </c>
      <c r="R3" s="641" t="s">
        <v>2287</v>
      </c>
      <c r="S3" s="673" t="s">
        <v>29</v>
      </c>
      <c r="T3" s="673"/>
      <c r="U3" s="667" t="s">
        <v>30</v>
      </c>
      <c r="V3" s="667" t="s">
        <v>2288</v>
      </c>
      <c r="W3" s="632" t="s">
        <v>2289</v>
      </c>
      <c r="X3" s="632"/>
      <c r="Y3" s="668" t="s">
        <v>2290</v>
      </c>
      <c r="Z3" s="631"/>
      <c r="AA3" s="669" t="s">
        <v>2291</v>
      </c>
      <c r="AB3" s="670"/>
      <c r="AC3" s="668" t="s">
        <v>2292</v>
      </c>
      <c r="AD3" s="631"/>
      <c r="AE3" s="662" t="s">
        <v>2293</v>
      </c>
      <c r="AF3" s="663" t="s">
        <v>2294</v>
      </c>
      <c r="AG3" s="641" t="s">
        <v>2295</v>
      </c>
    </row>
    <row r="4" spans="1:33" ht="15.75" customHeight="1">
      <c r="A4" s="632"/>
      <c r="B4" s="632"/>
      <c r="C4" s="632"/>
      <c r="D4" s="632"/>
      <c r="E4" s="675"/>
      <c r="F4" s="632"/>
      <c r="G4" s="675"/>
      <c r="H4" s="667"/>
      <c r="I4" s="665"/>
      <c r="J4" s="662"/>
      <c r="K4" s="672"/>
      <c r="L4" s="665"/>
      <c r="M4" s="662"/>
      <c r="N4" s="672"/>
      <c r="O4" s="665"/>
      <c r="P4" s="672"/>
      <c r="Q4" s="663"/>
      <c r="R4" s="641"/>
      <c r="S4" s="455" t="s">
        <v>39</v>
      </c>
      <c r="T4" s="455" t="s">
        <v>40</v>
      </c>
      <c r="U4" s="667"/>
      <c r="V4" s="667"/>
      <c r="W4" s="448" t="s">
        <v>2296</v>
      </c>
      <c r="X4" s="448" t="s">
        <v>2297</v>
      </c>
      <c r="Y4" s="447" t="s">
        <v>2298</v>
      </c>
      <c r="Z4" s="447" t="s">
        <v>2299</v>
      </c>
      <c r="AA4" s="671"/>
      <c r="AB4" s="670"/>
      <c r="AC4" s="447" t="s">
        <v>2300</v>
      </c>
      <c r="AD4" s="447" t="s">
        <v>2301</v>
      </c>
      <c r="AE4" s="662"/>
      <c r="AF4" s="663"/>
      <c r="AG4" s="641"/>
    </row>
    <row r="5" spans="1:33">
      <c r="A5" s="664" t="s">
        <v>2302</v>
      </c>
      <c r="B5" s="42" t="s">
        <v>92</v>
      </c>
      <c r="C5" s="666" t="s">
        <v>93</v>
      </c>
      <c r="D5" s="666"/>
      <c r="E5" s="42">
        <v>50.92</v>
      </c>
      <c r="F5" s="455">
        <v>2660</v>
      </c>
      <c r="G5" s="448">
        <f t="shared" ref="G5:G8" si="0">E5*F5</f>
        <v>135447.20000000001</v>
      </c>
      <c r="H5" s="37" t="s">
        <v>91</v>
      </c>
      <c r="I5" s="453">
        <v>15</v>
      </c>
      <c r="J5" s="39">
        <v>2000</v>
      </c>
      <c r="K5" s="17">
        <f t="shared" ref="K5:K68" si="1">J5/I5</f>
        <v>133.33333333333334</v>
      </c>
      <c r="L5" s="453">
        <v>15</v>
      </c>
      <c r="M5" s="18">
        <f t="shared" ref="M5:M8" si="2">F5/V5*60</f>
        <v>1922.8915662650595</v>
      </c>
      <c r="N5" s="17">
        <f t="shared" ref="N5:N68" si="3">M5/L5</f>
        <v>128.19277108433729</v>
      </c>
      <c r="O5" s="19">
        <f t="shared" ref="O5:O68" si="4">L5-I5</f>
        <v>0</v>
      </c>
      <c r="P5" s="20">
        <f t="shared" ref="P5:P68" si="5">N5-K5</f>
        <v>-5.1405622489960479</v>
      </c>
      <c r="Q5" s="449">
        <f t="shared" ref="Q5:Q68" si="6">N5/K5</f>
        <v>0.9614457831325296</v>
      </c>
      <c r="R5" s="637">
        <f>Q9</f>
        <v>0.96165619738865349</v>
      </c>
      <c r="S5" s="40">
        <v>0.70833333333333337</v>
      </c>
      <c r="T5" s="40">
        <v>0.76597222222222228</v>
      </c>
      <c r="U5" s="448"/>
      <c r="V5" s="454">
        <f t="shared" ref="V5:V8" si="7">(T5-S5)*24*60</f>
        <v>83.000000000000028</v>
      </c>
      <c r="W5" s="23"/>
      <c r="X5" s="23"/>
      <c r="Y5" s="24"/>
      <c r="Z5" s="24"/>
      <c r="AA5" s="632"/>
      <c r="AB5" s="632"/>
      <c r="AC5" s="25">
        <v>4</v>
      </c>
      <c r="AD5" s="25"/>
      <c r="AE5" s="19">
        <f t="shared" ref="AE5:AE56" si="8">M5-J5</f>
        <v>-77.10843373494049</v>
      </c>
      <c r="AF5" s="449">
        <f t="shared" ref="AF5:AF68" si="9">M5/J5</f>
        <v>0.96144578313252971</v>
      </c>
      <c r="AG5" s="637">
        <f>AF9</f>
        <v>0.96165619738865349</v>
      </c>
    </row>
    <row r="6" spans="1:33">
      <c r="A6" s="665" t="s">
        <v>2303</v>
      </c>
      <c r="B6" s="42" t="s">
        <v>92</v>
      </c>
      <c r="C6" s="666" t="s">
        <v>94</v>
      </c>
      <c r="D6" s="666"/>
      <c r="E6" s="42">
        <v>50.98</v>
      </c>
      <c r="F6" s="455">
        <v>1000</v>
      </c>
      <c r="G6" s="448">
        <f t="shared" si="0"/>
        <v>50980</v>
      </c>
      <c r="H6" s="37">
        <v>2</v>
      </c>
      <c r="I6" s="453">
        <v>16</v>
      </c>
      <c r="J6" s="39">
        <v>2000</v>
      </c>
      <c r="K6" s="17">
        <f t="shared" si="1"/>
        <v>125</v>
      </c>
      <c r="L6" s="453">
        <v>16</v>
      </c>
      <c r="M6" s="18">
        <f t="shared" si="2"/>
        <v>1935.483870967739</v>
      </c>
      <c r="N6" s="17">
        <f t="shared" si="3"/>
        <v>120.96774193548369</v>
      </c>
      <c r="O6" s="19">
        <f t="shared" si="4"/>
        <v>0</v>
      </c>
      <c r="P6" s="20">
        <f t="shared" si="5"/>
        <v>-4.0322580645163129</v>
      </c>
      <c r="Q6" s="449">
        <f t="shared" si="6"/>
        <v>0.96774193548386944</v>
      </c>
      <c r="R6" s="637"/>
      <c r="S6" s="40">
        <v>0.77013888888888893</v>
      </c>
      <c r="T6" s="40">
        <v>0.79166666666666674</v>
      </c>
      <c r="U6" s="448">
        <f t="shared" ref="U6:U8" si="10">IF(S6=TIME(17,0,0),"",(S6-T5)*24*60)</f>
        <v>5.9999999999999787</v>
      </c>
      <c r="V6" s="454">
        <f t="shared" si="7"/>
        <v>31.00000000000005</v>
      </c>
      <c r="W6" s="23"/>
      <c r="X6" s="23"/>
      <c r="Y6" s="23"/>
      <c r="Z6" s="23"/>
      <c r="AA6" s="632"/>
      <c r="AB6" s="632"/>
      <c r="AC6" s="25"/>
      <c r="AD6" s="25"/>
      <c r="AE6" s="19">
        <f t="shared" si="8"/>
        <v>-64.516129032261006</v>
      </c>
      <c r="AF6" s="449">
        <f t="shared" si="9"/>
        <v>0.96774193548386944</v>
      </c>
      <c r="AG6" s="637"/>
    </row>
    <row r="7" spans="1:33">
      <c r="A7" s="665" t="s">
        <v>2303</v>
      </c>
      <c r="B7" s="42" t="s">
        <v>92</v>
      </c>
      <c r="C7" s="660" t="s">
        <v>109</v>
      </c>
      <c r="D7" s="661"/>
      <c r="E7" s="42">
        <v>50.49</v>
      </c>
      <c r="F7" s="455">
        <v>2213</v>
      </c>
      <c r="G7" s="448">
        <f t="shared" si="0"/>
        <v>111734.37000000001</v>
      </c>
      <c r="H7" s="37" t="s">
        <v>91</v>
      </c>
      <c r="I7" s="453">
        <v>15</v>
      </c>
      <c r="J7" s="39">
        <v>2000</v>
      </c>
      <c r="K7" s="17">
        <f t="shared" si="1"/>
        <v>133.33333333333334</v>
      </c>
      <c r="L7" s="453">
        <v>15</v>
      </c>
      <c r="M7" s="18">
        <f t="shared" si="2"/>
        <v>1924.3478260869547</v>
      </c>
      <c r="N7" s="17">
        <f t="shared" si="3"/>
        <v>128.28985507246364</v>
      </c>
      <c r="O7" s="19">
        <f t="shared" si="4"/>
        <v>0</v>
      </c>
      <c r="P7" s="20">
        <f t="shared" si="5"/>
        <v>-5.0434782608697049</v>
      </c>
      <c r="Q7" s="449">
        <f t="shared" si="6"/>
        <v>0.96217391304347721</v>
      </c>
      <c r="R7" s="637"/>
      <c r="S7" s="40">
        <v>0.79513888888888895</v>
      </c>
      <c r="T7" s="40">
        <v>0.84305555555555567</v>
      </c>
      <c r="U7" s="448">
        <f t="shared" si="10"/>
        <v>4.9999999999999822</v>
      </c>
      <c r="V7" s="454">
        <f t="shared" si="7"/>
        <v>69.000000000000071</v>
      </c>
      <c r="W7" s="23">
        <f>T7</f>
        <v>0.84305555555555567</v>
      </c>
      <c r="X7" s="23">
        <f>S8</f>
        <v>0.88194444444444453</v>
      </c>
      <c r="Y7" s="26"/>
      <c r="Z7" s="26"/>
      <c r="AA7" s="627"/>
      <c r="AB7" s="628"/>
      <c r="AC7" s="27"/>
      <c r="AD7" s="27"/>
      <c r="AE7" s="19">
        <f t="shared" si="8"/>
        <v>-75.652173913045317</v>
      </c>
      <c r="AF7" s="449">
        <f t="shared" si="9"/>
        <v>0.96217391304347732</v>
      </c>
      <c r="AG7" s="637"/>
    </row>
    <row r="8" spans="1:33">
      <c r="A8" s="665" t="s">
        <v>2303</v>
      </c>
      <c r="B8" s="42" t="s">
        <v>92</v>
      </c>
      <c r="C8" s="660" t="s">
        <v>94</v>
      </c>
      <c r="D8" s="661"/>
      <c r="E8" s="42">
        <v>50.98</v>
      </c>
      <c r="F8" s="455">
        <v>1815</v>
      </c>
      <c r="G8" s="448">
        <f t="shared" si="0"/>
        <v>92528.7</v>
      </c>
      <c r="H8" s="37" t="s">
        <v>91</v>
      </c>
      <c r="I8" s="453">
        <v>16</v>
      </c>
      <c r="J8" s="39">
        <v>2000</v>
      </c>
      <c r="K8" s="17">
        <f t="shared" si="1"/>
        <v>125</v>
      </c>
      <c r="L8" s="453">
        <v>16</v>
      </c>
      <c r="M8" s="18">
        <f t="shared" si="2"/>
        <v>1910.5263157894751</v>
      </c>
      <c r="N8" s="17">
        <f t="shared" si="3"/>
        <v>119.4078947368422</v>
      </c>
      <c r="O8" s="19">
        <f t="shared" si="4"/>
        <v>0</v>
      </c>
      <c r="P8" s="20">
        <f t="shared" si="5"/>
        <v>-5.592105263157805</v>
      </c>
      <c r="Q8" s="449">
        <f t="shared" si="6"/>
        <v>0.95526315789473759</v>
      </c>
      <c r="R8" s="637"/>
      <c r="S8" s="40">
        <v>0.88194444444444453</v>
      </c>
      <c r="T8" s="40">
        <v>0.92152777777777783</v>
      </c>
      <c r="U8" s="448">
        <f t="shared" si="10"/>
        <v>55.999999999999957</v>
      </c>
      <c r="V8" s="454">
        <f t="shared" si="7"/>
        <v>56.999999999999957</v>
      </c>
      <c r="W8" s="28"/>
      <c r="X8" s="28"/>
      <c r="Y8" s="136"/>
      <c r="Z8" s="136"/>
      <c r="AA8" s="627"/>
      <c r="AB8" s="628"/>
      <c r="AC8" s="27"/>
      <c r="AD8" s="27"/>
      <c r="AE8" s="19">
        <f t="shared" si="8"/>
        <v>-89.47368421052488</v>
      </c>
      <c r="AF8" s="449">
        <f t="shared" si="9"/>
        <v>0.95526315789473759</v>
      </c>
      <c r="AG8" s="637"/>
    </row>
    <row r="9" spans="1:33">
      <c r="A9" s="665" t="s">
        <v>2303</v>
      </c>
      <c r="B9" s="42" t="s">
        <v>2304</v>
      </c>
      <c r="C9" s="638"/>
      <c r="D9" s="638"/>
      <c r="E9" s="450"/>
      <c r="F9" s="44"/>
      <c r="G9" s="17"/>
      <c r="H9" s="455"/>
      <c r="I9" s="29">
        <v>15.5</v>
      </c>
      <c r="J9" s="39">
        <v>2000</v>
      </c>
      <c r="K9" s="17">
        <f t="shared" si="1"/>
        <v>129.03225806451613</v>
      </c>
      <c r="L9" s="29">
        <v>15.5</v>
      </c>
      <c r="M9" s="18">
        <f>AVERAGE(M5:M8)</f>
        <v>1923.312394777307</v>
      </c>
      <c r="N9" s="17">
        <f t="shared" si="3"/>
        <v>124.08467063079399</v>
      </c>
      <c r="O9" s="19">
        <f t="shared" si="4"/>
        <v>0</v>
      </c>
      <c r="P9" s="20">
        <f t="shared" si="5"/>
        <v>-4.9475874337221342</v>
      </c>
      <c r="Q9" s="449">
        <f t="shared" si="6"/>
        <v>0.96165619738865349</v>
      </c>
      <c r="R9" s="637"/>
      <c r="S9" s="40"/>
      <c r="T9" s="40"/>
      <c r="U9" s="448"/>
      <c r="V9" s="454"/>
      <c r="W9" s="17"/>
      <c r="X9" s="17"/>
      <c r="Y9" s="30">
        <f>SUM(Y5:Y8)</f>
        <v>0</v>
      </c>
      <c r="Z9" s="30">
        <f>SUM(Z5:Z8)</f>
        <v>0</v>
      </c>
      <c r="AA9" s="631"/>
      <c r="AB9" s="631"/>
      <c r="AC9" s="30">
        <v>4</v>
      </c>
      <c r="AD9" s="30">
        <f>SUM(AD5:AD8)</f>
        <v>0</v>
      </c>
      <c r="AE9" s="19">
        <f t="shared" si="8"/>
        <v>-76.687605222693037</v>
      </c>
      <c r="AF9" s="449">
        <f t="shared" si="9"/>
        <v>0.96165619738865349</v>
      </c>
      <c r="AG9" s="637"/>
    </row>
    <row r="10" spans="1:33" ht="15.75" customHeight="1">
      <c r="A10" s="659" t="s">
        <v>2305</v>
      </c>
      <c r="B10" s="42" t="s">
        <v>96</v>
      </c>
      <c r="C10" s="660" t="s">
        <v>100</v>
      </c>
      <c r="D10" s="661"/>
      <c r="E10" s="42">
        <v>39.619999999999997</v>
      </c>
      <c r="F10" s="455">
        <v>4990</v>
      </c>
      <c r="G10" s="448">
        <f t="shared" ref="G10:G11" si="11">E10*F10</f>
        <v>197703.8</v>
      </c>
      <c r="H10" s="37" t="s">
        <v>91</v>
      </c>
      <c r="I10" s="453">
        <v>19</v>
      </c>
      <c r="J10" s="39">
        <v>1500</v>
      </c>
      <c r="K10" s="17">
        <f t="shared" si="1"/>
        <v>78.94736842105263</v>
      </c>
      <c r="L10" s="453">
        <v>19</v>
      </c>
      <c r="M10" s="18">
        <f t="shared" ref="M10:M11" si="12">F10/V10*60</f>
        <v>1432.5358851674637</v>
      </c>
      <c r="N10" s="17">
        <f t="shared" si="3"/>
        <v>75.396625535129672</v>
      </c>
      <c r="O10" s="19">
        <f t="shared" si="4"/>
        <v>0</v>
      </c>
      <c r="P10" s="20">
        <f t="shared" si="5"/>
        <v>-3.5507428859229577</v>
      </c>
      <c r="Q10" s="449">
        <f t="shared" si="6"/>
        <v>0.95502392344497589</v>
      </c>
      <c r="R10" s="637">
        <f>Q12</f>
        <v>0.95360170531223143</v>
      </c>
      <c r="S10" s="40">
        <v>8.3333333333333329E-2</v>
      </c>
      <c r="T10" s="40">
        <v>0.22847222222222224</v>
      </c>
      <c r="U10" s="448"/>
      <c r="V10" s="454">
        <f t="shared" ref="V10:V11" si="13">(T10-S10)*24*60</f>
        <v>209.00000000000006</v>
      </c>
      <c r="W10" s="23">
        <f>T10</f>
        <v>0.22847222222222224</v>
      </c>
      <c r="X10" s="23">
        <f>S11</f>
        <v>0.24652777777777779</v>
      </c>
      <c r="Y10" s="23"/>
      <c r="Z10" s="23"/>
      <c r="AA10" s="632"/>
      <c r="AB10" s="632"/>
      <c r="AC10" s="25">
        <v>2</v>
      </c>
      <c r="AD10" s="25"/>
      <c r="AE10" s="19">
        <f t="shared" si="8"/>
        <v>-67.464114832536325</v>
      </c>
      <c r="AF10" s="449">
        <f t="shared" si="9"/>
        <v>0.95502392344497578</v>
      </c>
      <c r="AG10" s="637">
        <f>AF12</f>
        <v>0.95360170531223143</v>
      </c>
    </row>
    <row r="11" spans="1:33" ht="15.75" customHeight="1">
      <c r="A11" s="659" t="s">
        <v>2306</v>
      </c>
      <c r="B11" s="42" t="s">
        <v>96</v>
      </c>
      <c r="C11" s="660" t="s">
        <v>97</v>
      </c>
      <c r="D11" s="661"/>
      <c r="E11" s="42">
        <v>39.799999999999997</v>
      </c>
      <c r="F11" s="455">
        <v>7427</v>
      </c>
      <c r="G11" s="448">
        <f t="shared" si="11"/>
        <v>295594.59999999998</v>
      </c>
      <c r="H11" s="37" t="s">
        <v>91</v>
      </c>
      <c r="I11" s="453">
        <v>17</v>
      </c>
      <c r="J11" s="39">
        <v>1500</v>
      </c>
      <c r="K11" s="17">
        <f t="shared" si="1"/>
        <v>88.235294117647058</v>
      </c>
      <c r="L11" s="453">
        <v>17</v>
      </c>
      <c r="M11" s="18">
        <f t="shared" si="12"/>
        <v>1428.2692307692307</v>
      </c>
      <c r="N11" s="17">
        <f t="shared" si="3"/>
        <v>84.015837104072389</v>
      </c>
      <c r="O11" s="19">
        <f t="shared" si="4"/>
        <v>0</v>
      </c>
      <c r="P11" s="20">
        <f t="shared" si="5"/>
        <v>-4.2194570135746687</v>
      </c>
      <c r="Q11" s="449">
        <f t="shared" si="6"/>
        <v>0.95217948717948708</v>
      </c>
      <c r="R11" s="637"/>
      <c r="S11" s="40">
        <v>0.24652777777777779</v>
      </c>
      <c r="T11" s="40">
        <v>0.46319444444444446</v>
      </c>
      <c r="U11" s="448">
        <f t="shared" ref="U11" si="14">IF(S11=TIME(17,0,0),"",(S11-T10)*24*60)</f>
        <v>25.999999999999986</v>
      </c>
      <c r="V11" s="454">
        <f t="shared" si="13"/>
        <v>312</v>
      </c>
      <c r="W11" s="23"/>
      <c r="X11" s="23"/>
      <c r="Y11" s="23"/>
      <c r="Z11" s="23"/>
      <c r="AA11" s="632"/>
      <c r="AB11" s="632"/>
      <c r="AC11" s="25"/>
      <c r="AD11" s="25"/>
      <c r="AE11" s="19">
        <f t="shared" si="8"/>
        <v>-71.730769230769283</v>
      </c>
      <c r="AF11" s="449">
        <f t="shared" si="9"/>
        <v>0.95217948717948719</v>
      </c>
      <c r="AG11" s="637"/>
    </row>
    <row r="12" spans="1:33" ht="16.5" customHeight="1">
      <c r="A12" s="659" t="s">
        <v>2306</v>
      </c>
      <c r="B12" s="42" t="s">
        <v>2307</v>
      </c>
      <c r="C12" s="638"/>
      <c r="D12" s="638"/>
      <c r="E12" s="450"/>
      <c r="F12" s="39"/>
      <c r="G12" s="18"/>
      <c r="H12" s="455"/>
      <c r="I12" s="29">
        <v>18</v>
      </c>
      <c r="J12" s="39">
        <v>1500</v>
      </c>
      <c r="K12" s="17">
        <f t="shared" si="1"/>
        <v>83.333333333333329</v>
      </c>
      <c r="L12" s="29">
        <v>18</v>
      </c>
      <c r="M12" s="18">
        <f>AVERAGE(M10:M11)</f>
        <v>1430.4025579683471</v>
      </c>
      <c r="N12" s="17">
        <f t="shared" si="3"/>
        <v>79.466808776019278</v>
      </c>
      <c r="O12" s="19">
        <f t="shared" si="4"/>
        <v>0</v>
      </c>
      <c r="P12" s="20">
        <f t="shared" si="5"/>
        <v>-3.866524557314051</v>
      </c>
      <c r="Q12" s="449">
        <f t="shared" si="6"/>
        <v>0.95360170531223143</v>
      </c>
      <c r="R12" s="637"/>
      <c r="S12" s="40"/>
      <c r="T12" s="40"/>
      <c r="U12" s="17"/>
      <c r="V12" s="454"/>
      <c r="W12" s="17"/>
      <c r="X12" s="17"/>
      <c r="Y12" s="30">
        <f>SUM(Y10:Y11)</f>
        <v>0</v>
      </c>
      <c r="Z12" s="30">
        <f>SUM(Z10:Z11)</f>
        <v>0</v>
      </c>
      <c r="AA12" s="631"/>
      <c r="AB12" s="631"/>
      <c r="AC12" s="30">
        <v>2</v>
      </c>
      <c r="AD12" s="30">
        <f>SUM(AD10:AD11)</f>
        <v>0</v>
      </c>
      <c r="AE12" s="19">
        <f t="shared" si="8"/>
        <v>-69.597442031652918</v>
      </c>
      <c r="AF12" s="449">
        <f t="shared" si="9"/>
        <v>0.95360170531223143</v>
      </c>
      <c r="AG12" s="637"/>
    </row>
    <row r="13" spans="1:33" ht="16.5" customHeight="1">
      <c r="A13" s="657" t="s">
        <v>2308</v>
      </c>
      <c r="B13" s="455" t="s">
        <v>101</v>
      </c>
      <c r="C13" s="653" t="s">
        <v>102</v>
      </c>
      <c r="D13" s="653"/>
      <c r="E13" s="42">
        <v>31.11</v>
      </c>
      <c r="F13" s="455">
        <v>3485</v>
      </c>
      <c r="G13" s="448">
        <f t="shared" ref="G13:G19" si="15">E13*F13</f>
        <v>108418.34999999999</v>
      </c>
      <c r="H13" s="37" t="s">
        <v>91</v>
      </c>
      <c r="I13" s="453">
        <v>14</v>
      </c>
      <c r="J13" s="39">
        <v>2000</v>
      </c>
      <c r="K13" s="17">
        <f t="shared" si="1"/>
        <v>142.85714285714286</v>
      </c>
      <c r="L13" s="453">
        <v>14</v>
      </c>
      <c r="M13" s="18">
        <f t="shared" ref="M13:M19" si="16">F13/V13*60</f>
        <v>1918.3486238532116</v>
      </c>
      <c r="N13" s="17">
        <f t="shared" si="3"/>
        <v>137.02490170380082</v>
      </c>
      <c r="O13" s="19">
        <f t="shared" si="4"/>
        <v>0</v>
      </c>
      <c r="P13" s="20">
        <f t="shared" si="5"/>
        <v>-5.8322411533420393</v>
      </c>
      <c r="Q13" s="449">
        <f t="shared" si="6"/>
        <v>0.95917431192660574</v>
      </c>
      <c r="R13" s="637">
        <f>Q20</f>
        <v>0.9602975988449064</v>
      </c>
      <c r="S13" s="40">
        <v>0.20833333333333334</v>
      </c>
      <c r="T13" s="40">
        <v>0.28402777777777777</v>
      </c>
      <c r="U13" s="448"/>
      <c r="V13" s="454">
        <f t="shared" ref="V13:V19" si="17">(T13-S13)*24*60</f>
        <v>108.99999999999997</v>
      </c>
      <c r="W13" s="23"/>
      <c r="X13" s="23"/>
      <c r="Y13" s="28"/>
      <c r="Z13" s="28"/>
      <c r="AA13" s="632"/>
      <c r="AB13" s="632"/>
      <c r="AC13" s="25">
        <v>7</v>
      </c>
      <c r="AD13" s="25"/>
      <c r="AE13" s="19">
        <f t="shared" si="8"/>
        <v>-81.65137614678838</v>
      </c>
      <c r="AF13" s="449">
        <f t="shared" si="9"/>
        <v>0.95917431192660585</v>
      </c>
      <c r="AG13" s="637">
        <f>AF20</f>
        <v>0.9602975988449064</v>
      </c>
    </row>
    <row r="14" spans="1:33" ht="16.5" customHeight="1">
      <c r="A14" s="658" t="s">
        <v>2308</v>
      </c>
      <c r="B14" s="455" t="s">
        <v>103</v>
      </c>
      <c r="C14" s="653" t="s">
        <v>105</v>
      </c>
      <c r="D14" s="653"/>
      <c r="E14" s="42">
        <v>41</v>
      </c>
      <c r="F14" s="455">
        <v>2279</v>
      </c>
      <c r="G14" s="448">
        <f t="shared" si="15"/>
        <v>93439</v>
      </c>
      <c r="H14" s="37" t="s">
        <v>91</v>
      </c>
      <c r="I14" s="453">
        <v>26</v>
      </c>
      <c r="J14" s="39">
        <v>1500</v>
      </c>
      <c r="K14" s="17">
        <f t="shared" si="1"/>
        <v>57.692307692307693</v>
      </c>
      <c r="L14" s="453">
        <v>26</v>
      </c>
      <c r="M14" s="18">
        <f t="shared" si="16"/>
        <v>1439.3684210526319</v>
      </c>
      <c r="N14" s="17">
        <f t="shared" si="3"/>
        <v>55.360323886639691</v>
      </c>
      <c r="O14" s="19">
        <f t="shared" si="4"/>
        <v>0</v>
      </c>
      <c r="P14" s="20">
        <f t="shared" si="5"/>
        <v>-2.3319838056680027</v>
      </c>
      <c r="Q14" s="449">
        <f t="shared" si="6"/>
        <v>0.95957894736842131</v>
      </c>
      <c r="R14" s="637"/>
      <c r="S14" s="40">
        <v>0.28749999999999998</v>
      </c>
      <c r="T14" s="40">
        <v>0.35347222222222219</v>
      </c>
      <c r="U14" s="448">
        <f t="shared" ref="U14:U19" si="18">IF(S14=TIME(17,0,0),"",(S14-T13)*24*60)</f>
        <v>4.9999999999999822</v>
      </c>
      <c r="V14" s="454">
        <f t="shared" si="17"/>
        <v>94.999999999999986</v>
      </c>
      <c r="W14" s="23"/>
      <c r="X14" s="23"/>
      <c r="Y14" s="23"/>
      <c r="Z14" s="23"/>
      <c r="AA14" s="632"/>
      <c r="AB14" s="632"/>
      <c r="AC14" s="25"/>
      <c r="AD14" s="25"/>
      <c r="AE14" s="19">
        <f t="shared" si="8"/>
        <v>-60.631578947368098</v>
      </c>
      <c r="AF14" s="449">
        <f t="shared" si="9"/>
        <v>0.95957894736842131</v>
      </c>
      <c r="AG14" s="637"/>
    </row>
    <row r="15" spans="1:33" ht="16.5" customHeight="1">
      <c r="A15" s="658" t="s">
        <v>2308</v>
      </c>
      <c r="B15" s="455" t="s">
        <v>96</v>
      </c>
      <c r="C15" s="653" t="s">
        <v>98</v>
      </c>
      <c r="D15" s="653"/>
      <c r="E15" s="42">
        <v>39.46</v>
      </c>
      <c r="F15" s="455">
        <v>2638</v>
      </c>
      <c r="G15" s="448">
        <f t="shared" si="15"/>
        <v>104095.48</v>
      </c>
      <c r="H15" s="37" t="s">
        <v>91</v>
      </c>
      <c r="I15" s="453">
        <v>15</v>
      </c>
      <c r="J15" s="39">
        <v>1500</v>
      </c>
      <c r="K15" s="17">
        <f t="shared" si="1"/>
        <v>100</v>
      </c>
      <c r="L15" s="453">
        <v>15</v>
      </c>
      <c r="M15" s="18">
        <f t="shared" si="16"/>
        <v>1438.9090909090905</v>
      </c>
      <c r="N15" s="17">
        <f t="shared" si="3"/>
        <v>95.927272727272708</v>
      </c>
      <c r="O15" s="19">
        <f t="shared" si="4"/>
        <v>0</v>
      </c>
      <c r="P15" s="20">
        <f t="shared" si="5"/>
        <v>-4.0727272727272918</v>
      </c>
      <c r="Q15" s="449">
        <f t="shared" si="6"/>
        <v>0.95927272727272705</v>
      </c>
      <c r="R15" s="637"/>
      <c r="S15" s="40">
        <v>0.35763888888888884</v>
      </c>
      <c r="T15" s="40">
        <v>0.43402777777777773</v>
      </c>
      <c r="U15" s="448">
        <f t="shared" si="18"/>
        <v>5.9999999999999787</v>
      </c>
      <c r="V15" s="454">
        <f t="shared" si="17"/>
        <v>110.00000000000001</v>
      </c>
      <c r="W15" s="23"/>
      <c r="X15" s="23"/>
      <c r="Y15" s="23"/>
      <c r="Z15" s="23"/>
      <c r="AA15" s="632"/>
      <c r="AB15" s="632"/>
      <c r="AC15" s="25"/>
      <c r="AD15" s="25"/>
      <c r="AE15" s="19">
        <f t="shared" si="8"/>
        <v>-61.090909090909463</v>
      </c>
      <c r="AF15" s="449">
        <f t="shared" si="9"/>
        <v>0.95927272727272705</v>
      </c>
      <c r="AG15" s="637"/>
    </row>
    <row r="16" spans="1:33" ht="16.5" customHeight="1">
      <c r="A16" s="658" t="s">
        <v>2308</v>
      </c>
      <c r="B16" s="455" t="s">
        <v>96</v>
      </c>
      <c r="C16" s="653" t="s">
        <v>99</v>
      </c>
      <c r="D16" s="653"/>
      <c r="E16" s="42">
        <v>39.520000000000003</v>
      </c>
      <c r="F16" s="455">
        <v>2488</v>
      </c>
      <c r="G16" s="448">
        <f t="shared" si="15"/>
        <v>98325.760000000009</v>
      </c>
      <c r="H16" s="37" t="s">
        <v>91</v>
      </c>
      <c r="I16" s="453">
        <v>19</v>
      </c>
      <c r="J16" s="39">
        <v>1500</v>
      </c>
      <c r="K16" s="17">
        <f t="shared" si="1"/>
        <v>78.94736842105263</v>
      </c>
      <c r="L16" s="453">
        <v>19</v>
      </c>
      <c r="M16" s="18">
        <f t="shared" si="16"/>
        <v>1435.384615384615</v>
      </c>
      <c r="N16" s="17">
        <f t="shared" si="3"/>
        <v>75.546558704453417</v>
      </c>
      <c r="O16" s="19">
        <f t="shared" si="4"/>
        <v>0</v>
      </c>
      <c r="P16" s="20">
        <f t="shared" si="5"/>
        <v>-3.4008097165992126</v>
      </c>
      <c r="Q16" s="449">
        <f t="shared" si="6"/>
        <v>0.95692307692307665</v>
      </c>
      <c r="R16" s="637"/>
      <c r="S16" s="40">
        <v>0.43819444444444439</v>
      </c>
      <c r="T16" s="40">
        <v>0.51041666666666663</v>
      </c>
      <c r="U16" s="448">
        <f t="shared" si="18"/>
        <v>5.9999999999999787</v>
      </c>
      <c r="V16" s="454">
        <f t="shared" si="17"/>
        <v>104.00000000000003</v>
      </c>
      <c r="W16" s="23"/>
      <c r="X16" s="23"/>
      <c r="Y16" s="23"/>
      <c r="Z16" s="23"/>
      <c r="AA16" s="632"/>
      <c r="AB16" s="632"/>
      <c r="AC16" s="25"/>
      <c r="AD16" s="25"/>
      <c r="AE16" s="19">
        <f t="shared" si="8"/>
        <v>-64.615384615384983</v>
      </c>
      <c r="AF16" s="449">
        <f t="shared" si="9"/>
        <v>0.95692307692307665</v>
      </c>
      <c r="AG16" s="637"/>
    </row>
    <row r="17" spans="1:33" ht="16.5" customHeight="1">
      <c r="A17" s="658" t="s">
        <v>2308</v>
      </c>
      <c r="B17" s="455" t="s">
        <v>92</v>
      </c>
      <c r="C17" s="653" t="s">
        <v>108</v>
      </c>
      <c r="D17" s="653"/>
      <c r="E17" s="42">
        <v>54.5</v>
      </c>
      <c r="F17" s="455">
        <v>1353</v>
      </c>
      <c r="G17" s="448">
        <f t="shared" si="15"/>
        <v>73738.5</v>
      </c>
      <c r="H17" s="37" t="s">
        <v>91</v>
      </c>
      <c r="I17" s="453">
        <v>19</v>
      </c>
      <c r="J17" s="39">
        <v>1500</v>
      </c>
      <c r="K17" s="17">
        <f t="shared" si="1"/>
        <v>78.94736842105263</v>
      </c>
      <c r="L17" s="453">
        <v>19</v>
      </c>
      <c r="M17" s="18">
        <f t="shared" si="16"/>
        <v>1449.6428571428582</v>
      </c>
      <c r="N17" s="17">
        <f t="shared" si="3"/>
        <v>76.296992481203063</v>
      </c>
      <c r="O17" s="19">
        <f t="shared" si="4"/>
        <v>0</v>
      </c>
      <c r="P17" s="20">
        <f t="shared" si="5"/>
        <v>-2.6503759398495674</v>
      </c>
      <c r="Q17" s="449">
        <f t="shared" si="6"/>
        <v>0.96642857142857219</v>
      </c>
      <c r="R17" s="637"/>
      <c r="S17" s="40">
        <v>0.70833333333333337</v>
      </c>
      <c r="T17" s="40">
        <v>0.74722222222222223</v>
      </c>
      <c r="U17" s="448" t="str">
        <f t="shared" si="18"/>
        <v/>
      </c>
      <c r="V17" s="454">
        <f t="shared" si="17"/>
        <v>55.999999999999957</v>
      </c>
      <c r="W17" s="23"/>
      <c r="X17" s="23"/>
      <c r="Y17" s="23"/>
      <c r="Z17" s="23"/>
      <c r="AA17" s="632"/>
      <c r="AB17" s="632"/>
      <c r="AC17" s="25"/>
      <c r="AD17" s="25"/>
      <c r="AE17" s="19">
        <f t="shared" si="8"/>
        <v>-50.357142857141753</v>
      </c>
      <c r="AF17" s="449">
        <f t="shared" si="9"/>
        <v>0.96642857142857219</v>
      </c>
      <c r="AG17" s="637"/>
    </row>
    <row r="18" spans="1:33" ht="16.5" customHeight="1">
      <c r="A18" s="658" t="s">
        <v>2308</v>
      </c>
      <c r="B18" s="455" t="s">
        <v>92</v>
      </c>
      <c r="C18" s="451" t="s">
        <v>107</v>
      </c>
      <c r="D18" s="452"/>
      <c r="E18" s="42">
        <v>50.67</v>
      </c>
      <c r="F18" s="455">
        <v>1872</v>
      </c>
      <c r="G18" s="448">
        <f t="shared" si="15"/>
        <v>94854.24</v>
      </c>
      <c r="H18" s="37" t="s">
        <v>91</v>
      </c>
      <c r="I18" s="453">
        <v>17</v>
      </c>
      <c r="J18" s="39">
        <v>2000</v>
      </c>
      <c r="K18" s="17">
        <f t="shared" si="1"/>
        <v>117.64705882352941</v>
      </c>
      <c r="L18" s="453">
        <v>17</v>
      </c>
      <c r="M18" s="18">
        <f t="shared" si="16"/>
        <v>1936.5517241379328</v>
      </c>
      <c r="N18" s="17">
        <f t="shared" si="3"/>
        <v>113.91480730223134</v>
      </c>
      <c r="O18" s="19">
        <f t="shared" si="4"/>
        <v>0</v>
      </c>
      <c r="P18" s="20">
        <f t="shared" si="5"/>
        <v>-3.7322515212980676</v>
      </c>
      <c r="Q18" s="449">
        <f t="shared" si="6"/>
        <v>0.96827586206896643</v>
      </c>
      <c r="R18" s="637"/>
      <c r="S18" s="40">
        <v>0.75138888888888888</v>
      </c>
      <c r="T18" s="40">
        <v>0.79166666666666663</v>
      </c>
      <c r="U18" s="448">
        <f t="shared" si="18"/>
        <v>5.9999999999999787</v>
      </c>
      <c r="V18" s="454">
        <f t="shared" si="17"/>
        <v>57.999999999999957</v>
      </c>
      <c r="W18" s="23"/>
      <c r="X18" s="23"/>
      <c r="Y18" s="26"/>
      <c r="Z18" s="26"/>
      <c r="AA18" s="444"/>
      <c r="AB18" s="445"/>
      <c r="AC18" s="25"/>
      <c r="AD18" s="25"/>
      <c r="AE18" s="19">
        <f t="shared" si="8"/>
        <v>-63.448275862067248</v>
      </c>
      <c r="AF18" s="449">
        <f t="shared" si="9"/>
        <v>0.96827586206896643</v>
      </c>
      <c r="AG18" s="637"/>
    </row>
    <row r="19" spans="1:33" ht="16.5" customHeight="1">
      <c r="A19" s="658" t="s">
        <v>2308</v>
      </c>
      <c r="B19" s="455" t="s">
        <v>92</v>
      </c>
      <c r="C19" s="451" t="s">
        <v>114</v>
      </c>
      <c r="D19" s="452"/>
      <c r="E19" s="42">
        <v>54.09</v>
      </c>
      <c r="F19" s="455">
        <v>2604</v>
      </c>
      <c r="G19" s="448">
        <f t="shared" si="15"/>
        <v>140850.36000000002</v>
      </c>
      <c r="H19" s="37" t="s">
        <v>91</v>
      </c>
      <c r="I19" s="453">
        <v>18</v>
      </c>
      <c r="J19" s="39">
        <v>2000</v>
      </c>
      <c r="K19" s="17">
        <f t="shared" si="1"/>
        <v>111.11111111111111</v>
      </c>
      <c r="L19" s="453">
        <v>18</v>
      </c>
      <c r="M19" s="18">
        <f t="shared" si="16"/>
        <v>1905.3658536585358</v>
      </c>
      <c r="N19" s="17">
        <f t="shared" si="3"/>
        <v>105.85365853658533</v>
      </c>
      <c r="O19" s="19">
        <f t="shared" si="4"/>
        <v>0</v>
      </c>
      <c r="P19" s="20">
        <f t="shared" si="5"/>
        <v>-5.2574525745257858</v>
      </c>
      <c r="Q19" s="449">
        <f t="shared" si="6"/>
        <v>0.95268292682926792</v>
      </c>
      <c r="R19" s="637"/>
      <c r="S19" s="40">
        <v>0.79722222222222217</v>
      </c>
      <c r="T19" s="40">
        <v>0.85416666666666663</v>
      </c>
      <c r="U19" s="448">
        <f t="shared" si="18"/>
        <v>7.9999999999999716</v>
      </c>
      <c r="V19" s="454">
        <f t="shared" si="17"/>
        <v>82.000000000000028</v>
      </c>
      <c r="W19" s="23"/>
      <c r="X19" s="23"/>
      <c r="Y19" s="26"/>
      <c r="Z19" s="26"/>
      <c r="AA19" s="444"/>
      <c r="AB19" s="445"/>
      <c r="AC19" s="25"/>
      <c r="AD19" s="25"/>
      <c r="AE19" s="19">
        <f t="shared" si="8"/>
        <v>-94.634146341464202</v>
      </c>
      <c r="AF19" s="449">
        <f t="shared" si="9"/>
        <v>0.95268292682926792</v>
      </c>
      <c r="AG19" s="637"/>
    </row>
    <row r="20" spans="1:33" ht="16.5" customHeight="1">
      <c r="A20" s="658" t="s">
        <v>2308</v>
      </c>
      <c r="B20" s="42" t="s">
        <v>2307</v>
      </c>
      <c r="C20" s="638"/>
      <c r="D20" s="638"/>
      <c r="E20" s="450"/>
      <c r="F20" s="44"/>
      <c r="G20" s="17"/>
      <c r="H20" s="455"/>
      <c r="I20" s="29">
        <v>18.285714285714285</v>
      </c>
      <c r="J20" s="39">
        <v>1714.2857142857142</v>
      </c>
      <c r="K20" s="17">
        <f t="shared" si="1"/>
        <v>93.75</v>
      </c>
      <c r="L20" s="29">
        <v>18.285714285714285</v>
      </c>
      <c r="M20" s="18">
        <f>AVERAGE(M13:M19)</f>
        <v>1646.2244551626966</v>
      </c>
      <c r="N20" s="17">
        <f t="shared" si="3"/>
        <v>90.027899891709978</v>
      </c>
      <c r="O20" s="19">
        <f t="shared" si="4"/>
        <v>0</v>
      </c>
      <c r="P20" s="20">
        <f t="shared" si="5"/>
        <v>-3.7221001082900216</v>
      </c>
      <c r="Q20" s="449">
        <f t="shared" si="6"/>
        <v>0.9602975988449064</v>
      </c>
      <c r="R20" s="637"/>
      <c r="S20" s="40"/>
      <c r="T20" s="40"/>
      <c r="U20" s="448"/>
      <c r="V20" s="454"/>
      <c r="W20" s="17"/>
      <c r="X20" s="17"/>
      <c r="Y20" s="30">
        <f>SUM(Y13:Y19)</f>
        <v>0</v>
      </c>
      <c r="Z20" s="30">
        <f>SUM(Z13:Z19)</f>
        <v>0</v>
      </c>
      <c r="AA20" s="631"/>
      <c r="AB20" s="631"/>
      <c r="AC20" s="30">
        <v>7</v>
      </c>
      <c r="AD20" s="30">
        <f>SUM(AD13:AD19)</f>
        <v>0</v>
      </c>
      <c r="AE20" s="19">
        <f t="shared" si="8"/>
        <v>-68.061259123017635</v>
      </c>
      <c r="AF20" s="449">
        <f t="shared" si="9"/>
        <v>0.9602975988449064</v>
      </c>
      <c r="AG20" s="637"/>
    </row>
    <row r="21" spans="1:33" ht="15.75" customHeight="1">
      <c r="A21" s="655" t="s">
        <v>2309</v>
      </c>
      <c r="B21" s="42" t="s">
        <v>92</v>
      </c>
      <c r="C21" s="653" t="s">
        <v>110</v>
      </c>
      <c r="D21" s="653"/>
      <c r="E21" s="42">
        <v>50.67</v>
      </c>
      <c r="F21" s="455">
        <v>2095</v>
      </c>
      <c r="G21" s="448">
        <f t="shared" ref="G21:G27" si="19">E21*F21</f>
        <v>106153.65000000001</v>
      </c>
      <c r="H21" s="37" t="s">
        <v>91</v>
      </c>
      <c r="I21" s="453">
        <v>17</v>
      </c>
      <c r="J21" s="39">
        <v>2000</v>
      </c>
      <c r="K21" s="17">
        <f t="shared" si="1"/>
        <v>117.64705882352941</v>
      </c>
      <c r="L21" s="453">
        <v>17</v>
      </c>
      <c r="M21" s="18">
        <f t="shared" ref="M21:M27" si="20">F21/V21*60</f>
        <v>1904.5454545454554</v>
      </c>
      <c r="N21" s="17">
        <f t="shared" si="3"/>
        <v>112.03208556149738</v>
      </c>
      <c r="O21" s="19">
        <f t="shared" si="4"/>
        <v>0</v>
      </c>
      <c r="P21" s="20">
        <f t="shared" si="5"/>
        <v>-5.6149732620320236</v>
      </c>
      <c r="Q21" s="449">
        <f t="shared" si="6"/>
        <v>0.95227272727272783</v>
      </c>
      <c r="R21" s="637">
        <f>Q28</f>
        <v>0.95588705373315164</v>
      </c>
      <c r="S21" s="40">
        <v>0.20833333333333334</v>
      </c>
      <c r="T21" s="40">
        <v>0.25416666666666665</v>
      </c>
      <c r="U21" s="448"/>
      <c r="V21" s="454">
        <f t="shared" ref="V21:V27" si="21">(T21-S21)*24*60</f>
        <v>65.999999999999972</v>
      </c>
      <c r="W21" s="23"/>
      <c r="X21" s="23"/>
      <c r="Y21" s="28"/>
      <c r="Z21" s="28"/>
      <c r="AA21" s="632"/>
      <c r="AB21" s="632"/>
      <c r="AC21" s="25">
        <v>7</v>
      </c>
      <c r="AD21" s="25"/>
      <c r="AE21" s="19">
        <f t="shared" si="8"/>
        <v>-95.454545454544586</v>
      </c>
      <c r="AF21" s="449">
        <f t="shared" si="9"/>
        <v>0.95227272727272771</v>
      </c>
      <c r="AG21" s="637">
        <f>AF28</f>
        <v>0.95588705373315153</v>
      </c>
    </row>
    <row r="22" spans="1:33" ht="15.75" customHeight="1">
      <c r="A22" s="656" t="s">
        <v>2309</v>
      </c>
      <c r="B22" s="42" t="s">
        <v>92</v>
      </c>
      <c r="C22" s="653" t="s">
        <v>111</v>
      </c>
      <c r="D22" s="653"/>
      <c r="E22" s="42">
        <v>57.73</v>
      </c>
      <c r="F22" s="455">
        <v>2921</v>
      </c>
      <c r="G22" s="448">
        <f t="shared" si="19"/>
        <v>168629.33</v>
      </c>
      <c r="H22" s="37" t="s">
        <v>91</v>
      </c>
      <c r="I22" s="453">
        <v>14</v>
      </c>
      <c r="J22" s="39">
        <v>2000</v>
      </c>
      <c r="K22" s="17">
        <f t="shared" si="1"/>
        <v>142.85714285714286</v>
      </c>
      <c r="L22" s="453">
        <v>14</v>
      </c>
      <c r="M22" s="18">
        <f t="shared" si="20"/>
        <v>1905</v>
      </c>
      <c r="N22" s="17">
        <f t="shared" si="3"/>
        <v>136.07142857142858</v>
      </c>
      <c r="O22" s="19">
        <f t="shared" si="4"/>
        <v>0</v>
      </c>
      <c r="P22" s="20">
        <f t="shared" si="5"/>
        <v>-6.7857142857142776</v>
      </c>
      <c r="Q22" s="449">
        <f t="shared" si="6"/>
        <v>0.95250000000000001</v>
      </c>
      <c r="R22" s="637"/>
      <c r="S22" s="40">
        <v>0.25972222222222219</v>
      </c>
      <c r="T22" s="40">
        <v>0.32361111111111107</v>
      </c>
      <c r="U22" s="448">
        <f t="shared" ref="U22:U27" si="22">IF(S22=TIME(17,0,0),"",(S22-T21)*24*60)</f>
        <v>7.9999999999999716</v>
      </c>
      <c r="V22" s="454">
        <f t="shared" si="21"/>
        <v>92</v>
      </c>
      <c r="W22" s="23"/>
      <c r="X22" s="448"/>
      <c r="Y22" s="448"/>
      <c r="Z22" s="448"/>
      <c r="AA22" s="632"/>
      <c r="AB22" s="632"/>
      <c r="AC22" s="25"/>
      <c r="AD22" s="25"/>
      <c r="AE22" s="19">
        <f t="shared" si="8"/>
        <v>-95</v>
      </c>
      <c r="AF22" s="449">
        <f t="shared" si="9"/>
        <v>0.95250000000000001</v>
      </c>
      <c r="AG22" s="637"/>
    </row>
    <row r="23" spans="1:33" ht="15.75" customHeight="1">
      <c r="A23" s="656" t="s">
        <v>2309</v>
      </c>
      <c r="B23" s="42" t="s">
        <v>92</v>
      </c>
      <c r="C23" s="653" t="s">
        <v>112</v>
      </c>
      <c r="D23" s="653"/>
      <c r="E23" s="42">
        <v>53.27</v>
      </c>
      <c r="F23" s="455">
        <v>1695</v>
      </c>
      <c r="G23" s="448">
        <f t="shared" si="19"/>
        <v>90292.650000000009</v>
      </c>
      <c r="H23" s="37" t="s">
        <v>91</v>
      </c>
      <c r="I23" s="453">
        <v>16</v>
      </c>
      <c r="J23" s="39">
        <v>2000</v>
      </c>
      <c r="K23" s="17">
        <f t="shared" si="1"/>
        <v>125</v>
      </c>
      <c r="L23" s="453">
        <v>16</v>
      </c>
      <c r="M23" s="18">
        <f t="shared" si="20"/>
        <v>1918.8679245283031</v>
      </c>
      <c r="N23" s="17">
        <f t="shared" si="3"/>
        <v>119.92924528301894</v>
      </c>
      <c r="O23" s="19">
        <f t="shared" si="4"/>
        <v>0</v>
      </c>
      <c r="P23" s="20">
        <f t="shared" si="5"/>
        <v>-5.0707547169810567</v>
      </c>
      <c r="Q23" s="449">
        <f t="shared" si="6"/>
        <v>0.95943396226415156</v>
      </c>
      <c r="R23" s="637"/>
      <c r="S23" s="40">
        <v>0.32847222222222217</v>
      </c>
      <c r="T23" s="40">
        <v>0.3652777777777777</v>
      </c>
      <c r="U23" s="448">
        <f t="shared" si="22"/>
        <v>6.9999999999999751</v>
      </c>
      <c r="V23" s="454">
        <f t="shared" si="21"/>
        <v>52.999999999999972</v>
      </c>
      <c r="W23" s="23"/>
      <c r="X23" s="448"/>
      <c r="Y23" s="448"/>
      <c r="Z23" s="448"/>
      <c r="AA23" s="632"/>
      <c r="AB23" s="632"/>
      <c r="AC23" s="25"/>
      <c r="AD23" s="25"/>
      <c r="AE23" s="19">
        <f t="shared" si="8"/>
        <v>-81.132075471696908</v>
      </c>
      <c r="AF23" s="449">
        <f t="shared" si="9"/>
        <v>0.95943396226415156</v>
      </c>
      <c r="AG23" s="637"/>
    </row>
    <row r="24" spans="1:33" ht="15.75" customHeight="1">
      <c r="A24" s="656" t="s">
        <v>2309</v>
      </c>
      <c r="B24" s="42" t="s">
        <v>92</v>
      </c>
      <c r="C24" s="653" t="s">
        <v>1852</v>
      </c>
      <c r="D24" s="653"/>
      <c r="E24" s="42">
        <v>56.43</v>
      </c>
      <c r="F24" s="455">
        <v>2167</v>
      </c>
      <c r="G24" s="448">
        <f t="shared" si="19"/>
        <v>122283.81</v>
      </c>
      <c r="H24" s="37" t="s">
        <v>91</v>
      </c>
      <c r="I24" s="453">
        <v>25</v>
      </c>
      <c r="J24" s="39">
        <v>2000</v>
      </c>
      <c r="K24" s="17">
        <f t="shared" si="1"/>
        <v>80</v>
      </c>
      <c r="L24" s="453">
        <v>25</v>
      </c>
      <c r="M24" s="18">
        <f t="shared" si="20"/>
        <v>1912.0588235294117</v>
      </c>
      <c r="N24" s="17">
        <f t="shared" si="3"/>
        <v>76.482352941176472</v>
      </c>
      <c r="O24" s="19">
        <f t="shared" si="4"/>
        <v>0</v>
      </c>
      <c r="P24" s="20">
        <f t="shared" si="5"/>
        <v>-3.5176470588235276</v>
      </c>
      <c r="Q24" s="449">
        <f t="shared" si="6"/>
        <v>0.95602941176470591</v>
      </c>
      <c r="R24" s="637"/>
      <c r="S24" s="40">
        <v>0.37083333333333324</v>
      </c>
      <c r="T24" s="40">
        <v>0.41805555555555546</v>
      </c>
      <c r="U24" s="448">
        <f t="shared" si="22"/>
        <v>7.9999999999999716</v>
      </c>
      <c r="V24" s="454">
        <f t="shared" si="21"/>
        <v>68</v>
      </c>
      <c r="W24" s="23"/>
      <c r="X24" s="448"/>
      <c r="Y24" s="448"/>
      <c r="Z24" s="448"/>
      <c r="AA24" s="632"/>
      <c r="AB24" s="632"/>
      <c r="AC24" s="25"/>
      <c r="AD24" s="25"/>
      <c r="AE24" s="19">
        <f t="shared" si="8"/>
        <v>-87.941176470588289</v>
      </c>
      <c r="AF24" s="449">
        <f t="shared" si="9"/>
        <v>0.95602941176470591</v>
      </c>
      <c r="AG24" s="637"/>
    </row>
    <row r="25" spans="1:33" ht="15.75" customHeight="1">
      <c r="A25" s="656" t="s">
        <v>2309</v>
      </c>
      <c r="B25" s="42" t="s">
        <v>92</v>
      </c>
      <c r="C25" s="653" t="s">
        <v>113</v>
      </c>
      <c r="D25" s="653"/>
      <c r="E25" s="42">
        <v>56.43</v>
      </c>
      <c r="F25" s="455">
        <v>1337</v>
      </c>
      <c r="G25" s="448">
        <f t="shared" si="19"/>
        <v>75446.91</v>
      </c>
      <c r="H25" s="37" t="s">
        <v>91</v>
      </c>
      <c r="I25" s="453">
        <v>13</v>
      </c>
      <c r="J25" s="39">
        <v>2000</v>
      </c>
      <c r="K25" s="17">
        <f t="shared" si="1"/>
        <v>153.84615384615384</v>
      </c>
      <c r="L25" s="453">
        <v>13</v>
      </c>
      <c r="M25" s="18">
        <f t="shared" si="20"/>
        <v>1909.9999999999993</v>
      </c>
      <c r="N25" s="17">
        <f t="shared" si="3"/>
        <v>146.92307692307688</v>
      </c>
      <c r="O25" s="19">
        <f t="shared" si="4"/>
        <v>0</v>
      </c>
      <c r="P25" s="20">
        <f t="shared" si="5"/>
        <v>-6.9230769230769624</v>
      </c>
      <c r="Q25" s="449">
        <f t="shared" si="6"/>
        <v>0.95499999999999974</v>
      </c>
      <c r="R25" s="637"/>
      <c r="S25" s="40">
        <v>0.70833333333333337</v>
      </c>
      <c r="T25" s="40">
        <v>0.73750000000000004</v>
      </c>
      <c r="U25" s="448" t="str">
        <f t="shared" si="22"/>
        <v/>
      </c>
      <c r="V25" s="454">
        <f t="shared" si="21"/>
        <v>42.000000000000014</v>
      </c>
      <c r="W25" s="23"/>
      <c r="X25" s="23"/>
      <c r="Y25" s="448"/>
      <c r="Z25" s="448"/>
      <c r="AA25" s="632"/>
      <c r="AB25" s="632"/>
      <c r="AC25" s="25"/>
      <c r="AD25" s="25"/>
      <c r="AE25" s="19">
        <f t="shared" si="8"/>
        <v>-90.000000000000682</v>
      </c>
      <c r="AF25" s="449">
        <f t="shared" si="9"/>
        <v>0.95499999999999963</v>
      </c>
      <c r="AG25" s="637"/>
    </row>
    <row r="26" spans="1:33" ht="15.75" customHeight="1">
      <c r="A26" s="656" t="s">
        <v>2309</v>
      </c>
      <c r="B26" s="42" t="s">
        <v>92</v>
      </c>
      <c r="C26" s="653" t="s">
        <v>140</v>
      </c>
      <c r="D26" s="653"/>
      <c r="E26" s="42">
        <v>51.06</v>
      </c>
      <c r="F26" s="455">
        <v>3471</v>
      </c>
      <c r="G26" s="448">
        <f t="shared" si="19"/>
        <v>177229.26</v>
      </c>
      <c r="H26" s="37" t="s">
        <v>91</v>
      </c>
      <c r="I26" s="453">
        <v>13</v>
      </c>
      <c r="J26" s="39">
        <v>2000</v>
      </c>
      <c r="K26" s="17">
        <f t="shared" si="1"/>
        <v>153.84615384615384</v>
      </c>
      <c r="L26" s="453">
        <v>13</v>
      </c>
      <c r="M26" s="18">
        <f t="shared" si="20"/>
        <v>1910.6422018348637</v>
      </c>
      <c r="N26" s="17">
        <f t="shared" si="3"/>
        <v>146.9724770642203</v>
      </c>
      <c r="O26" s="19">
        <f t="shared" si="4"/>
        <v>0</v>
      </c>
      <c r="P26" s="20">
        <f t="shared" si="5"/>
        <v>-6.8736767819335398</v>
      </c>
      <c r="Q26" s="449">
        <f t="shared" si="6"/>
        <v>0.95532110091743194</v>
      </c>
      <c r="R26" s="637"/>
      <c r="S26" s="40">
        <v>0.74097222222222225</v>
      </c>
      <c r="T26" s="40">
        <v>0.81666666666666665</v>
      </c>
      <c r="U26" s="448">
        <f t="shared" si="22"/>
        <v>4.9999999999999822</v>
      </c>
      <c r="V26" s="454">
        <f t="shared" si="21"/>
        <v>108.99999999999993</v>
      </c>
      <c r="W26" s="23"/>
      <c r="X26" s="28"/>
      <c r="Y26" s="28"/>
      <c r="Z26" s="28"/>
      <c r="AA26" s="632"/>
      <c r="AB26" s="632"/>
      <c r="AC26" s="25"/>
      <c r="AD26" s="25"/>
      <c r="AE26" s="19">
        <f t="shared" si="8"/>
        <v>-89.357798165136273</v>
      </c>
      <c r="AF26" s="449">
        <f t="shared" si="9"/>
        <v>0.95532110091743183</v>
      </c>
      <c r="AG26" s="637"/>
    </row>
    <row r="27" spans="1:33" ht="15.75" customHeight="1">
      <c r="A27" s="656" t="s">
        <v>2309</v>
      </c>
      <c r="B27" s="42" t="s">
        <v>92</v>
      </c>
      <c r="C27" s="679" t="s">
        <v>95</v>
      </c>
      <c r="D27" s="680"/>
      <c r="E27" s="42">
        <v>50.67</v>
      </c>
      <c r="F27" s="455">
        <v>1473</v>
      </c>
      <c r="G27" s="448">
        <f t="shared" si="19"/>
        <v>74636.91</v>
      </c>
      <c r="H27" s="37" t="s">
        <v>91</v>
      </c>
      <c r="I27" s="453">
        <v>15</v>
      </c>
      <c r="J27" s="39">
        <v>2000</v>
      </c>
      <c r="K27" s="17">
        <f t="shared" si="1"/>
        <v>133.33333333333334</v>
      </c>
      <c r="L27" s="453">
        <v>15</v>
      </c>
      <c r="M27" s="18">
        <f t="shared" si="20"/>
        <v>1921.304347826087</v>
      </c>
      <c r="N27" s="17">
        <f t="shared" si="3"/>
        <v>128.08695652173913</v>
      </c>
      <c r="O27" s="19">
        <f t="shared" si="4"/>
        <v>0</v>
      </c>
      <c r="P27" s="20">
        <f t="shared" si="5"/>
        <v>-5.2463768115942173</v>
      </c>
      <c r="Q27" s="449">
        <f t="shared" si="6"/>
        <v>0.96065217391304336</v>
      </c>
      <c r="R27" s="637"/>
      <c r="S27" s="40">
        <v>0.82222222222222219</v>
      </c>
      <c r="T27" s="40">
        <v>0.85416666666666663</v>
      </c>
      <c r="U27" s="448">
        <f t="shared" si="22"/>
        <v>7.9999999999999716</v>
      </c>
      <c r="V27" s="454">
        <f t="shared" si="21"/>
        <v>46</v>
      </c>
      <c r="W27" s="23"/>
      <c r="X27" s="28"/>
      <c r="Y27" s="136"/>
      <c r="Z27" s="136"/>
      <c r="AA27" s="627"/>
      <c r="AB27" s="628"/>
      <c r="AC27" s="25"/>
      <c r="AD27" s="25"/>
      <c r="AE27" s="19">
        <f t="shared" si="8"/>
        <v>-78.695652173913004</v>
      </c>
      <c r="AF27" s="449">
        <f t="shared" si="9"/>
        <v>0.96065217391304347</v>
      </c>
      <c r="AG27" s="637"/>
    </row>
    <row r="28" spans="1:33" ht="15.75" customHeight="1">
      <c r="A28" s="656" t="s">
        <v>2309</v>
      </c>
      <c r="B28" s="42" t="s">
        <v>2307</v>
      </c>
      <c r="C28" s="638"/>
      <c r="D28" s="638"/>
      <c r="E28" s="450"/>
      <c r="F28" s="455"/>
      <c r="G28" s="448"/>
      <c r="H28" s="455"/>
      <c r="I28" s="29">
        <v>16.142857142857142</v>
      </c>
      <c r="J28" s="39">
        <v>2000</v>
      </c>
      <c r="K28" s="17">
        <f t="shared" si="1"/>
        <v>123.89380530973452</v>
      </c>
      <c r="L28" s="29">
        <v>16.142857142857142</v>
      </c>
      <c r="M28" s="18">
        <f>AVERAGE(M21:M27)</f>
        <v>1911.7741074663031</v>
      </c>
      <c r="N28" s="17">
        <f t="shared" si="3"/>
        <v>118.42848453331082</v>
      </c>
      <c r="O28" s="19">
        <f t="shared" si="4"/>
        <v>0</v>
      </c>
      <c r="P28" s="20">
        <f t="shared" si="5"/>
        <v>-5.4653207764236953</v>
      </c>
      <c r="Q28" s="449">
        <f t="shared" si="6"/>
        <v>0.95588705373315164</v>
      </c>
      <c r="R28" s="637"/>
      <c r="S28" s="40"/>
      <c r="T28" s="40"/>
      <c r="U28" s="17"/>
      <c r="V28" s="454"/>
      <c r="W28" s="17"/>
      <c r="X28" s="17"/>
      <c r="Y28" s="30">
        <f>SUM(Y21:Y27)</f>
        <v>0</v>
      </c>
      <c r="Z28" s="30">
        <f>SUM(Z21:Z27)</f>
        <v>0</v>
      </c>
      <c r="AA28" s="631"/>
      <c r="AB28" s="631"/>
      <c r="AC28" s="30">
        <v>7</v>
      </c>
      <c r="AD28" s="30">
        <f>SUM(AD21:AD27)</f>
        <v>0</v>
      </c>
      <c r="AE28" s="19">
        <f t="shared" si="8"/>
        <v>-88.225892533696879</v>
      </c>
      <c r="AF28" s="449">
        <f t="shared" si="9"/>
        <v>0.95588705373315153</v>
      </c>
      <c r="AG28" s="637"/>
    </row>
    <row r="29" spans="1:33" ht="15.75" customHeight="1">
      <c r="A29" s="654" t="s">
        <v>2310</v>
      </c>
      <c r="B29" s="42" t="s">
        <v>116</v>
      </c>
      <c r="C29" s="653" t="s">
        <v>117</v>
      </c>
      <c r="D29" s="653"/>
      <c r="E29" s="42">
        <v>31.29</v>
      </c>
      <c r="F29" s="455">
        <v>5600</v>
      </c>
      <c r="G29" s="448">
        <f t="shared" ref="G29:G35" si="23">E29*F29</f>
        <v>175224</v>
      </c>
      <c r="H29" s="37">
        <v>2</v>
      </c>
      <c r="I29" s="453">
        <v>18</v>
      </c>
      <c r="J29" s="39">
        <v>2400</v>
      </c>
      <c r="K29" s="17">
        <f t="shared" si="1"/>
        <v>133.33333333333334</v>
      </c>
      <c r="L29" s="453">
        <v>18</v>
      </c>
      <c r="M29" s="18">
        <f t="shared" ref="M29:M35" si="24">F29/V29*60</f>
        <v>2285.7142857142858</v>
      </c>
      <c r="N29" s="17">
        <f t="shared" si="3"/>
        <v>126.98412698412699</v>
      </c>
      <c r="O29" s="19">
        <f t="shared" si="4"/>
        <v>0</v>
      </c>
      <c r="P29" s="20">
        <f t="shared" si="5"/>
        <v>-6.3492063492063551</v>
      </c>
      <c r="Q29" s="449">
        <f t="shared" si="6"/>
        <v>0.95238095238095233</v>
      </c>
      <c r="R29" s="637">
        <f>Q36</f>
        <v>0.95532935549131526</v>
      </c>
      <c r="S29" s="40">
        <v>8.3333333333333329E-2</v>
      </c>
      <c r="T29" s="40">
        <v>0.18541666666666667</v>
      </c>
      <c r="U29" s="448"/>
      <c r="V29" s="454">
        <f t="shared" ref="V29:V35" si="25">(T29-S29)*24*60</f>
        <v>147</v>
      </c>
      <c r="W29" s="23">
        <f>T29</f>
        <v>0.18541666666666667</v>
      </c>
      <c r="X29" s="23">
        <f>S30</f>
        <v>0.2048611111111111</v>
      </c>
      <c r="Y29" s="23"/>
      <c r="Z29" s="23"/>
      <c r="AA29" s="632"/>
      <c r="AB29" s="632"/>
      <c r="AC29" s="25">
        <v>7</v>
      </c>
      <c r="AD29" s="25"/>
      <c r="AE29" s="19">
        <f t="shared" si="8"/>
        <v>-114.28571428571422</v>
      </c>
      <c r="AF29" s="449">
        <f t="shared" si="9"/>
        <v>0.95238095238095244</v>
      </c>
      <c r="AG29" s="637">
        <f>AF36</f>
        <v>0.95532935549131537</v>
      </c>
    </row>
    <row r="30" spans="1:33" ht="15.75" customHeight="1">
      <c r="A30" s="654" t="s">
        <v>2310</v>
      </c>
      <c r="B30" s="42" t="s">
        <v>116</v>
      </c>
      <c r="C30" s="653" t="s">
        <v>118</v>
      </c>
      <c r="D30" s="653"/>
      <c r="E30" s="42">
        <v>26.37</v>
      </c>
      <c r="F30" s="455">
        <v>6873</v>
      </c>
      <c r="G30" s="448">
        <f t="shared" si="23"/>
        <v>181241.01</v>
      </c>
      <c r="H30" s="37" t="s">
        <v>91</v>
      </c>
      <c r="I30" s="453">
        <v>18</v>
      </c>
      <c r="J30" s="39">
        <v>2400</v>
      </c>
      <c r="K30" s="17">
        <f t="shared" si="1"/>
        <v>133.33333333333334</v>
      </c>
      <c r="L30" s="453">
        <v>18</v>
      </c>
      <c r="M30" s="18">
        <f t="shared" si="24"/>
        <v>2291</v>
      </c>
      <c r="N30" s="17">
        <f t="shared" si="3"/>
        <v>127.27777777777777</v>
      </c>
      <c r="O30" s="19">
        <f t="shared" si="4"/>
        <v>0</v>
      </c>
      <c r="P30" s="20">
        <f t="shared" si="5"/>
        <v>-6.0555555555555713</v>
      </c>
      <c r="Q30" s="449">
        <f t="shared" si="6"/>
        <v>0.95458333333333323</v>
      </c>
      <c r="R30" s="637"/>
      <c r="S30" s="40">
        <v>0.2048611111111111</v>
      </c>
      <c r="T30" s="40">
        <v>0.3298611111111111</v>
      </c>
      <c r="U30" s="448">
        <f t="shared" ref="U30:U35" si="26">(S30-T29)*24*60</f>
        <v>27.999999999999979</v>
      </c>
      <c r="V30" s="454">
        <f t="shared" si="25"/>
        <v>180</v>
      </c>
      <c r="W30" s="23"/>
      <c r="X30" s="23"/>
      <c r="Y30" s="23"/>
      <c r="Z30" s="23"/>
      <c r="AA30" s="632"/>
      <c r="AB30" s="632"/>
      <c r="AC30" s="25"/>
      <c r="AD30" s="25"/>
      <c r="AE30" s="19">
        <f t="shared" si="8"/>
        <v>-109</v>
      </c>
      <c r="AF30" s="449">
        <f t="shared" si="9"/>
        <v>0.95458333333333334</v>
      </c>
      <c r="AG30" s="637"/>
    </row>
    <row r="31" spans="1:33" ht="15.75" customHeight="1">
      <c r="A31" s="654" t="s">
        <v>2310</v>
      </c>
      <c r="B31" s="42" t="s">
        <v>116</v>
      </c>
      <c r="C31" s="653" t="s">
        <v>124</v>
      </c>
      <c r="D31" s="653"/>
      <c r="E31" s="42">
        <v>24.43</v>
      </c>
      <c r="F31" s="455">
        <v>4200</v>
      </c>
      <c r="G31" s="448">
        <f t="shared" si="23"/>
        <v>102606</v>
      </c>
      <c r="H31" s="37">
        <v>2</v>
      </c>
      <c r="I31" s="453">
        <v>14</v>
      </c>
      <c r="J31" s="39">
        <v>2400</v>
      </c>
      <c r="K31" s="17">
        <f t="shared" si="1"/>
        <v>171.42857142857142</v>
      </c>
      <c r="L31" s="453">
        <v>14</v>
      </c>
      <c r="M31" s="18">
        <f t="shared" si="24"/>
        <v>2290.909090909091</v>
      </c>
      <c r="N31" s="17">
        <f t="shared" si="3"/>
        <v>163.63636363636365</v>
      </c>
      <c r="O31" s="19">
        <f t="shared" si="4"/>
        <v>0</v>
      </c>
      <c r="P31" s="20">
        <f t="shared" si="5"/>
        <v>-7.7922077922077619</v>
      </c>
      <c r="Q31" s="449">
        <f t="shared" si="6"/>
        <v>0.9545454545454547</v>
      </c>
      <c r="R31" s="637"/>
      <c r="S31" s="40">
        <v>0.33333333333333331</v>
      </c>
      <c r="T31" s="40">
        <v>0.40972222222222221</v>
      </c>
      <c r="U31" s="448">
        <f t="shared" si="26"/>
        <v>4.9999999999999822</v>
      </c>
      <c r="V31" s="454">
        <f t="shared" si="25"/>
        <v>110.00000000000001</v>
      </c>
      <c r="W31" s="23"/>
      <c r="X31" s="23"/>
      <c r="Y31" s="23"/>
      <c r="Z31" s="23"/>
      <c r="AA31" s="632"/>
      <c r="AB31" s="632"/>
      <c r="AC31" s="25"/>
      <c r="AD31" s="25"/>
      <c r="AE31" s="19">
        <f t="shared" si="8"/>
        <v>-109.09090909090901</v>
      </c>
      <c r="AF31" s="449">
        <f t="shared" si="9"/>
        <v>0.95454545454545459</v>
      </c>
      <c r="AG31" s="637"/>
    </row>
    <row r="32" spans="1:33" ht="15.75" customHeight="1">
      <c r="A32" s="654" t="s">
        <v>2310</v>
      </c>
      <c r="B32" s="42" t="s">
        <v>116</v>
      </c>
      <c r="C32" s="653" t="s">
        <v>149</v>
      </c>
      <c r="D32" s="653"/>
      <c r="E32" s="42">
        <v>24.25</v>
      </c>
      <c r="F32" s="455">
        <v>3269</v>
      </c>
      <c r="G32" s="448">
        <f t="shared" si="23"/>
        <v>79273.25</v>
      </c>
      <c r="H32" s="37" t="s">
        <v>91</v>
      </c>
      <c r="I32" s="453">
        <v>16</v>
      </c>
      <c r="J32" s="39">
        <v>2400</v>
      </c>
      <c r="K32" s="17">
        <f t="shared" si="1"/>
        <v>150</v>
      </c>
      <c r="L32" s="453">
        <v>16</v>
      </c>
      <c r="M32" s="18">
        <f t="shared" si="24"/>
        <v>2280.697674418604</v>
      </c>
      <c r="N32" s="17">
        <f t="shared" si="3"/>
        <v>142.54360465116275</v>
      </c>
      <c r="O32" s="19">
        <f t="shared" si="4"/>
        <v>0</v>
      </c>
      <c r="P32" s="20">
        <f t="shared" si="5"/>
        <v>-7.4563953488372476</v>
      </c>
      <c r="Q32" s="449">
        <f t="shared" si="6"/>
        <v>0.95029069767441832</v>
      </c>
      <c r="R32" s="637"/>
      <c r="S32" s="40">
        <v>0.41319444444444442</v>
      </c>
      <c r="T32" s="40">
        <v>0.47291666666666665</v>
      </c>
      <c r="U32" s="448">
        <f t="shared" si="26"/>
        <v>4.9999999999999822</v>
      </c>
      <c r="V32" s="454">
        <f t="shared" si="25"/>
        <v>86.000000000000014</v>
      </c>
      <c r="W32" s="23"/>
      <c r="X32" s="23"/>
      <c r="Y32" s="23"/>
      <c r="Z32" s="23"/>
      <c r="AA32" s="632"/>
      <c r="AB32" s="632"/>
      <c r="AC32" s="25"/>
      <c r="AD32" s="25"/>
      <c r="AE32" s="19">
        <f t="shared" si="8"/>
        <v>-119.30232558139596</v>
      </c>
      <c r="AF32" s="449">
        <f t="shared" si="9"/>
        <v>0.95029069767441832</v>
      </c>
      <c r="AG32" s="637"/>
    </row>
    <row r="33" spans="1:33" ht="15.75" customHeight="1">
      <c r="A33" s="654" t="s">
        <v>2310</v>
      </c>
      <c r="B33" s="42" t="s">
        <v>116</v>
      </c>
      <c r="C33" s="653" t="s">
        <v>120</v>
      </c>
      <c r="D33" s="653"/>
      <c r="E33" s="42">
        <v>25.99</v>
      </c>
      <c r="F33" s="455">
        <v>1273</v>
      </c>
      <c r="G33" s="448">
        <f t="shared" si="23"/>
        <v>33085.269999999997</v>
      </c>
      <c r="H33" s="37" t="s">
        <v>91</v>
      </c>
      <c r="I33" s="453">
        <v>18</v>
      </c>
      <c r="J33" s="39">
        <v>2400</v>
      </c>
      <c r="K33" s="17">
        <f t="shared" si="1"/>
        <v>133.33333333333334</v>
      </c>
      <c r="L33" s="453">
        <v>18</v>
      </c>
      <c r="M33" s="18">
        <f t="shared" si="24"/>
        <v>2314.5454545454518</v>
      </c>
      <c r="N33" s="17">
        <f t="shared" si="3"/>
        <v>128.58585858585843</v>
      </c>
      <c r="O33" s="19">
        <f t="shared" si="4"/>
        <v>0</v>
      </c>
      <c r="P33" s="20">
        <f t="shared" si="5"/>
        <v>-4.7474747474749108</v>
      </c>
      <c r="Q33" s="449">
        <f t="shared" si="6"/>
        <v>0.96439393939393814</v>
      </c>
      <c r="R33" s="637"/>
      <c r="S33" s="40">
        <v>0.4770833333333333</v>
      </c>
      <c r="T33" s="40">
        <v>0.5</v>
      </c>
      <c r="U33" s="448">
        <f t="shared" si="26"/>
        <v>5.9999999999999787</v>
      </c>
      <c r="V33" s="454">
        <f t="shared" si="25"/>
        <v>33.000000000000043</v>
      </c>
      <c r="W33" s="23">
        <f>T33</f>
        <v>0.5</v>
      </c>
      <c r="X33" s="23">
        <f>S34</f>
        <v>0.54166666666666663</v>
      </c>
      <c r="Y33" s="23"/>
      <c r="Z33" s="23"/>
      <c r="AA33" s="632"/>
      <c r="AB33" s="632"/>
      <c r="AC33" s="25"/>
      <c r="AD33" s="25"/>
      <c r="AE33" s="19">
        <f t="shared" si="8"/>
        <v>-85.454545454548224</v>
      </c>
      <c r="AF33" s="449">
        <f t="shared" si="9"/>
        <v>0.96439393939393825</v>
      </c>
      <c r="AG33" s="637"/>
    </row>
    <row r="34" spans="1:33" ht="15.75" customHeight="1">
      <c r="A34" s="654" t="s">
        <v>2310</v>
      </c>
      <c r="B34" s="42" t="s">
        <v>116</v>
      </c>
      <c r="C34" s="653" t="s">
        <v>124</v>
      </c>
      <c r="D34" s="653"/>
      <c r="E34" s="42">
        <v>24.43</v>
      </c>
      <c r="F34" s="455">
        <v>3440</v>
      </c>
      <c r="G34" s="448">
        <f t="shared" si="23"/>
        <v>84039.2</v>
      </c>
      <c r="H34" s="37" t="s">
        <v>91</v>
      </c>
      <c r="I34" s="453">
        <v>14</v>
      </c>
      <c r="J34" s="39">
        <v>2400</v>
      </c>
      <c r="K34" s="17">
        <f t="shared" si="1"/>
        <v>171.42857142857142</v>
      </c>
      <c r="L34" s="453">
        <v>14</v>
      </c>
      <c r="M34" s="18">
        <f t="shared" si="24"/>
        <v>2293.3333333333335</v>
      </c>
      <c r="N34" s="17">
        <f t="shared" si="3"/>
        <v>163.80952380952382</v>
      </c>
      <c r="O34" s="19">
        <f t="shared" si="4"/>
        <v>0</v>
      </c>
      <c r="P34" s="20">
        <f t="shared" si="5"/>
        <v>-7.619047619047592</v>
      </c>
      <c r="Q34" s="449">
        <f t="shared" si="6"/>
        <v>0.95555555555555571</v>
      </c>
      <c r="R34" s="637"/>
      <c r="S34" s="40">
        <v>0.54166666666666663</v>
      </c>
      <c r="T34" s="40">
        <v>0.60416666666666663</v>
      </c>
      <c r="U34" s="448">
        <f t="shared" si="26"/>
        <v>59.999999999999943</v>
      </c>
      <c r="V34" s="454">
        <f t="shared" si="25"/>
        <v>90</v>
      </c>
      <c r="W34" s="23"/>
      <c r="X34" s="23"/>
      <c r="Y34" s="23"/>
      <c r="Z34" s="23"/>
      <c r="AA34" s="632"/>
      <c r="AB34" s="632"/>
      <c r="AC34" s="25"/>
      <c r="AD34" s="25"/>
      <c r="AE34" s="19">
        <f t="shared" si="8"/>
        <v>-106.66666666666652</v>
      </c>
      <c r="AF34" s="449">
        <f t="shared" si="9"/>
        <v>0.9555555555555556</v>
      </c>
      <c r="AG34" s="637"/>
    </row>
    <row r="35" spans="1:33" ht="15.75" customHeight="1">
      <c r="A35" s="654" t="s">
        <v>2310</v>
      </c>
      <c r="B35" s="42" t="s">
        <v>116</v>
      </c>
      <c r="C35" s="653" t="s">
        <v>117</v>
      </c>
      <c r="D35" s="653"/>
      <c r="E35" s="42">
        <v>31.29</v>
      </c>
      <c r="F35" s="455">
        <v>4472</v>
      </c>
      <c r="G35" s="448">
        <f t="shared" si="23"/>
        <v>139928.88</v>
      </c>
      <c r="H35" s="37" t="s">
        <v>91</v>
      </c>
      <c r="I35" s="453">
        <v>18</v>
      </c>
      <c r="J35" s="39">
        <v>2400</v>
      </c>
      <c r="K35" s="17">
        <f t="shared" si="1"/>
        <v>133.33333333333334</v>
      </c>
      <c r="L35" s="453">
        <v>18</v>
      </c>
      <c r="M35" s="18">
        <f t="shared" si="24"/>
        <v>2293.3333333333321</v>
      </c>
      <c r="N35" s="17">
        <f t="shared" si="3"/>
        <v>127.40740740740733</v>
      </c>
      <c r="O35" s="19">
        <f t="shared" si="4"/>
        <v>0</v>
      </c>
      <c r="P35" s="20">
        <f t="shared" si="5"/>
        <v>-5.9259259259260091</v>
      </c>
      <c r="Q35" s="449">
        <f t="shared" si="6"/>
        <v>0.95555555555555494</v>
      </c>
      <c r="R35" s="637"/>
      <c r="S35" s="40">
        <v>0.60833333333333328</v>
      </c>
      <c r="T35" s="40">
        <v>0.68958333333333333</v>
      </c>
      <c r="U35" s="448">
        <f t="shared" si="26"/>
        <v>5.9999999999999787</v>
      </c>
      <c r="V35" s="454">
        <f t="shared" si="25"/>
        <v>117.00000000000006</v>
      </c>
      <c r="W35" s="23"/>
      <c r="X35" s="23"/>
      <c r="Y35" s="23"/>
      <c r="Z35" s="23"/>
      <c r="AA35" s="632"/>
      <c r="AB35" s="632"/>
      <c r="AC35" s="25"/>
      <c r="AD35" s="25"/>
      <c r="AE35" s="19">
        <f t="shared" si="8"/>
        <v>-106.66666666666788</v>
      </c>
      <c r="AF35" s="449">
        <f t="shared" si="9"/>
        <v>0.95555555555555505</v>
      </c>
      <c r="AG35" s="637"/>
    </row>
    <row r="36" spans="1:33" ht="15.75" customHeight="1">
      <c r="A36" s="654" t="s">
        <v>2310</v>
      </c>
      <c r="B36" s="42" t="s">
        <v>2307</v>
      </c>
      <c r="C36" s="638"/>
      <c r="D36" s="638"/>
      <c r="E36" s="450"/>
      <c r="F36" s="455"/>
      <c r="G36" s="448"/>
      <c r="H36" s="455"/>
      <c r="I36" s="29">
        <v>16.571428571428573</v>
      </c>
      <c r="J36" s="39">
        <v>2400</v>
      </c>
      <c r="K36" s="17">
        <f t="shared" si="1"/>
        <v>144.82758620689654</v>
      </c>
      <c r="L36" s="29">
        <v>16.571428571428573</v>
      </c>
      <c r="M36" s="18">
        <f>AVERAGE(M29:M35)</f>
        <v>2292.7904531791569</v>
      </c>
      <c r="N36" s="17">
        <f t="shared" si="3"/>
        <v>138.35804458839738</v>
      </c>
      <c r="O36" s="19">
        <f t="shared" si="4"/>
        <v>0</v>
      </c>
      <c r="P36" s="20">
        <f t="shared" si="5"/>
        <v>-6.4695416184991643</v>
      </c>
      <c r="Q36" s="449">
        <f t="shared" si="6"/>
        <v>0.95532935549131526</v>
      </c>
      <c r="R36" s="637"/>
      <c r="S36" s="40"/>
      <c r="T36" s="40"/>
      <c r="U36" s="448"/>
      <c r="V36" s="454"/>
      <c r="W36" s="448"/>
      <c r="X36" s="448"/>
      <c r="Y36" s="30">
        <f>SUM(Y29:Y35)</f>
        <v>0</v>
      </c>
      <c r="Z36" s="30">
        <f>SUM(Z29:Z35)</f>
        <v>0</v>
      </c>
      <c r="AA36" s="631"/>
      <c r="AB36" s="631"/>
      <c r="AC36" s="30">
        <v>7</v>
      </c>
      <c r="AD36" s="30">
        <f>SUM(AD29:AD35)</f>
        <v>0</v>
      </c>
      <c r="AE36" s="19">
        <f t="shared" si="8"/>
        <v>-107.20954682084312</v>
      </c>
      <c r="AF36" s="449">
        <f t="shared" si="9"/>
        <v>0.95532935549131537</v>
      </c>
      <c r="AG36" s="637"/>
    </row>
    <row r="37" spans="1:33" ht="15.75" customHeight="1">
      <c r="A37" s="651" t="s">
        <v>2311</v>
      </c>
      <c r="B37" s="42" t="s">
        <v>116</v>
      </c>
      <c r="C37" s="633" t="s">
        <v>123</v>
      </c>
      <c r="D37" s="633"/>
      <c r="E37" s="42">
        <v>26.18</v>
      </c>
      <c r="F37" s="455">
        <v>3500</v>
      </c>
      <c r="G37" s="448">
        <f t="shared" ref="G37:G43" si="27">E37*F37</f>
        <v>91630</v>
      </c>
      <c r="H37" s="37">
        <v>2</v>
      </c>
      <c r="I37" s="453">
        <v>20</v>
      </c>
      <c r="J37" s="39">
        <v>2400</v>
      </c>
      <c r="K37" s="17">
        <f t="shared" si="1"/>
        <v>120</v>
      </c>
      <c r="L37" s="453">
        <v>20</v>
      </c>
      <c r="M37" s="18">
        <f t="shared" ref="M37:M43" si="28">F37/V37*60</f>
        <v>2282.608695652174</v>
      </c>
      <c r="N37" s="17">
        <f t="shared" si="3"/>
        <v>114.1304347826087</v>
      </c>
      <c r="O37" s="19">
        <f t="shared" si="4"/>
        <v>0</v>
      </c>
      <c r="P37" s="20">
        <f t="shared" si="5"/>
        <v>-5.8695652173912976</v>
      </c>
      <c r="Q37" s="449">
        <f t="shared" si="6"/>
        <v>0.95108695652173914</v>
      </c>
      <c r="R37" s="637">
        <f>Q44</f>
        <v>0.95299330037977892</v>
      </c>
      <c r="S37" s="40">
        <v>8.3333333333333329E-2</v>
      </c>
      <c r="T37" s="40">
        <v>0.14722222222222223</v>
      </c>
      <c r="U37" s="448"/>
      <c r="V37" s="454">
        <f t="shared" ref="V37:V43" si="29">(T37-S37)*24*60</f>
        <v>92.000000000000014</v>
      </c>
      <c r="W37" s="28">
        <f>T37</f>
        <v>0.14722222222222223</v>
      </c>
      <c r="X37" s="28">
        <f>S38</f>
        <v>0.1645833333333333</v>
      </c>
      <c r="Y37" s="28"/>
      <c r="Z37" s="28"/>
      <c r="AA37" s="632"/>
      <c r="AB37" s="632"/>
      <c r="AC37" s="25">
        <v>7</v>
      </c>
      <c r="AD37" s="25"/>
      <c r="AE37" s="19">
        <f t="shared" si="8"/>
        <v>-117.39130434782601</v>
      </c>
      <c r="AF37" s="449">
        <f t="shared" si="9"/>
        <v>0.95108695652173914</v>
      </c>
      <c r="AG37" s="637">
        <f>AF44</f>
        <v>0.95299330037977881</v>
      </c>
    </row>
    <row r="38" spans="1:33" ht="15.75" customHeight="1">
      <c r="A38" s="651" t="s">
        <v>2311</v>
      </c>
      <c r="B38" s="42" t="s">
        <v>116</v>
      </c>
      <c r="C38" s="633" t="s">
        <v>147</v>
      </c>
      <c r="D38" s="633"/>
      <c r="E38" s="42">
        <v>25.98</v>
      </c>
      <c r="F38" s="455">
        <v>2516</v>
      </c>
      <c r="G38" s="448">
        <f t="shared" si="27"/>
        <v>65365.68</v>
      </c>
      <c r="H38" s="37" t="s">
        <v>91</v>
      </c>
      <c r="I38" s="453">
        <v>17</v>
      </c>
      <c r="J38" s="39">
        <v>2400</v>
      </c>
      <c r="K38" s="17">
        <f t="shared" si="1"/>
        <v>141.1764705882353</v>
      </c>
      <c r="L38" s="453">
        <v>17</v>
      </c>
      <c r="M38" s="18">
        <f t="shared" si="28"/>
        <v>2287.2727272727275</v>
      </c>
      <c r="N38" s="17">
        <f t="shared" si="3"/>
        <v>134.54545454545456</v>
      </c>
      <c r="O38" s="19">
        <f t="shared" si="4"/>
        <v>0</v>
      </c>
      <c r="P38" s="20">
        <f t="shared" si="5"/>
        <v>-6.6310160427807432</v>
      </c>
      <c r="Q38" s="449">
        <f t="shared" si="6"/>
        <v>0.95303030303030312</v>
      </c>
      <c r="R38" s="637"/>
      <c r="S38" s="40">
        <v>0.1645833333333333</v>
      </c>
      <c r="T38" s="40">
        <v>0.21041666666666664</v>
      </c>
      <c r="U38" s="448">
        <f t="shared" ref="U38:U43" si="30">(S38-T37)*24*60</f>
        <v>24.99999999999995</v>
      </c>
      <c r="V38" s="454">
        <f t="shared" si="29"/>
        <v>66</v>
      </c>
      <c r="W38" s="448"/>
      <c r="X38" s="448"/>
      <c r="Y38" s="448"/>
      <c r="Z38" s="448"/>
      <c r="AA38" s="632"/>
      <c r="AB38" s="632"/>
      <c r="AC38" s="25"/>
      <c r="AD38" s="25"/>
      <c r="AE38" s="19">
        <f t="shared" si="8"/>
        <v>-112.72727272727252</v>
      </c>
      <c r="AF38" s="449">
        <f t="shared" si="9"/>
        <v>0.95303030303030312</v>
      </c>
      <c r="AG38" s="637"/>
    </row>
    <row r="39" spans="1:33">
      <c r="A39" s="652" t="s">
        <v>2311</v>
      </c>
      <c r="B39" s="42" t="s">
        <v>116</v>
      </c>
      <c r="C39" s="633" t="s">
        <v>119</v>
      </c>
      <c r="D39" s="633"/>
      <c r="E39" s="42">
        <v>26.18</v>
      </c>
      <c r="F39" s="455">
        <v>5000</v>
      </c>
      <c r="G39" s="448">
        <f t="shared" si="27"/>
        <v>130900</v>
      </c>
      <c r="H39" s="37">
        <v>2</v>
      </c>
      <c r="I39" s="453">
        <v>18</v>
      </c>
      <c r="J39" s="39">
        <v>2400</v>
      </c>
      <c r="K39" s="17">
        <f t="shared" si="1"/>
        <v>133.33333333333334</v>
      </c>
      <c r="L39" s="453">
        <v>18</v>
      </c>
      <c r="M39" s="18">
        <f t="shared" si="28"/>
        <v>2290.0763358778631</v>
      </c>
      <c r="N39" s="17">
        <f t="shared" si="3"/>
        <v>127.22646310432573</v>
      </c>
      <c r="O39" s="19">
        <f t="shared" si="4"/>
        <v>0</v>
      </c>
      <c r="P39" s="20">
        <f t="shared" si="5"/>
        <v>-6.1068702290076118</v>
      </c>
      <c r="Q39" s="449">
        <f t="shared" si="6"/>
        <v>0.95419847328244289</v>
      </c>
      <c r="R39" s="637"/>
      <c r="S39" s="40">
        <v>0.21458333333333332</v>
      </c>
      <c r="T39" s="40">
        <v>0.30555555555555552</v>
      </c>
      <c r="U39" s="448">
        <f t="shared" si="30"/>
        <v>6.0000000000000187</v>
      </c>
      <c r="V39" s="454">
        <f t="shared" si="29"/>
        <v>130.99999999999997</v>
      </c>
      <c r="W39" s="448"/>
      <c r="X39" s="448"/>
      <c r="Y39" s="448"/>
      <c r="Z39" s="448"/>
      <c r="AA39" s="632"/>
      <c r="AB39" s="632"/>
      <c r="AC39" s="25"/>
      <c r="AD39" s="25"/>
      <c r="AE39" s="19">
        <f t="shared" si="8"/>
        <v>-109.92366412213687</v>
      </c>
      <c r="AF39" s="449">
        <f t="shared" si="9"/>
        <v>0.954198473282443</v>
      </c>
      <c r="AG39" s="637"/>
    </row>
    <row r="40" spans="1:33">
      <c r="A40" s="652" t="s">
        <v>2311</v>
      </c>
      <c r="B40" s="42" t="s">
        <v>116</v>
      </c>
      <c r="C40" s="633" t="s">
        <v>121</v>
      </c>
      <c r="D40" s="633"/>
      <c r="E40" s="42">
        <v>25.99</v>
      </c>
      <c r="F40" s="455">
        <v>4060</v>
      </c>
      <c r="G40" s="448">
        <f t="shared" si="27"/>
        <v>105519.4</v>
      </c>
      <c r="H40" s="37" t="s">
        <v>91</v>
      </c>
      <c r="I40" s="453">
        <v>14</v>
      </c>
      <c r="J40" s="39">
        <v>2400</v>
      </c>
      <c r="K40" s="17">
        <f t="shared" si="1"/>
        <v>171.42857142857142</v>
      </c>
      <c r="L40" s="453">
        <v>14</v>
      </c>
      <c r="M40" s="18">
        <f t="shared" si="28"/>
        <v>2298.1132075471692</v>
      </c>
      <c r="N40" s="17">
        <f t="shared" si="3"/>
        <v>164.15094339622638</v>
      </c>
      <c r="O40" s="19">
        <f t="shared" si="4"/>
        <v>0</v>
      </c>
      <c r="P40" s="20">
        <f t="shared" si="5"/>
        <v>-7.2776280323450351</v>
      </c>
      <c r="Q40" s="449">
        <f t="shared" si="6"/>
        <v>0.9575471698113206</v>
      </c>
      <c r="R40" s="637"/>
      <c r="S40" s="40">
        <v>0.30902777777777773</v>
      </c>
      <c r="T40" s="40">
        <v>0.38263888888888886</v>
      </c>
      <c r="U40" s="448">
        <f t="shared" si="30"/>
        <v>4.9999999999999822</v>
      </c>
      <c r="V40" s="454">
        <f t="shared" si="29"/>
        <v>106.00000000000003</v>
      </c>
      <c r="W40" s="23"/>
      <c r="X40" s="23"/>
      <c r="Y40" s="23"/>
      <c r="Z40" s="23"/>
      <c r="AA40" s="632"/>
      <c r="AB40" s="632"/>
      <c r="AC40" s="25"/>
      <c r="AD40" s="25"/>
      <c r="AE40" s="19">
        <f t="shared" si="8"/>
        <v>-101.88679245283083</v>
      </c>
      <c r="AF40" s="449">
        <f t="shared" si="9"/>
        <v>0.95754716981132049</v>
      </c>
      <c r="AG40" s="637"/>
    </row>
    <row r="41" spans="1:33">
      <c r="A41" s="652" t="s">
        <v>2311</v>
      </c>
      <c r="B41" s="42" t="s">
        <v>116</v>
      </c>
      <c r="C41" s="633" t="s">
        <v>126</v>
      </c>
      <c r="D41" s="633"/>
      <c r="E41" s="42">
        <v>34.1</v>
      </c>
      <c r="F41" s="455">
        <v>3700</v>
      </c>
      <c r="G41" s="448">
        <f t="shared" si="27"/>
        <v>126170</v>
      </c>
      <c r="H41" s="37">
        <v>2</v>
      </c>
      <c r="I41" s="453">
        <v>17</v>
      </c>
      <c r="J41" s="39">
        <v>1600</v>
      </c>
      <c r="K41" s="17">
        <f t="shared" si="1"/>
        <v>94.117647058823536</v>
      </c>
      <c r="L41" s="453">
        <v>17</v>
      </c>
      <c r="M41" s="18">
        <f t="shared" si="28"/>
        <v>1520.5479452054797</v>
      </c>
      <c r="N41" s="17">
        <f t="shared" si="3"/>
        <v>89.443996776792915</v>
      </c>
      <c r="O41" s="19">
        <f t="shared" si="4"/>
        <v>0</v>
      </c>
      <c r="P41" s="20">
        <f t="shared" si="5"/>
        <v>-4.6736502820306214</v>
      </c>
      <c r="Q41" s="449">
        <f t="shared" si="6"/>
        <v>0.95034246575342463</v>
      </c>
      <c r="R41" s="637"/>
      <c r="S41" s="40">
        <v>0.38749999999999996</v>
      </c>
      <c r="T41" s="40">
        <v>0.48888888888888882</v>
      </c>
      <c r="U41" s="448">
        <f t="shared" si="30"/>
        <v>6.9999999999999751</v>
      </c>
      <c r="V41" s="454">
        <f t="shared" si="29"/>
        <v>145.99999999999997</v>
      </c>
      <c r="W41" s="23">
        <f>T41</f>
        <v>0.48888888888888882</v>
      </c>
      <c r="X41" s="23">
        <f>S42</f>
        <v>0.53124999999999989</v>
      </c>
      <c r="Y41" s="23"/>
      <c r="Z41" s="23"/>
      <c r="AA41" s="632"/>
      <c r="AB41" s="632"/>
      <c r="AC41" s="25"/>
      <c r="AD41" s="25"/>
      <c r="AE41" s="19">
        <f t="shared" si="8"/>
        <v>-79.452054794520336</v>
      </c>
      <c r="AF41" s="449">
        <f t="shared" si="9"/>
        <v>0.95034246575342474</v>
      </c>
      <c r="AG41" s="637"/>
    </row>
    <row r="42" spans="1:33">
      <c r="A42" s="652" t="s">
        <v>2311</v>
      </c>
      <c r="B42" s="42" t="s">
        <v>116</v>
      </c>
      <c r="C42" s="633" t="s">
        <v>119</v>
      </c>
      <c r="D42" s="633"/>
      <c r="E42" s="42">
        <v>26.18</v>
      </c>
      <c r="F42" s="455">
        <v>4146</v>
      </c>
      <c r="G42" s="448">
        <f t="shared" si="27"/>
        <v>108542.28</v>
      </c>
      <c r="H42" s="37" t="s">
        <v>91</v>
      </c>
      <c r="I42" s="453">
        <v>18</v>
      </c>
      <c r="J42" s="39">
        <v>2400</v>
      </c>
      <c r="K42" s="17">
        <f t="shared" si="1"/>
        <v>133.33333333333334</v>
      </c>
      <c r="L42" s="453">
        <v>18</v>
      </c>
      <c r="M42" s="18">
        <f t="shared" si="28"/>
        <v>2282.2018348623869</v>
      </c>
      <c r="N42" s="17">
        <f t="shared" si="3"/>
        <v>126.78899082568816</v>
      </c>
      <c r="O42" s="19">
        <f t="shared" si="4"/>
        <v>0</v>
      </c>
      <c r="P42" s="20">
        <f t="shared" si="5"/>
        <v>-6.5443425076451831</v>
      </c>
      <c r="Q42" s="449">
        <f t="shared" si="6"/>
        <v>0.95091743119266114</v>
      </c>
      <c r="R42" s="637"/>
      <c r="S42" s="40">
        <v>0.53124999999999989</v>
      </c>
      <c r="T42" s="40">
        <v>0.60694444444444429</v>
      </c>
      <c r="U42" s="448">
        <f t="shared" si="30"/>
        <v>60.999999999999943</v>
      </c>
      <c r="V42" s="454">
        <f t="shared" si="29"/>
        <v>108.99999999999993</v>
      </c>
      <c r="W42" s="23"/>
      <c r="X42" s="23"/>
      <c r="Y42" s="23"/>
      <c r="Z42" s="23"/>
      <c r="AA42" s="632"/>
      <c r="AB42" s="632"/>
      <c r="AC42" s="25"/>
      <c r="AD42" s="25"/>
      <c r="AE42" s="19">
        <f t="shared" si="8"/>
        <v>-117.79816513761307</v>
      </c>
      <c r="AF42" s="449">
        <f t="shared" si="9"/>
        <v>0.95091743119266126</v>
      </c>
      <c r="AG42" s="637"/>
    </row>
    <row r="43" spans="1:33">
      <c r="A43" s="652" t="s">
        <v>2311</v>
      </c>
      <c r="B43" s="42" t="s">
        <v>116</v>
      </c>
      <c r="C43" s="633" t="s">
        <v>126</v>
      </c>
      <c r="D43" s="633"/>
      <c r="E43" s="42">
        <v>34.1</v>
      </c>
      <c r="F43" s="455">
        <v>3151</v>
      </c>
      <c r="G43" s="448">
        <f t="shared" si="27"/>
        <v>107449.1</v>
      </c>
      <c r="H43" s="37" t="s">
        <v>91</v>
      </c>
      <c r="I43" s="453">
        <v>17</v>
      </c>
      <c r="J43" s="39">
        <v>1600</v>
      </c>
      <c r="K43" s="17">
        <f t="shared" si="1"/>
        <v>94.117647058823536</v>
      </c>
      <c r="L43" s="453">
        <v>17</v>
      </c>
      <c r="M43" s="18">
        <f t="shared" si="28"/>
        <v>1524.6774193548383</v>
      </c>
      <c r="N43" s="17">
        <f t="shared" si="3"/>
        <v>89.686907020872837</v>
      </c>
      <c r="O43" s="19">
        <f t="shared" si="4"/>
        <v>0</v>
      </c>
      <c r="P43" s="20">
        <f t="shared" si="5"/>
        <v>-4.4307400379506987</v>
      </c>
      <c r="Q43" s="449">
        <f t="shared" si="6"/>
        <v>0.95292338709677382</v>
      </c>
      <c r="R43" s="637"/>
      <c r="S43" s="40">
        <v>0.61180555555555538</v>
      </c>
      <c r="T43" s="40">
        <v>0.69791666666666652</v>
      </c>
      <c r="U43" s="448">
        <f t="shared" si="30"/>
        <v>6.9999999999999751</v>
      </c>
      <c r="V43" s="454">
        <f t="shared" si="29"/>
        <v>124.00000000000004</v>
      </c>
      <c r="W43" s="23"/>
      <c r="X43" s="23"/>
      <c r="Y43" s="26"/>
      <c r="Z43" s="26"/>
      <c r="AA43" s="627"/>
      <c r="AB43" s="628"/>
      <c r="AC43" s="25"/>
      <c r="AD43" s="25"/>
      <c r="AE43" s="19">
        <f t="shared" si="8"/>
        <v>-75.322580645161679</v>
      </c>
      <c r="AF43" s="449">
        <f t="shared" si="9"/>
        <v>0.95292338709677393</v>
      </c>
      <c r="AG43" s="637"/>
    </row>
    <row r="44" spans="1:33">
      <c r="A44" s="652" t="s">
        <v>2311</v>
      </c>
      <c r="B44" s="44" t="s">
        <v>2307</v>
      </c>
      <c r="C44" s="638"/>
      <c r="D44" s="638"/>
      <c r="E44" s="450"/>
      <c r="F44" s="44"/>
      <c r="G44" s="17"/>
      <c r="H44" s="455"/>
      <c r="I44" s="29">
        <v>17.285714285714285</v>
      </c>
      <c r="J44" s="39">
        <v>2171.4285714285716</v>
      </c>
      <c r="K44" s="17">
        <f t="shared" si="1"/>
        <v>125.61983471074382</v>
      </c>
      <c r="L44" s="29">
        <v>17.285714285714285</v>
      </c>
      <c r="M44" s="18">
        <f>AVERAGE(M37:M43)</f>
        <v>2069.3568808246628</v>
      </c>
      <c r="N44" s="17">
        <f t="shared" si="3"/>
        <v>119.71486087415406</v>
      </c>
      <c r="O44" s="19">
        <f t="shared" si="4"/>
        <v>0</v>
      </c>
      <c r="P44" s="20">
        <f t="shared" si="5"/>
        <v>-5.904973836589761</v>
      </c>
      <c r="Q44" s="449">
        <f t="shared" si="6"/>
        <v>0.95299330037977892</v>
      </c>
      <c r="R44" s="637"/>
      <c r="S44" s="40"/>
      <c r="T44" s="40"/>
      <c r="U44" s="17"/>
      <c r="V44" s="454"/>
      <c r="W44" s="17"/>
      <c r="X44" s="17"/>
      <c r="Y44" s="30">
        <f>SUM(Y37:Y43)</f>
        <v>0</v>
      </c>
      <c r="Z44" s="30">
        <f>SUM(Z37:Z43)</f>
        <v>0</v>
      </c>
      <c r="AA44" s="631"/>
      <c r="AB44" s="631"/>
      <c r="AC44" s="30">
        <v>7</v>
      </c>
      <c r="AD44" s="30">
        <f>SUM(AD37:AD43)</f>
        <v>0</v>
      </c>
      <c r="AE44" s="19">
        <f t="shared" si="8"/>
        <v>-102.07169060390879</v>
      </c>
      <c r="AF44" s="449">
        <f t="shared" si="9"/>
        <v>0.95299330037977881</v>
      </c>
      <c r="AG44" s="637"/>
    </row>
    <row r="45" spans="1:33" ht="15.75" customHeight="1">
      <c r="A45" s="648" t="s">
        <v>2312</v>
      </c>
      <c r="B45" s="42" t="s">
        <v>127</v>
      </c>
      <c r="C45" s="625" t="s">
        <v>128</v>
      </c>
      <c r="D45" s="626"/>
      <c r="E45" s="42">
        <v>21.13</v>
      </c>
      <c r="F45" s="455">
        <v>6376</v>
      </c>
      <c r="G45" s="448">
        <f t="shared" ref="G45:G48" si="31">E45*F45</f>
        <v>134724.88</v>
      </c>
      <c r="H45" s="37" t="s">
        <v>91</v>
      </c>
      <c r="I45" s="453">
        <v>10</v>
      </c>
      <c r="J45" s="39">
        <v>3000</v>
      </c>
      <c r="K45" s="17">
        <f t="shared" si="1"/>
        <v>300</v>
      </c>
      <c r="L45" s="453">
        <v>10</v>
      </c>
      <c r="M45" s="18">
        <f t="shared" ref="M45:M48" si="32">F45/V45*60</f>
        <v>2854.9253731343269</v>
      </c>
      <c r="N45" s="18">
        <f t="shared" si="3"/>
        <v>285.49253731343271</v>
      </c>
      <c r="O45" s="19">
        <f t="shared" si="4"/>
        <v>0</v>
      </c>
      <c r="P45" s="20">
        <f t="shared" si="5"/>
        <v>-14.507462686567294</v>
      </c>
      <c r="Q45" s="449">
        <f t="shared" si="6"/>
        <v>0.95164179104477564</v>
      </c>
      <c r="R45" s="643">
        <f>Q49</f>
        <v>0.95769663197172006</v>
      </c>
      <c r="S45" s="40">
        <v>0.20833333333333334</v>
      </c>
      <c r="T45" s="40">
        <v>0.30138888888888893</v>
      </c>
      <c r="U45" s="28"/>
      <c r="V45" s="454">
        <f t="shared" ref="V45:V48" si="33">(T45-S45)*24*60</f>
        <v>134.00000000000006</v>
      </c>
      <c r="W45" s="23"/>
      <c r="X45" s="23"/>
      <c r="Y45" s="26"/>
      <c r="Z45" s="26"/>
      <c r="AA45" s="627"/>
      <c r="AB45" s="628"/>
      <c r="AC45" s="25">
        <v>4</v>
      </c>
      <c r="AD45" s="25"/>
      <c r="AE45" s="19">
        <f t="shared" si="8"/>
        <v>-145.07462686567305</v>
      </c>
      <c r="AF45" s="449">
        <f t="shared" si="9"/>
        <v>0.95164179104477564</v>
      </c>
      <c r="AG45" s="643">
        <f>AF49</f>
        <v>0.95769663197172006</v>
      </c>
    </row>
    <row r="46" spans="1:33" ht="15.75" customHeight="1">
      <c r="A46" s="649" t="s">
        <v>2312</v>
      </c>
      <c r="B46" s="42" t="s">
        <v>127</v>
      </c>
      <c r="C46" s="625" t="s">
        <v>129</v>
      </c>
      <c r="D46" s="626"/>
      <c r="E46" s="42">
        <v>27.17</v>
      </c>
      <c r="F46" s="455">
        <v>5439</v>
      </c>
      <c r="G46" s="448">
        <f t="shared" si="31"/>
        <v>147777.63</v>
      </c>
      <c r="H46" s="37" t="s">
        <v>91</v>
      </c>
      <c r="I46" s="453">
        <v>10</v>
      </c>
      <c r="J46" s="39">
        <v>3000</v>
      </c>
      <c r="K46" s="17">
        <f t="shared" si="1"/>
        <v>300</v>
      </c>
      <c r="L46" s="453">
        <v>10</v>
      </c>
      <c r="M46" s="18">
        <f t="shared" si="32"/>
        <v>2862.6315789473683</v>
      </c>
      <c r="N46" s="18">
        <f t="shared" si="3"/>
        <v>286.26315789473682</v>
      </c>
      <c r="O46" s="19">
        <f t="shared" si="4"/>
        <v>0</v>
      </c>
      <c r="P46" s="20">
        <f t="shared" si="5"/>
        <v>-13.736842105263179</v>
      </c>
      <c r="Q46" s="449">
        <f t="shared" si="6"/>
        <v>0.9542105263157894</v>
      </c>
      <c r="R46" s="644"/>
      <c r="S46" s="40">
        <v>0.30625000000000002</v>
      </c>
      <c r="T46" s="40">
        <v>0.38541666666666669</v>
      </c>
      <c r="U46" s="448">
        <f t="shared" ref="U46:U48" si="34">(S46-T45)*24*60</f>
        <v>6.9999999999999751</v>
      </c>
      <c r="V46" s="454">
        <f t="shared" si="33"/>
        <v>114</v>
      </c>
      <c r="W46" s="23"/>
      <c r="X46" s="23"/>
      <c r="Y46" s="26"/>
      <c r="Z46" s="26"/>
      <c r="AA46" s="627"/>
      <c r="AB46" s="628"/>
      <c r="AC46" s="25"/>
      <c r="AD46" s="25"/>
      <c r="AE46" s="19">
        <f t="shared" si="8"/>
        <v>-137.36842105263167</v>
      </c>
      <c r="AF46" s="449">
        <f t="shared" si="9"/>
        <v>0.9542105263157894</v>
      </c>
      <c r="AG46" s="644"/>
    </row>
    <row r="47" spans="1:33" ht="15.75" customHeight="1">
      <c r="A47" s="649" t="s">
        <v>2312</v>
      </c>
      <c r="B47" s="42" t="s">
        <v>127</v>
      </c>
      <c r="C47" s="625" t="s">
        <v>144</v>
      </c>
      <c r="D47" s="626"/>
      <c r="E47" s="42">
        <v>35.869999999999997</v>
      </c>
      <c r="F47" s="455">
        <v>3643</v>
      </c>
      <c r="G47" s="448">
        <f t="shared" si="31"/>
        <v>130674.40999999999</v>
      </c>
      <c r="H47" s="37" t="s">
        <v>91</v>
      </c>
      <c r="I47" s="453">
        <v>10</v>
      </c>
      <c r="J47" s="39">
        <v>3000</v>
      </c>
      <c r="K47" s="17">
        <f t="shared" si="1"/>
        <v>300</v>
      </c>
      <c r="L47" s="453">
        <v>10</v>
      </c>
      <c r="M47" s="18">
        <f t="shared" si="32"/>
        <v>2876.0526315789484</v>
      </c>
      <c r="N47" s="18">
        <f t="shared" si="3"/>
        <v>287.60526315789485</v>
      </c>
      <c r="O47" s="19">
        <f t="shared" si="4"/>
        <v>0</v>
      </c>
      <c r="P47" s="20">
        <f t="shared" si="5"/>
        <v>-12.394736842105146</v>
      </c>
      <c r="Q47" s="449">
        <f t="shared" si="6"/>
        <v>0.95868421052631614</v>
      </c>
      <c r="R47" s="644"/>
      <c r="S47" s="40">
        <v>0.39027777777777778</v>
      </c>
      <c r="T47" s="40">
        <v>0.44305555555555554</v>
      </c>
      <c r="U47" s="448">
        <f t="shared" si="34"/>
        <v>6.9999999999999751</v>
      </c>
      <c r="V47" s="454">
        <f t="shared" si="33"/>
        <v>75.999999999999972</v>
      </c>
      <c r="W47" s="23"/>
      <c r="X47" s="23"/>
      <c r="Y47" s="26"/>
      <c r="Z47" s="26"/>
      <c r="AA47" s="627"/>
      <c r="AB47" s="628"/>
      <c r="AC47" s="25"/>
      <c r="AD47" s="25"/>
      <c r="AE47" s="19">
        <f t="shared" si="8"/>
        <v>-123.94736842105158</v>
      </c>
      <c r="AF47" s="449">
        <f t="shared" si="9"/>
        <v>0.95868421052631614</v>
      </c>
      <c r="AG47" s="644"/>
    </row>
    <row r="48" spans="1:33" ht="15.75" customHeight="1">
      <c r="A48" s="649" t="s">
        <v>2312</v>
      </c>
      <c r="B48" s="42" t="s">
        <v>127</v>
      </c>
      <c r="C48" s="625" t="s">
        <v>131</v>
      </c>
      <c r="D48" s="626"/>
      <c r="E48" s="42">
        <v>34.35</v>
      </c>
      <c r="F48" s="455">
        <v>773</v>
      </c>
      <c r="G48" s="448">
        <f t="shared" si="31"/>
        <v>26552.550000000003</v>
      </c>
      <c r="H48" s="37" t="s">
        <v>91</v>
      </c>
      <c r="I48" s="453">
        <v>8</v>
      </c>
      <c r="J48" s="39">
        <v>3000</v>
      </c>
      <c r="K48" s="17">
        <f t="shared" si="1"/>
        <v>375</v>
      </c>
      <c r="L48" s="453">
        <v>8</v>
      </c>
      <c r="M48" s="18">
        <f t="shared" si="32"/>
        <v>2898.7499999999964</v>
      </c>
      <c r="N48" s="18">
        <f t="shared" si="3"/>
        <v>362.34374999999955</v>
      </c>
      <c r="O48" s="19">
        <f t="shared" si="4"/>
        <v>0</v>
      </c>
      <c r="P48" s="20">
        <f t="shared" si="5"/>
        <v>-12.656250000000455</v>
      </c>
      <c r="Q48" s="449">
        <f t="shared" si="6"/>
        <v>0.96624999999999883</v>
      </c>
      <c r="R48" s="644"/>
      <c r="S48" s="40">
        <v>0.44791666666666663</v>
      </c>
      <c r="T48" s="40">
        <v>0.45902777777777776</v>
      </c>
      <c r="U48" s="448">
        <f t="shared" si="34"/>
        <v>6.9999999999999751</v>
      </c>
      <c r="V48" s="454">
        <f t="shared" si="33"/>
        <v>16.000000000000021</v>
      </c>
      <c r="W48" s="23"/>
      <c r="X48" s="23"/>
      <c r="Y48" s="26"/>
      <c r="Z48" s="26"/>
      <c r="AA48" s="627"/>
      <c r="AB48" s="628"/>
      <c r="AC48" s="25"/>
      <c r="AD48" s="25"/>
      <c r="AE48" s="19">
        <f t="shared" si="8"/>
        <v>-101.25000000000364</v>
      </c>
      <c r="AF48" s="449">
        <f t="shared" si="9"/>
        <v>0.96624999999999883</v>
      </c>
      <c r="AG48" s="644"/>
    </row>
    <row r="49" spans="1:33" ht="15.75" customHeight="1">
      <c r="A49" s="650" t="s">
        <v>2312</v>
      </c>
      <c r="B49" s="42" t="s">
        <v>2307</v>
      </c>
      <c r="C49" s="629"/>
      <c r="D49" s="630"/>
      <c r="E49" s="446"/>
      <c r="F49" s="455"/>
      <c r="G49" s="448"/>
      <c r="H49" s="455"/>
      <c r="I49" s="29">
        <v>9.5</v>
      </c>
      <c r="J49" s="39">
        <v>3000</v>
      </c>
      <c r="K49" s="17">
        <f t="shared" si="1"/>
        <v>315.78947368421052</v>
      </c>
      <c r="L49" s="29">
        <v>9.5</v>
      </c>
      <c r="M49" s="18">
        <f>AVERAGE(M45:M48)</f>
        <v>2873.08989591516</v>
      </c>
      <c r="N49" s="17">
        <f t="shared" si="3"/>
        <v>302.43051535949053</v>
      </c>
      <c r="O49" s="19">
        <f t="shared" si="4"/>
        <v>0</v>
      </c>
      <c r="P49" s="20">
        <f t="shared" si="5"/>
        <v>-13.358958324719993</v>
      </c>
      <c r="Q49" s="449">
        <f t="shared" si="6"/>
        <v>0.95769663197172006</v>
      </c>
      <c r="R49" s="645"/>
      <c r="S49" s="40"/>
      <c r="T49" s="40"/>
      <c r="U49" s="448"/>
      <c r="V49" s="454"/>
      <c r="W49" s="23"/>
      <c r="X49" s="23"/>
      <c r="Y49" s="30">
        <f>SUM(Y45:Y48)</f>
        <v>0</v>
      </c>
      <c r="Z49" s="30">
        <f>SUM(Z45:Z48)</f>
        <v>0</v>
      </c>
      <c r="AA49" s="646"/>
      <c r="AB49" s="647"/>
      <c r="AC49" s="30">
        <v>4</v>
      </c>
      <c r="AD49" s="30">
        <f>SUM(AD45:AD48)</f>
        <v>0</v>
      </c>
      <c r="AE49" s="19">
        <f t="shared" si="8"/>
        <v>-126.91010408483999</v>
      </c>
      <c r="AF49" s="449">
        <f t="shared" si="9"/>
        <v>0.95769663197172006</v>
      </c>
      <c r="AG49" s="645"/>
    </row>
    <row r="50" spans="1:33" ht="15.75" customHeight="1">
      <c r="A50" s="641" t="s">
        <v>2313</v>
      </c>
      <c r="B50" s="42" t="s">
        <v>92</v>
      </c>
      <c r="C50" s="633" t="s">
        <v>133</v>
      </c>
      <c r="D50" s="633"/>
      <c r="E50" s="42">
        <v>59.04</v>
      </c>
      <c r="F50" s="48">
        <v>1742</v>
      </c>
      <c r="G50" s="448">
        <f t="shared" ref="G50:G56" si="35">E50*F50</f>
        <v>102847.67999999999</v>
      </c>
      <c r="H50" s="37" t="s">
        <v>91</v>
      </c>
      <c r="I50" s="453">
        <v>19</v>
      </c>
      <c r="J50" s="39">
        <v>2000</v>
      </c>
      <c r="K50" s="17">
        <f t="shared" si="1"/>
        <v>105.26315789473684</v>
      </c>
      <c r="L50" s="453">
        <v>19</v>
      </c>
      <c r="M50" s="18">
        <f t="shared" ref="M50" si="36">F50/V50*60</f>
        <v>1935.5555555555552</v>
      </c>
      <c r="N50" s="18">
        <f t="shared" si="3"/>
        <v>101.87134502923975</v>
      </c>
      <c r="O50" s="19">
        <f t="shared" si="4"/>
        <v>0</v>
      </c>
      <c r="P50" s="20">
        <f t="shared" si="5"/>
        <v>-3.3918128654970872</v>
      </c>
      <c r="Q50" s="449">
        <f t="shared" si="6"/>
        <v>0.96777777777777763</v>
      </c>
      <c r="R50" s="637">
        <f>Q57</f>
        <v>0.95974487108305817</v>
      </c>
      <c r="S50" s="40">
        <v>0.20833333333333334</v>
      </c>
      <c r="T50" s="40">
        <v>0.24583333333333335</v>
      </c>
      <c r="U50" s="28"/>
      <c r="V50" s="454">
        <f t="shared" ref="V50:V56" si="37">(T50-S50)*24*60</f>
        <v>54.000000000000007</v>
      </c>
      <c r="W50" s="23"/>
      <c r="X50" s="23"/>
      <c r="Y50" s="28"/>
      <c r="Z50" s="28"/>
      <c r="AA50" s="632"/>
      <c r="AB50" s="632"/>
      <c r="AC50" s="25">
        <v>7</v>
      </c>
      <c r="AD50" s="25"/>
      <c r="AE50" s="19">
        <f t="shared" si="8"/>
        <v>-64.444444444444798</v>
      </c>
      <c r="AF50" s="449">
        <f t="shared" si="9"/>
        <v>0.96777777777777763</v>
      </c>
      <c r="AG50" s="637">
        <f>AF57</f>
        <v>0.95974487108305828</v>
      </c>
    </row>
    <row r="51" spans="1:33" ht="15.75" customHeight="1">
      <c r="A51" s="641" t="s">
        <v>2313</v>
      </c>
      <c r="B51" s="42" t="s">
        <v>103</v>
      </c>
      <c r="C51" s="633" t="s">
        <v>132</v>
      </c>
      <c r="D51" s="633"/>
      <c r="E51" s="42">
        <v>51.44</v>
      </c>
      <c r="F51" s="48">
        <v>4329</v>
      </c>
      <c r="G51" s="448">
        <f t="shared" si="35"/>
        <v>222683.75999999998</v>
      </c>
      <c r="H51" s="37" t="s">
        <v>91</v>
      </c>
      <c r="I51" s="453">
        <v>18</v>
      </c>
      <c r="J51" s="39">
        <v>2000</v>
      </c>
      <c r="K51" s="17">
        <f t="shared" si="1"/>
        <v>111.11111111111111</v>
      </c>
      <c r="L51" s="453">
        <v>18</v>
      </c>
      <c r="M51" s="18">
        <f>F51/V51*60</f>
        <v>1909.8529411764707</v>
      </c>
      <c r="N51" s="18">
        <f t="shared" si="3"/>
        <v>106.10294117647059</v>
      </c>
      <c r="O51" s="19">
        <f t="shared" si="4"/>
        <v>0</v>
      </c>
      <c r="P51" s="20">
        <f t="shared" si="5"/>
        <v>-5.0081699346405202</v>
      </c>
      <c r="Q51" s="449">
        <f t="shared" si="6"/>
        <v>0.95492647058823532</v>
      </c>
      <c r="R51" s="637"/>
      <c r="S51" s="40">
        <v>0.25069444444444444</v>
      </c>
      <c r="T51" s="40">
        <v>0.34513888888888888</v>
      </c>
      <c r="U51" s="448">
        <f t="shared" ref="U51:U56" si="38">IF(S51=TIME(17,0,0),"",(S51-T50)*24*60)</f>
        <v>6.9999999999999751</v>
      </c>
      <c r="V51" s="454">
        <f t="shared" si="37"/>
        <v>136</v>
      </c>
      <c r="W51" s="23"/>
      <c r="X51" s="23"/>
      <c r="Y51" s="23"/>
      <c r="Z51" s="23"/>
      <c r="AA51" s="632"/>
      <c r="AB51" s="632"/>
      <c r="AC51" s="25"/>
      <c r="AD51" s="25"/>
      <c r="AE51" s="19">
        <f t="shared" si="8"/>
        <v>-90.147058823529278</v>
      </c>
      <c r="AF51" s="449">
        <f t="shared" si="9"/>
        <v>0.95492647058823532</v>
      </c>
      <c r="AG51" s="637"/>
    </row>
    <row r="52" spans="1:33" ht="15.75" customHeight="1">
      <c r="A52" s="641" t="s">
        <v>75</v>
      </c>
      <c r="B52" s="42" t="s">
        <v>92</v>
      </c>
      <c r="C52" s="625" t="s">
        <v>135</v>
      </c>
      <c r="D52" s="626"/>
      <c r="E52" s="42">
        <v>51.44</v>
      </c>
      <c r="F52" s="48">
        <v>1937</v>
      </c>
      <c r="G52" s="448">
        <f t="shared" si="35"/>
        <v>99639.28</v>
      </c>
      <c r="H52" s="37" t="s">
        <v>91</v>
      </c>
      <c r="I52" s="453">
        <v>25</v>
      </c>
      <c r="J52" s="39">
        <v>2000</v>
      </c>
      <c r="K52" s="17">
        <f t="shared" si="1"/>
        <v>80</v>
      </c>
      <c r="L52" s="453">
        <v>25</v>
      </c>
      <c r="M52" s="18">
        <f t="shared" ref="M52:M56" si="39">F52/V52*60</f>
        <v>1905.2459016393436</v>
      </c>
      <c r="N52" s="18">
        <f t="shared" si="3"/>
        <v>76.209836065573739</v>
      </c>
      <c r="O52" s="19">
        <f t="shared" si="4"/>
        <v>0</v>
      </c>
      <c r="P52" s="20">
        <f t="shared" si="5"/>
        <v>-3.7901639344262605</v>
      </c>
      <c r="Q52" s="449">
        <f t="shared" si="6"/>
        <v>0.95262295081967174</v>
      </c>
      <c r="R52" s="637"/>
      <c r="S52" s="40">
        <v>0.34861111111111109</v>
      </c>
      <c r="T52" s="40">
        <v>0.39097222222222222</v>
      </c>
      <c r="U52" s="448">
        <f t="shared" si="38"/>
        <v>4.9999999999999822</v>
      </c>
      <c r="V52" s="454">
        <f t="shared" si="37"/>
        <v>61.000000000000021</v>
      </c>
      <c r="W52" s="23"/>
      <c r="X52" s="23"/>
      <c r="Y52" s="26"/>
      <c r="Z52" s="26"/>
      <c r="AA52" s="632"/>
      <c r="AB52" s="632"/>
      <c r="AC52" s="25"/>
      <c r="AD52" s="25"/>
      <c r="AE52" s="19">
        <f t="shared" si="8"/>
        <v>-94.754098360656371</v>
      </c>
      <c r="AF52" s="449">
        <f t="shared" si="9"/>
        <v>0.95262295081967185</v>
      </c>
      <c r="AG52" s="637"/>
    </row>
    <row r="53" spans="1:33" ht="15.75" customHeight="1">
      <c r="A53" s="641" t="s">
        <v>2313</v>
      </c>
      <c r="B53" s="42" t="s">
        <v>96</v>
      </c>
      <c r="C53" s="442" t="s">
        <v>136</v>
      </c>
      <c r="D53" s="443"/>
      <c r="E53" s="42">
        <v>46</v>
      </c>
      <c r="F53" s="48">
        <v>1613</v>
      </c>
      <c r="G53" s="448">
        <f t="shared" si="35"/>
        <v>74198</v>
      </c>
      <c r="H53" s="37" t="s">
        <v>91</v>
      </c>
      <c r="I53" s="453">
        <v>16</v>
      </c>
      <c r="J53" s="39">
        <v>2000</v>
      </c>
      <c r="K53" s="17">
        <f t="shared" si="1"/>
        <v>125</v>
      </c>
      <c r="L53" s="453">
        <v>16</v>
      </c>
      <c r="M53" s="18">
        <f t="shared" si="39"/>
        <v>1935.6000000000008</v>
      </c>
      <c r="N53" s="18">
        <f t="shared" si="3"/>
        <v>120.97500000000005</v>
      </c>
      <c r="O53" s="19">
        <f t="shared" si="4"/>
        <v>0</v>
      </c>
      <c r="P53" s="20">
        <f t="shared" si="5"/>
        <v>-4.0249999999999488</v>
      </c>
      <c r="Q53" s="449">
        <f t="shared" si="6"/>
        <v>0.96780000000000044</v>
      </c>
      <c r="R53" s="637"/>
      <c r="S53" s="40">
        <v>0.39583333333333331</v>
      </c>
      <c r="T53" s="40">
        <v>0.43055555555555552</v>
      </c>
      <c r="U53" s="448">
        <f t="shared" si="38"/>
        <v>6.9999999999999751</v>
      </c>
      <c r="V53" s="454">
        <f t="shared" si="37"/>
        <v>49.999999999999986</v>
      </c>
      <c r="W53" s="23"/>
      <c r="X53" s="23"/>
      <c r="Y53" s="26"/>
      <c r="Z53" s="26"/>
      <c r="AA53" s="632"/>
      <c r="AB53" s="632"/>
      <c r="AC53" s="25"/>
      <c r="AD53" s="25"/>
      <c r="AE53" s="19">
        <f t="shared" si="8"/>
        <v>-64.399999999999181</v>
      </c>
      <c r="AF53" s="449">
        <f t="shared" si="9"/>
        <v>0.96780000000000044</v>
      </c>
      <c r="AG53" s="637"/>
    </row>
    <row r="54" spans="1:33" ht="15.75" customHeight="1">
      <c r="A54" s="641" t="s">
        <v>2313</v>
      </c>
      <c r="B54" s="42" t="s">
        <v>96</v>
      </c>
      <c r="C54" s="442" t="s">
        <v>137</v>
      </c>
      <c r="D54" s="443"/>
      <c r="E54" s="42">
        <v>46</v>
      </c>
      <c r="F54" s="48">
        <v>1763</v>
      </c>
      <c r="G54" s="448">
        <f t="shared" si="35"/>
        <v>81098</v>
      </c>
      <c r="H54" s="37" t="s">
        <v>91</v>
      </c>
      <c r="I54" s="453">
        <v>17</v>
      </c>
      <c r="J54" s="39">
        <v>2000</v>
      </c>
      <c r="K54" s="17">
        <f t="shared" si="1"/>
        <v>117.64705882352941</v>
      </c>
      <c r="L54" s="453">
        <v>17</v>
      </c>
      <c r="M54" s="18">
        <f t="shared" si="39"/>
        <v>1923.2727272727286</v>
      </c>
      <c r="N54" s="18">
        <f t="shared" si="3"/>
        <v>113.13368983957227</v>
      </c>
      <c r="O54" s="19">
        <f t="shared" si="4"/>
        <v>0</v>
      </c>
      <c r="P54" s="20">
        <f t="shared" si="5"/>
        <v>-4.513368983957136</v>
      </c>
      <c r="Q54" s="449">
        <f t="shared" si="6"/>
        <v>0.96163636363636429</v>
      </c>
      <c r="R54" s="637"/>
      <c r="S54" s="40">
        <v>0.43472222222222218</v>
      </c>
      <c r="T54" s="40">
        <v>0.4729166666666666</v>
      </c>
      <c r="U54" s="448">
        <f t="shared" si="38"/>
        <v>5.9999999999999787</v>
      </c>
      <c r="V54" s="454">
        <f t="shared" si="37"/>
        <v>54.999999999999964</v>
      </c>
      <c r="W54" s="23"/>
      <c r="X54" s="23"/>
      <c r="Y54" s="26"/>
      <c r="Z54" s="26"/>
      <c r="AA54" s="632"/>
      <c r="AB54" s="632"/>
      <c r="AC54" s="25"/>
      <c r="AD54" s="25"/>
      <c r="AE54" s="19">
        <f t="shared" si="8"/>
        <v>-76.727272727271384</v>
      </c>
      <c r="AF54" s="449">
        <f t="shared" si="9"/>
        <v>0.96163636363636429</v>
      </c>
      <c r="AG54" s="637"/>
    </row>
    <row r="55" spans="1:33" ht="15.75" customHeight="1">
      <c r="A55" s="641" t="s">
        <v>2313</v>
      </c>
      <c r="B55" s="42" t="s">
        <v>92</v>
      </c>
      <c r="C55" s="625" t="s">
        <v>138</v>
      </c>
      <c r="D55" s="626"/>
      <c r="E55" s="42">
        <v>55.56</v>
      </c>
      <c r="F55" s="48">
        <v>2803</v>
      </c>
      <c r="G55" s="448">
        <f t="shared" si="35"/>
        <v>155734.68</v>
      </c>
      <c r="H55" s="37" t="s">
        <v>91</v>
      </c>
      <c r="I55" s="453">
        <v>17</v>
      </c>
      <c r="J55" s="39">
        <v>2000</v>
      </c>
      <c r="K55" s="17">
        <f t="shared" si="1"/>
        <v>117.64705882352941</v>
      </c>
      <c r="L55" s="453">
        <v>17</v>
      </c>
      <c r="M55" s="18">
        <f t="shared" si="39"/>
        <v>1911.1363636363635</v>
      </c>
      <c r="N55" s="18">
        <f t="shared" si="3"/>
        <v>112.41978609625667</v>
      </c>
      <c r="O55" s="19">
        <f t="shared" si="4"/>
        <v>0</v>
      </c>
      <c r="P55" s="20">
        <f t="shared" si="5"/>
        <v>-5.2272727272727337</v>
      </c>
      <c r="Q55" s="449">
        <f t="shared" si="6"/>
        <v>0.95556818181818182</v>
      </c>
      <c r="R55" s="637"/>
      <c r="S55" s="40">
        <v>0.70833333333333337</v>
      </c>
      <c r="T55" s="40">
        <v>0.76944444444444449</v>
      </c>
      <c r="U55" s="448" t="str">
        <f t="shared" si="38"/>
        <v/>
      </c>
      <c r="V55" s="454">
        <f t="shared" si="37"/>
        <v>88</v>
      </c>
      <c r="W55" s="23"/>
      <c r="X55" s="23"/>
      <c r="Y55" s="26"/>
      <c r="Z55" s="26"/>
      <c r="AA55" s="627"/>
      <c r="AB55" s="628"/>
      <c r="AC55" s="25"/>
      <c r="AD55" s="25"/>
      <c r="AE55" s="19">
        <f t="shared" si="8"/>
        <v>-88.863636363636488</v>
      </c>
      <c r="AF55" s="449">
        <f t="shared" si="9"/>
        <v>0.95556818181818171</v>
      </c>
      <c r="AG55" s="637"/>
    </row>
    <row r="56" spans="1:33" ht="15.75" customHeight="1">
      <c r="A56" s="641" t="s">
        <v>2313</v>
      </c>
      <c r="B56" s="42" t="s">
        <v>92</v>
      </c>
      <c r="C56" s="625" t="s">
        <v>420</v>
      </c>
      <c r="D56" s="626"/>
      <c r="E56" s="42">
        <v>58.17</v>
      </c>
      <c r="F56" s="48">
        <v>2714</v>
      </c>
      <c r="G56" s="448">
        <f t="shared" si="35"/>
        <v>157873.38</v>
      </c>
      <c r="H56" s="37" t="s">
        <v>91</v>
      </c>
      <c r="I56" s="453">
        <v>13</v>
      </c>
      <c r="J56" s="39">
        <v>2000</v>
      </c>
      <c r="K56" s="17">
        <f t="shared" si="1"/>
        <v>153.84615384615384</v>
      </c>
      <c r="L56" s="453">
        <v>13</v>
      </c>
      <c r="M56" s="18">
        <f t="shared" si="39"/>
        <v>1915.7647058823525</v>
      </c>
      <c r="N56" s="18">
        <f t="shared" si="3"/>
        <v>147.36651583710403</v>
      </c>
      <c r="O56" s="19">
        <f t="shared" si="4"/>
        <v>0</v>
      </c>
      <c r="P56" s="20">
        <f t="shared" si="5"/>
        <v>-6.4796380090498076</v>
      </c>
      <c r="Q56" s="449">
        <f t="shared" si="6"/>
        <v>0.9578823529411763</v>
      </c>
      <c r="R56" s="637"/>
      <c r="S56" s="40">
        <v>0.77361111111111114</v>
      </c>
      <c r="T56" s="40">
        <v>0.83263888888888893</v>
      </c>
      <c r="U56" s="448">
        <f t="shared" si="38"/>
        <v>5.9999999999999787</v>
      </c>
      <c r="V56" s="454">
        <f t="shared" si="37"/>
        <v>85.000000000000014</v>
      </c>
      <c r="W56" s="23"/>
      <c r="X56" s="23"/>
      <c r="Y56" s="26"/>
      <c r="Z56" s="26"/>
      <c r="AA56" s="627"/>
      <c r="AB56" s="628"/>
      <c r="AC56" s="25"/>
      <c r="AD56" s="25"/>
      <c r="AE56" s="19">
        <f t="shared" si="8"/>
        <v>-84.235294117647527</v>
      </c>
      <c r="AF56" s="449">
        <f t="shared" si="9"/>
        <v>0.95788235294117619</v>
      </c>
      <c r="AG56" s="637"/>
    </row>
    <row r="57" spans="1:33">
      <c r="A57" s="642" t="s">
        <v>2313</v>
      </c>
      <c r="B57" s="42" t="s">
        <v>2307</v>
      </c>
      <c r="C57" s="638"/>
      <c r="D57" s="638"/>
      <c r="E57" s="450"/>
      <c r="F57" s="44"/>
      <c r="G57" s="17"/>
      <c r="H57" s="455"/>
      <c r="I57" s="29">
        <v>17.857142857142858</v>
      </c>
      <c r="J57" s="39">
        <v>2000</v>
      </c>
      <c r="K57" s="17">
        <f t="shared" si="1"/>
        <v>112</v>
      </c>
      <c r="L57" s="29">
        <v>17.857142857142858</v>
      </c>
      <c r="M57" s="18">
        <f>AVERAGE(M50:M56)</f>
        <v>1919.4897421661165</v>
      </c>
      <c r="N57" s="17">
        <f t="shared" si="3"/>
        <v>107.49142556130252</v>
      </c>
      <c r="O57" s="19">
        <f t="shared" si="4"/>
        <v>0</v>
      </c>
      <c r="P57" s="20">
        <f t="shared" si="5"/>
        <v>-4.5085744386974795</v>
      </c>
      <c r="Q57" s="449">
        <f t="shared" si="6"/>
        <v>0.95974487108305817</v>
      </c>
      <c r="R57" s="637"/>
      <c r="S57" s="40"/>
      <c r="T57" s="40"/>
      <c r="U57" s="448"/>
      <c r="V57" s="454"/>
      <c r="W57" s="17"/>
      <c r="X57" s="17"/>
      <c r="Y57" s="30">
        <f>SUM(Y50:Y56)</f>
        <v>0</v>
      </c>
      <c r="Z57" s="30">
        <f>SUM(Z50:Z56)</f>
        <v>0</v>
      </c>
      <c r="AA57" s="631"/>
      <c r="AB57" s="631"/>
      <c r="AC57" s="30">
        <v>7</v>
      </c>
      <c r="AD57" s="30">
        <f>SUM(AD50:AD56)</f>
        <v>0</v>
      </c>
      <c r="AE57" s="19">
        <f>M57-J57</f>
        <v>-80.510257833883543</v>
      </c>
      <c r="AF57" s="449">
        <f t="shared" si="9"/>
        <v>0.95974487108305828</v>
      </c>
      <c r="AG57" s="637"/>
    </row>
    <row r="58" spans="1:33" ht="15.75" customHeight="1">
      <c r="A58" s="639" t="s">
        <v>2314</v>
      </c>
      <c r="B58" s="455" t="s">
        <v>127</v>
      </c>
      <c r="C58" s="633" t="s">
        <v>141</v>
      </c>
      <c r="D58" s="633"/>
      <c r="E58" s="42">
        <v>35.119999999999997</v>
      </c>
      <c r="F58" s="48">
        <v>5451</v>
      </c>
      <c r="G58" s="448">
        <f t="shared" ref="G58:G62" si="40">E58*F58</f>
        <v>191439.12</v>
      </c>
      <c r="H58" s="37" t="s">
        <v>91</v>
      </c>
      <c r="I58" s="453">
        <v>10</v>
      </c>
      <c r="J58" s="39">
        <v>3000</v>
      </c>
      <c r="K58" s="17">
        <f t="shared" si="1"/>
        <v>300</v>
      </c>
      <c r="L58" s="453">
        <v>10</v>
      </c>
      <c r="M58" s="18">
        <f t="shared" ref="M58:M62" si="41">F58/V58*60</f>
        <v>2868.9473684210534</v>
      </c>
      <c r="N58" s="17">
        <f t="shared" si="3"/>
        <v>286.89473684210532</v>
      </c>
      <c r="O58" s="19">
        <f t="shared" si="4"/>
        <v>0</v>
      </c>
      <c r="P58" s="20">
        <f t="shared" si="5"/>
        <v>-13.105263157894683</v>
      </c>
      <c r="Q58" s="449">
        <f t="shared" si="6"/>
        <v>0.95631578947368434</v>
      </c>
      <c r="R58" s="637">
        <f>Q63</f>
        <v>0.96131917728185401</v>
      </c>
      <c r="S58" s="40">
        <v>0.20833333333333334</v>
      </c>
      <c r="T58" s="40">
        <v>0.28749999999999998</v>
      </c>
      <c r="U58" s="448"/>
      <c r="V58" s="454">
        <f t="shared" ref="V58:V62" si="42">(T58-S58)*24*60</f>
        <v>113.99999999999996</v>
      </c>
      <c r="W58" s="23"/>
      <c r="X58" s="23"/>
      <c r="Y58" s="28"/>
      <c r="Z58" s="28"/>
      <c r="AA58" s="632"/>
      <c r="AB58" s="632"/>
      <c r="AC58" s="25">
        <v>5</v>
      </c>
      <c r="AD58" s="25"/>
      <c r="AE58" s="19">
        <f t="shared" ref="AE58:AE71" si="43">M58-J58</f>
        <v>-131.0526315789466</v>
      </c>
      <c r="AF58" s="449">
        <f t="shared" si="9"/>
        <v>0.95631578947368445</v>
      </c>
      <c r="AG58" s="637">
        <f>AF63</f>
        <v>0.9613191772818539</v>
      </c>
    </row>
    <row r="59" spans="1:33" ht="15.75" customHeight="1">
      <c r="A59" s="639" t="s">
        <v>2314</v>
      </c>
      <c r="B59" s="455" t="s">
        <v>127</v>
      </c>
      <c r="C59" s="633" t="s">
        <v>142</v>
      </c>
      <c r="D59" s="633"/>
      <c r="E59" s="42">
        <v>26.78</v>
      </c>
      <c r="F59" s="48">
        <v>3066</v>
      </c>
      <c r="G59" s="448">
        <f t="shared" si="40"/>
        <v>82107.48000000001</v>
      </c>
      <c r="H59" s="37" t="s">
        <v>91</v>
      </c>
      <c r="I59" s="453">
        <v>10</v>
      </c>
      <c r="J59" s="39">
        <v>3000</v>
      </c>
      <c r="K59" s="17">
        <f t="shared" si="1"/>
        <v>300</v>
      </c>
      <c r="L59" s="453">
        <v>10</v>
      </c>
      <c r="M59" s="18">
        <f t="shared" si="41"/>
        <v>2874.3749999999995</v>
      </c>
      <c r="N59" s="17">
        <f t="shared" si="3"/>
        <v>287.43749999999994</v>
      </c>
      <c r="O59" s="19">
        <f t="shared" si="4"/>
        <v>0</v>
      </c>
      <c r="P59" s="20">
        <f t="shared" si="5"/>
        <v>-12.562500000000057</v>
      </c>
      <c r="Q59" s="449">
        <f t="shared" si="6"/>
        <v>0.95812499999999978</v>
      </c>
      <c r="R59" s="637"/>
      <c r="S59" s="40">
        <v>0.29305555555555551</v>
      </c>
      <c r="T59" s="40">
        <v>0.33749999999999997</v>
      </c>
      <c r="U59" s="448">
        <f t="shared" ref="U59:U62" si="44">(S59-T58)*24*60</f>
        <v>7.9999999999999716</v>
      </c>
      <c r="V59" s="454">
        <f t="shared" si="42"/>
        <v>64.000000000000014</v>
      </c>
      <c r="W59" s="448"/>
      <c r="X59" s="448"/>
      <c r="Y59" s="448"/>
      <c r="Z59" s="448"/>
      <c r="AA59" s="632"/>
      <c r="AB59" s="632"/>
      <c r="AC59" s="25"/>
      <c r="AD59" s="25"/>
      <c r="AE59" s="19">
        <f t="shared" si="43"/>
        <v>-125.62500000000045</v>
      </c>
      <c r="AF59" s="449">
        <f t="shared" si="9"/>
        <v>0.95812499999999989</v>
      </c>
      <c r="AG59" s="637"/>
    </row>
    <row r="60" spans="1:33" ht="15.75" customHeight="1">
      <c r="A60" s="639" t="s">
        <v>2314</v>
      </c>
      <c r="B60" s="455" t="s">
        <v>127</v>
      </c>
      <c r="C60" s="633" t="s">
        <v>143</v>
      </c>
      <c r="D60" s="633"/>
      <c r="E60" s="42">
        <v>36.14</v>
      </c>
      <c r="F60" s="48">
        <v>1466</v>
      </c>
      <c r="G60" s="448">
        <f t="shared" si="40"/>
        <v>52981.24</v>
      </c>
      <c r="H60" s="37" t="s">
        <v>91</v>
      </c>
      <c r="I60" s="453">
        <v>11</v>
      </c>
      <c r="J60" s="39">
        <v>3000</v>
      </c>
      <c r="K60" s="17">
        <f t="shared" si="1"/>
        <v>272.72727272727275</v>
      </c>
      <c r="L60" s="453">
        <v>11</v>
      </c>
      <c r="M60" s="18">
        <f t="shared" si="41"/>
        <v>2932.0000000000027</v>
      </c>
      <c r="N60" s="17">
        <f t="shared" si="3"/>
        <v>266.54545454545479</v>
      </c>
      <c r="O60" s="19">
        <f t="shared" si="4"/>
        <v>0</v>
      </c>
      <c r="P60" s="20">
        <f t="shared" si="5"/>
        <v>-6.1818181818179596</v>
      </c>
      <c r="Q60" s="449">
        <f t="shared" si="6"/>
        <v>0.97733333333333416</v>
      </c>
      <c r="R60" s="637"/>
      <c r="S60" s="40">
        <v>0.34236111111111106</v>
      </c>
      <c r="T60" s="40">
        <v>0.36319444444444438</v>
      </c>
      <c r="U60" s="448">
        <f t="shared" si="44"/>
        <v>6.9999999999999751</v>
      </c>
      <c r="V60" s="454">
        <f t="shared" si="42"/>
        <v>29.999999999999972</v>
      </c>
      <c r="W60" s="448"/>
      <c r="X60" s="448"/>
      <c r="Y60" s="448"/>
      <c r="Z60" s="448"/>
      <c r="AA60" s="632"/>
      <c r="AB60" s="632"/>
      <c r="AC60" s="25"/>
      <c r="AD60" s="25"/>
      <c r="AE60" s="19">
        <f t="shared" si="43"/>
        <v>-67.999999999997272</v>
      </c>
      <c r="AF60" s="449">
        <f t="shared" si="9"/>
        <v>0.97733333333333428</v>
      </c>
      <c r="AG60" s="637"/>
    </row>
    <row r="61" spans="1:33" ht="15.75" customHeight="1">
      <c r="A61" s="639" t="s">
        <v>2314</v>
      </c>
      <c r="B61" s="455" t="s">
        <v>127</v>
      </c>
      <c r="C61" s="633" t="s">
        <v>130</v>
      </c>
      <c r="D61" s="633"/>
      <c r="E61" s="42">
        <v>35.869999999999997</v>
      </c>
      <c r="F61" s="48">
        <v>1860</v>
      </c>
      <c r="G61" s="448">
        <f t="shared" si="40"/>
        <v>66718.2</v>
      </c>
      <c r="H61" s="37" t="s">
        <v>91</v>
      </c>
      <c r="I61" s="453">
        <v>9</v>
      </c>
      <c r="J61" s="39">
        <v>3000</v>
      </c>
      <c r="K61" s="17">
        <f t="shared" si="1"/>
        <v>333.33333333333331</v>
      </c>
      <c r="L61" s="453">
        <v>9</v>
      </c>
      <c r="M61" s="18">
        <f t="shared" si="41"/>
        <v>2861.5384615384601</v>
      </c>
      <c r="N61" s="17">
        <f t="shared" si="3"/>
        <v>317.94871794871779</v>
      </c>
      <c r="O61" s="19">
        <f t="shared" si="4"/>
        <v>0</v>
      </c>
      <c r="P61" s="20">
        <f t="shared" si="5"/>
        <v>-15.384615384615529</v>
      </c>
      <c r="Q61" s="449">
        <f t="shared" si="6"/>
        <v>0.95384615384615346</v>
      </c>
      <c r="R61" s="637"/>
      <c r="S61" s="40">
        <v>0.36666666666666659</v>
      </c>
      <c r="T61" s="40">
        <v>0.39374999999999993</v>
      </c>
      <c r="U61" s="448">
        <f t="shared" si="44"/>
        <v>4.9999999999999822</v>
      </c>
      <c r="V61" s="454">
        <f t="shared" si="42"/>
        <v>39.000000000000021</v>
      </c>
      <c r="W61" s="448"/>
      <c r="X61" s="448"/>
      <c r="Y61" s="448"/>
      <c r="Z61" s="448"/>
      <c r="AA61" s="632"/>
      <c r="AB61" s="632"/>
      <c r="AC61" s="25"/>
      <c r="AD61" s="25"/>
      <c r="AE61" s="19">
        <f t="shared" si="43"/>
        <v>-138.46153846153993</v>
      </c>
      <c r="AF61" s="449">
        <f t="shared" si="9"/>
        <v>0.95384615384615334</v>
      </c>
      <c r="AG61" s="637"/>
    </row>
    <row r="62" spans="1:33">
      <c r="A62" s="640" t="s">
        <v>2314</v>
      </c>
      <c r="B62" s="455" t="s">
        <v>127</v>
      </c>
      <c r="C62" s="633" t="s">
        <v>1857</v>
      </c>
      <c r="D62" s="633"/>
      <c r="E62" s="42">
        <v>33.770000000000003</v>
      </c>
      <c r="F62" s="48">
        <v>3940</v>
      </c>
      <c r="G62" s="448">
        <f t="shared" si="40"/>
        <v>133053.80000000002</v>
      </c>
      <c r="H62" s="37" t="s">
        <v>91</v>
      </c>
      <c r="I62" s="453">
        <v>12</v>
      </c>
      <c r="J62" s="39">
        <v>3000</v>
      </c>
      <c r="K62" s="17">
        <f t="shared" si="1"/>
        <v>250</v>
      </c>
      <c r="L62" s="453">
        <v>12</v>
      </c>
      <c r="M62" s="18">
        <f t="shared" si="41"/>
        <v>2882.9268292682918</v>
      </c>
      <c r="N62" s="17">
        <f t="shared" si="3"/>
        <v>240.24390243902431</v>
      </c>
      <c r="O62" s="19">
        <f t="shared" si="4"/>
        <v>0</v>
      </c>
      <c r="P62" s="20">
        <f t="shared" si="5"/>
        <v>-9.7560975609756895</v>
      </c>
      <c r="Q62" s="449">
        <f t="shared" si="6"/>
        <v>0.96097560975609719</v>
      </c>
      <c r="R62" s="637"/>
      <c r="S62" s="40">
        <v>0.39930555555555547</v>
      </c>
      <c r="T62" s="40">
        <v>0.45624999999999993</v>
      </c>
      <c r="U62" s="448">
        <f t="shared" si="44"/>
        <v>7.9999999999999716</v>
      </c>
      <c r="V62" s="454">
        <f t="shared" si="42"/>
        <v>82.000000000000028</v>
      </c>
      <c r="W62" s="23"/>
      <c r="X62" s="23"/>
      <c r="Y62" s="23"/>
      <c r="Z62" s="23"/>
      <c r="AA62" s="632"/>
      <c r="AB62" s="632"/>
      <c r="AC62" s="25"/>
      <c r="AD62" s="25"/>
      <c r="AE62" s="19">
        <f t="shared" si="43"/>
        <v>-117.07317073170816</v>
      </c>
      <c r="AF62" s="449">
        <f t="shared" si="9"/>
        <v>0.9609756097560973</v>
      </c>
      <c r="AG62" s="637"/>
    </row>
    <row r="63" spans="1:33">
      <c r="A63" s="640" t="s">
        <v>2314</v>
      </c>
      <c r="B63" s="42" t="s">
        <v>2307</v>
      </c>
      <c r="C63" s="638"/>
      <c r="D63" s="638"/>
      <c r="E63" s="450"/>
      <c r="F63" s="44"/>
      <c r="G63" s="17"/>
      <c r="H63" s="455"/>
      <c r="I63" s="29">
        <v>10.4</v>
      </c>
      <c r="J63" s="39">
        <v>3000</v>
      </c>
      <c r="K63" s="17">
        <f t="shared" si="1"/>
        <v>288.46153846153845</v>
      </c>
      <c r="L63" s="29">
        <v>10.4</v>
      </c>
      <c r="M63" s="18">
        <f>AVERAGE(M58:M62)</f>
        <v>2883.9575318455618</v>
      </c>
      <c r="N63" s="17">
        <f t="shared" si="3"/>
        <v>277.30360883130402</v>
      </c>
      <c r="O63" s="19">
        <f t="shared" si="4"/>
        <v>0</v>
      </c>
      <c r="P63" s="20">
        <f t="shared" si="5"/>
        <v>-11.157929630234435</v>
      </c>
      <c r="Q63" s="449">
        <f t="shared" si="6"/>
        <v>0.96131917728185401</v>
      </c>
      <c r="R63" s="637"/>
      <c r="S63" s="40"/>
      <c r="T63" s="40"/>
      <c r="U63" s="17"/>
      <c r="V63" s="454"/>
      <c r="W63" s="17"/>
      <c r="X63" s="17"/>
      <c r="Y63" s="30">
        <f>SUM(Y58:Y62)</f>
        <v>0</v>
      </c>
      <c r="Z63" s="30">
        <f>SUM(Z58:Z62)</f>
        <v>0</v>
      </c>
      <c r="AA63" s="631"/>
      <c r="AB63" s="631"/>
      <c r="AC63" s="30">
        <v>5</v>
      </c>
      <c r="AD63" s="30">
        <f>SUM(AD58:AD62)</f>
        <v>0</v>
      </c>
      <c r="AE63" s="19">
        <f t="shared" si="43"/>
        <v>-116.04246815443821</v>
      </c>
      <c r="AF63" s="449">
        <f t="shared" si="9"/>
        <v>0.9613191772818539</v>
      </c>
      <c r="AG63" s="637"/>
    </row>
    <row r="64" spans="1:33" ht="15.75" customHeight="1">
      <c r="A64" s="634" t="s">
        <v>2315</v>
      </c>
      <c r="B64" s="455" t="s">
        <v>116</v>
      </c>
      <c r="C64" s="633" t="s">
        <v>145</v>
      </c>
      <c r="D64" s="633"/>
      <c r="E64" s="42">
        <v>19.02</v>
      </c>
      <c r="F64" s="455">
        <v>6000</v>
      </c>
      <c r="G64" s="448">
        <f t="shared" ref="G64:G70" si="45">E64*F64</f>
        <v>114120</v>
      </c>
      <c r="H64" s="37">
        <v>2</v>
      </c>
      <c r="I64" s="453">
        <v>14</v>
      </c>
      <c r="J64" s="39">
        <v>2400</v>
      </c>
      <c r="K64" s="17">
        <f t="shared" si="1"/>
        <v>171.42857142857142</v>
      </c>
      <c r="L64" s="453">
        <v>14</v>
      </c>
      <c r="M64" s="18">
        <f t="shared" ref="M64:M70" si="46">F64/V64*60</f>
        <v>2292.993630573249</v>
      </c>
      <c r="N64" s="17">
        <f t="shared" si="3"/>
        <v>163.78525932666065</v>
      </c>
      <c r="O64" s="19">
        <f t="shared" si="4"/>
        <v>0</v>
      </c>
      <c r="P64" s="20">
        <f t="shared" si="5"/>
        <v>-7.6433121019107659</v>
      </c>
      <c r="Q64" s="449">
        <f t="shared" si="6"/>
        <v>0.95541401273885385</v>
      </c>
      <c r="R64" s="637">
        <f>Q71</f>
        <v>0.95547630041118925</v>
      </c>
      <c r="S64" s="40">
        <v>8.3333333333333329E-2</v>
      </c>
      <c r="T64" s="40">
        <v>0.19236111111111109</v>
      </c>
      <c r="U64" s="28"/>
      <c r="V64" s="454">
        <f t="shared" ref="V64:V70" si="47">(T64-S64)*24*60</f>
        <v>156.99999999999997</v>
      </c>
      <c r="W64" s="23">
        <f>T64</f>
        <v>0.19236111111111109</v>
      </c>
      <c r="X64" s="23">
        <f>S65</f>
        <v>0.20972222222222217</v>
      </c>
      <c r="Y64" s="23"/>
      <c r="Z64" s="23"/>
      <c r="AA64" s="632"/>
      <c r="AB64" s="632"/>
      <c r="AC64" s="25">
        <v>7</v>
      </c>
      <c r="AD64" s="25"/>
      <c r="AE64" s="19">
        <f t="shared" si="43"/>
        <v>-107.00636942675101</v>
      </c>
      <c r="AF64" s="449">
        <f t="shared" si="9"/>
        <v>0.95541401273885374</v>
      </c>
      <c r="AG64" s="637">
        <f>AF71</f>
        <v>0.95547630041118925</v>
      </c>
    </row>
    <row r="65" spans="1:33" ht="15.75" customHeight="1">
      <c r="A65" s="635" t="s">
        <v>2315</v>
      </c>
      <c r="B65" s="455" t="s">
        <v>116</v>
      </c>
      <c r="C65" s="633" t="s">
        <v>146</v>
      </c>
      <c r="D65" s="633"/>
      <c r="E65" s="42">
        <v>20.36</v>
      </c>
      <c r="F65" s="455">
        <v>4582</v>
      </c>
      <c r="G65" s="448">
        <f t="shared" si="45"/>
        <v>93289.52</v>
      </c>
      <c r="H65" s="37" t="s">
        <v>91</v>
      </c>
      <c r="I65" s="453">
        <v>17</v>
      </c>
      <c r="J65" s="39">
        <v>2400</v>
      </c>
      <c r="K65" s="17">
        <f t="shared" si="1"/>
        <v>141.1764705882353</v>
      </c>
      <c r="L65" s="453">
        <v>17</v>
      </c>
      <c r="M65" s="18">
        <f t="shared" si="46"/>
        <v>2291</v>
      </c>
      <c r="N65" s="17">
        <f t="shared" si="3"/>
        <v>134.76470588235293</v>
      </c>
      <c r="O65" s="19">
        <f t="shared" si="4"/>
        <v>0</v>
      </c>
      <c r="P65" s="20">
        <f t="shared" si="5"/>
        <v>-6.4117647058823763</v>
      </c>
      <c r="Q65" s="449">
        <f t="shared" si="6"/>
        <v>0.95458333333333312</v>
      </c>
      <c r="R65" s="637"/>
      <c r="S65" s="40">
        <v>0.20972222222222217</v>
      </c>
      <c r="T65" s="40">
        <v>0.29305555555555551</v>
      </c>
      <c r="U65" s="448">
        <f t="shared" ref="U65:U70" si="48">(S65-T64)*24*60</f>
        <v>24.99999999999995</v>
      </c>
      <c r="V65" s="454">
        <f t="shared" si="47"/>
        <v>120</v>
      </c>
      <c r="W65" s="23"/>
      <c r="X65" s="23"/>
      <c r="Y65" s="23"/>
      <c r="Z65" s="23"/>
      <c r="AA65" s="632"/>
      <c r="AB65" s="632"/>
      <c r="AC65" s="25"/>
      <c r="AD65" s="25"/>
      <c r="AE65" s="19">
        <f t="shared" si="43"/>
        <v>-109</v>
      </c>
      <c r="AF65" s="449">
        <f t="shared" si="9"/>
        <v>0.95458333333333334</v>
      </c>
      <c r="AG65" s="637"/>
    </row>
    <row r="66" spans="1:33" ht="15.75" customHeight="1">
      <c r="A66" s="635" t="s">
        <v>2315</v>
      </c>
      <c r="B66" s="455" t="s">
        <v>116</v>
      </c>
      <c r="C66" s="633" t="s">
        <v>150</v>
      </c>
      <c r="D66" s="633"/>
      <c r="E66" s="42">
        <v>23.89</v>
      </c>
      <c r="F66" s="455">
        <v>2035</v>
      </c>
      <c r="G66" s="448">
        <f t="shared" si="45"/>
        <v>48616.15</v>
      </c>
      <c r="H66" s="37" t="s">
        <v>91</v>
      </c>
      <c r="I66" s="453">
        <v>13</v>
      </c>
      <c r="J66" s="39">
        <v>2400</v>
      </c>
      <c r="K66" s="17">
        <f t="shared" si="1"/>
        <v>184.61538461538461</v>
      </c>
      <c r="L66" s="453">
        <v>13</v>
      </c>
      <c r="M66" s="18">
        <f t="shared" si="46"/>
        <v>2303.7735849056617</v>
      </c>
      <c r="N66" s="17">
        <f t="shared" si="3"/>
        <v>177.21335268505089</v>
      </c>
      <c r="O66" s="19">
        <f t="shared" si="4"/>
        <v>0</v>
      </c>
      <c r="P66" s="20">
        <f t="shared" si="5"/>
        <v>-7.4020319303337203</v>
      </c>
      <c r="Q66" s="449">
        <f t="shared" si="6"/>
        <v>0.95990566037735903</v>
      </c>
      <c r="R66" s="637"/>
      <c r="S66" s="40">
        <v>0.29652777777777772</v>
      </c>
      <c r="T66" s="40">
        <v>0.33333333333333326</v>
      </c>
      <c r="U66" s="448">
        <f t="shared" si="48"/>
        <v>4.9999999999999822</v>
      </c>
      <c r="V66" s="454">
        <f t="shared" si="47"/>
        <v>52.999999999999972</v>
      </c>
      <c r="W66" s="23"/>
      <c r="X66" s="23"/>
      <c r="Y66" s="23"/>
      <c r="Z66" s="23"/>
      <c r="AA66" s="632"/>
      <c r="AB66" s="632"/>
      <c r="AC66" s="25"/>
      <c r="AD66" s="25"/>
      <c r="AE66" s="19">
        <f t="shared" si="43"/>
        <v>-96.226415094338336</v>
      </c>
      <c r="AF66" s="449">
        <f t="shared" si="9"/>
        <v>0.95990566037735903</v>
      </c>
      <c r="AG66" s="637"/>
    </row>
    <row r="67" spans="1:33" ht="15.75" customHeight="1">
      <c r="A67" s="635" t="s">
        <v>2315</v>
      </c>
      <c r="B67" s="455" t="s">
        <v>116</v>
      </c>
      <c r="C67" s="633" t="s">
        <v>148</v>
      </c>
      <c r="D67" s="633"/>
      <c r="E67" s="42">
        <v>28.29</v>
      </c>
      <c r="F67" s="455">
        <v>3733</v>
      </c>
      <c r="G67" s="448">
        <f t="shared" si="45"/>
        <v>105606.56999999999</v>
      </c>
      <c r="H67" s="37" t="s">
        <v>91</v>
      </c>
      <c r="I67" s="453">
        <v>19</v>
      </c>
      <c r="J67" s="39">
        <v>2400</v>
      </c>
      <c r="K67" s="17">
        <f t="shared" si="1"/>
        <v>126.31578947368421</v>
      </c>
      <c r="L67" s="453">
        <v>19</v>
      </c>
      <c r="M67" s="18">
        <f t="shared" si="46"/>
        <v>2285.5102040816332</v>
      </c>
      <c r="N67" s="17">
        <f t="shared" si="3"/>
        <v>120.29001074113859</v>
      </c>
      <c r="O67" s="19">
        <f t="shared" si="4"/>
        <v>0</v>
      </c>
      <c r="P67" s="20">
        <f t="shared" si="5"/>
        <v>-6.0257787325456178</v>
      </c>
      <c r="Q67" s="449">
        <f t="shared" si="6"/>
        <v>0.95229591836734717</v>
      </c>
      <c r="R67" s="637"/>
      <c r="S67" s="40">
        <v>0.33749999999999991</v>
      </c>
      <c r="T67" s="40">
        <v>0.40555555555555545</v>
      </c>
      <c r="U67" s="448">
        <f t="shared" si="48"/>
        <v>5.9999999999999787</v>
      </c>
      <c r="V67" s="454">
        <f t="shared" si="47"/>
        <v>97.999999999999972</v>
      </c>
      <c r="W67" s="23"/>
      <c r="X67" s="23"/>
      <c r="Y67" s="23"/>
      <c r="Z67" s="23"/>
      <c r="AA67" s="632"/>
      <c r="AB67" s="632"/>
      <c r="AC67" s="25"/>
      <c r="AD67" s="25"/>
      <c r="AE67" s="19">
        <f t="shared" si="43"/>
        <v>-114.48979591836678</v>
      </c>
      <c r="AF67" s="449">
        <f t="shared" si="9"/>
        <v>0.95229591836734717</v>
      </c>
      <c r="AG67" s="637"/>
    </row>
    <row r="68" spans="1:33" ht="15.75" customHeight="1">
      <c r="A68" s="635" t="s">
        <v>2315</v>
      </c>
      <c r="B68" s="455" t="s">
        <v>116</v>
      </c>
      <c r="C68" s="633" t="s">
        <v>1859</v>
      </c>
      <c r="D68" s="633"/>
      <c r="E68" s="42">
        <v>25.98</v>
      </c>
      <c r="F68" s="455">
        <v>4921</v>
      </c>
      <c r="G68" s="448">
        <f t="shared" si="45"/>
        <v>127847.58</v>
      </c>
      <c r="H68" s="37" t="s">
        <v>91</v>
      </c>
      <c r="I68" s="453">
        <v>19</v>
      </c>
      <c r="J68" s="39">
        <v>2400</v>
      </c>
      <c r="K68" s="17">
        <f t="shared" si="1"/>
        <v>126.31578947368421</v>
      </c>
      <c r="L68" s="453">
        <v>19</v>
      </c>
      <c r="M68" s="18">
        <f t="shared" si="46"/>
        <v>2288.8372093023254</v>
      </c>
      <c r="N68" s="17">
        <f t="shared" si="3"/>
        <v>120.46511627906976</v>
      </c>
      <c r="O68" s="19">
        <f t="shared" si="4"/>
        <v>0</v>
      </c>
      <c r="P68" s="20">
        <f t="shared" si="5"/>
        <v>-5.8506731946144441</v>
      </c>
      <c r="Q68" s="449">
        <f t="shared" si="6"/>
        <v>0.9536821705426356</v>
      </c>
      <c r="R68" s="637"/>
      <c r="S68" s="40">
        <v>0.41041666666666654</v>
      </c>
      <c r="T68" s="40">
        <v>0.49999999999999989</v>
      </c>
      <c r="U68" s="448">
        <f t="shared" si="48"/>
        <v>6.9999999999999751</v>
      </c>
      <c r="V68" s="454">
        <f t="shared" si="47"/>
        <v>129.00000000000003</v>
      </c>
      <c r="W68" s="23">
        <f>T68</f>
        <v>0.49999999999999989</v>
      </c>
      <c r="X68" s="23">
        <f>S69</f>
        <v>0.54027777777777763</v>
      </c>
      <c r="Y68" s="23"/>
      <c r="Z68" s="23"/>
      <c r="AA68" s="632"/>
      <c r="AB68" s="632"/>
      <c r="AC68" s="25"/>
      <c r="AD68" s="25"/>
      <c r="AE68" s="19">
        <f t="shared" si="43"/>
        <v>-111.16279069767461</v>
      </c>
      <c r="AF68" s="449">
        <f t="shared" si="9"/>
        <v>0.9536821705426356</v>
      </c>
      <c r="AG68" s="637"/>
    </row>
    <row r="69" spans="1:33" ht="15.75" customHeight="1">
      <c r="A69" s="635" t="s">
        <v>2315</v>
      </c>
      <c r="B69" s="455" t="s">
        <v>116</v>
      </c>
      <c r="C69" s="633" t="s">
        <v>145</v>
      </c>
      <c r="D69" s="633"/>
      <c r="E69" s="42">
        <v>19.02</v>
      </c>
      <c r="F69" s="455">
        <v>5087</v>
      </c>
      <c r="G69" s="448">
        <f t="shared" si="45"/>
        <v>96754.739999999991</v>
      </c>
      <c r="H69" s="37" t="s">
        <v>91</v>
      </c>
      <c r="I69" s="453">
        <v>14</v>
      </c>
      <c r="J69" s="39">
        <v>2400</v>
      </c>
      <c r="K69" s="17">
        <f t="shared" ref="K69:K71" si="49">J69/I69</f>
        <v>171.42857142857142</v>
      </c>
      <c r="L69" s="453">
        <v>14</v>
      </c>
      <c r="M69" s="18">
        <f t="shared" si="46"/>
        <v>2294.8872180451126</v>
      </c>
      <c r="N69" s="17">
        <f t="shared" ref="N69:N71" si="50">M69/L69</f>
        <v>163.92051557465089</v>
      </c>
      <c r="O69" s="19">
        <f t="shared" ref="O69:O71" si="51">L69-I69</f>
        <v>0</v>
      </c>
      <c r="P69" s="20">
        <f t="shared" ref="P69:P71" si="52">N69-K69</f>
        <v>-7.5080558539205242</v>
      </c>
      <c r="Q69" s="449">
        <f t="shared" ref="Q69:Q71" si="53">N69/K69</f>
        <v>0.95620300751879694</v>
      </c>
      <c r="R69" s="637"/>
      <c r="S69" s="40">
        <v>0.54027777777777763</v>
      </c>
      <c r="T69" s="40">
        <v>0.63263888888888875</v>
      </c>
      <c r="U69" s="448">
        <f t="shared" si="48"/>
        <v>57.999999999999957</v>
      </c>
      <c r="V69" s="454">
        <f t="shared" si="47"/>
        <v>133</v>
      </c>
      <c r="W69" s="23"/>
      <c r="X69" s="23"/>
      <c r="Y69" s="23"/>
      <c r="Z69" s="23"/>
      <c r="AA69" s="632"/>
      <c r="AB69" s="632"/>
      <c r="AC69" s="25"/>
      <c r="AD69" s="25"/>
      <c r="AE69" s="19">
        <f t="shared" si="43"/>
        <v>-105.1127819548874</v>
      </c>
      <c r="AF69" s="449">
        <f t="shared" ref="AF69:AF71" si="54">M69/J69</f>
        <v>0.95620300751879694</v>
      </c>
      <c r="AG69" s="637"/>
    </row>
    <row r="70" spans="1:33" ht="15.75" customHeight="1">
      <c r="A70" s="635" t="s">
        <v>2315</v>
      </c>
      <c r="B70" s="455" t="s">
        <v>116</v>
      </c>
      <c r="C70" s="625" t="s">
        <v>123</v>
      </c>
      <c r="D70" s="626"/>
      <c r="E70" s="42">
        <v>26.18</v>
      </c>
      <c r="F70" s="455">
        <v>2907</v>
      </c>
      <c r="G70" s="448">
        <f t="shared" si="45"/>
        <v>76105.259999999995</v>
      </c>
      <c r="H70" s="37" t="s">
        <v>91</v>
      </c>
      <c r="I70" s="453">
        <v>20</v>
      </c>
      <c r="J70" s="39">
        <v>2400</v>
      </c>
      <c r="K70" s="17">
        <f t="shared" si="49"/>
        <v>120</v>
      </c>
      <c r="L70" s="453">
        <v>20</v>
      </c>
      <c r="M70" s="18">
        <f t="shared" si="46"/>
        <v>2294.9999999999982</v>
      </c>
      <c r="N70" s="17">
        <f t="shared" si="50"/>
        <v>114.74999999999991</v>
      </c>
      <c r="O70" s="19">
        <f t="shared" si="51"/>
        <v>0</v>
      </c>
      <c r="P70" s="20">
        <f t="shared" si="52"/>
        <v>-5.2500000000000853</v>
      </c>
      <c r="Q70" s="449">
        <f t="shared" si="53"/>
        <v>0.95624999999999927</v>
      </c>
      <c r="R70" s="637"/>
      <c r="S70" s="40">
        <v>0.63611111111111096</v>
      </c>
      <c r="T70" s="40">
        <v>0.68888888888888877</v>
      </c>
      <c r="U70" s="448">
        <f t="shared" si="48"/>
        <v>4.9999999999999822</v>
      </c>
      <c r="V70" s="454">
        <f t="shared" si="47"/>
        <v>76.000000000000057</v>
      </c>
      <c r="W70" s="23"/>
      <c r="X70" s="23"/>
      <c r="Y70" s="26"/>
      <c r="Z70" s="26"/>
      <c r="AA70" s="627"/>
      <c r="AB70" s="628"/>
      <c r="AC70" s="25"/>
      <c r="AD70" s="25"/>
      <c r="AE70" s="19">
        <f t="shared" si="43"/>
        <v>-105.00000000000182</v>
      </c>
      <c r="AF70" s="449">
        <f t="shared" si="54"/>
        <v>0.95624999999999927</v>
      </c>
      <c r="AG70" s="637"/>
    </row>
    <row r="71" spans="1:33" ht="16.5" customHeight="1">
      <c r="A71" s="636" t="s">
        <v>2315</v>
      </c>
      <c r="B71" s="42" t="s">
        <v>2307</v>
      </c>
      <c r="C71" s="629"/>
      <c r="D71" s="630"/>
      <c r="E71" s="450"/>
      <c r="F71" s="44"/>
      <c r="G71" s="17"/>
      <c r="H71" s="455"/>
      <c r="I71" s="29">
        <v>16.571428571428573</v>
      </c>
      <c r="J71" s="39">
        <v>2400</v>
      </c>
      <c r="K71" s="17">
        <f t="shared" si="49"/>
        <v>144.82758620689654</v>
      </c>
      <c r="L71" s="29">
        <v>16.571428571428573</v>
      </c>
      <c r="M71" s="18">
        <f>AVERAGE(M64:M70)</f>
        <v>2293.1431209868542</v>
      </c>
      <c r="N71" s="17">
        <f t="shared" si="50"/>
        <v>138.37932626644809</v>
      </c>
      <c r="O71" s="19">
        <f t="shared" si="51"/>
        <v>0</v>
      </c>
      <c r="P71" s="20">
        <f t="shared" si="52"/>
        <v>-6.4482599404484517</v>
      </c>
      <c r="Q71" s="449">
        <f t="shared" si="53"/>
        <v>0.95547630041118925</v>
      </c>
      <c r="R71" s="637"/>
      <c r="S71" s="40"/>
      <c r="T71" s="40"/>
      <c r="U71" s="17"/>
      <c r="V71" s="454"/>
      <c r="W71" s="17"/>
      <c r="X71" s="17"/>
      <c r="Y71" s="30">
        <f>SUM(Y64:Y70)</f>
        <v>0</v>
      </c>
      <c r="Z71" s="30">
        <f>SUM(Z64:Z70)</f>
        <v>0</v>
      </c>
      <c r="AA71" s="631"/>
      <c r="AB71" s="631"/>
      <c r="AC71" s="30">
        <v>7</v>
      </c>
      <c r="AD71" s="30">
        <f>SUM(AD64:AD70)</f>
        <v>0</v>
      </c>
      <c r="AE71" s="19">
        <f t="shared" si="43"/>
        <v>-106.85687901314577</v>
      </c>
      <c r="AF71" s="449">
        <f t="shared" si="54"/>
        <v>0.95547630041118925</v>
      </c>
      <c r="AG71" s="637"/>
    </row>
    <row r="72" spans="1:33">
      <c r="D72" s="33"/>
      <c r="E72" s="33"/>
    </row>
  </sheetData>
  <mergeCells count="191">
    <mergeCell ref="AG64:AG71"/>
    <mergeCell ref="C65:D65"/>
    <mergeCell ref="AA65:AB65"/>
    <mergeCell ref="C66:D66"/>
    <mergeCell ref="AA66:AB66"/>
    <mergeCell ref="C67:D67"/>
    <mergeCell ref="AA67:AB67"/>
    <mergeCell ref="C68:D68"/>
    <mergeCell ref="AA68:AB68"/>
    <mergeCell ref="C69:D69"/>
    <mergeCell ref="A64:A71"/>
    <mergeCell ref="C64:D64"/>
    <mergeCell ref="R64:R71"/>
    <mergeCell ref="AA64:AB64"/>
    <mergeCell ref="AA69:AB69"/>
    <mergeCell ref="A58:A63"/>
    <mergeCell ref="C58:D58"/>
    <mergeCell ref="R58:R63"/>
    <mergeCell ref="AA58:AB58"/>
    <mergeCell ref="C70:D70"/>
    <mergeCell ref="AA70:AB70"/>
    <mergeCell ref="C71:D71"/>
    <mergeCell ref="AA71:AB71"/>
    <mergeCell ref="AG58:AG63"/>
    <mergeCell ref="C59:D59"/>
    <mergeCell ref="AA59:AB59"/>
    <mergeCell ref="C60:D60"/>
    <mergeCell ref="AA60:AB60"/>
    <mergeCell ref="C61:D61"/>
    <mergeCell ref="AA54:AB54"/>
    <mergeCell ref="C55:D55"/>
    <mergeCell ref="AA55:AB55"/>
    <mergeCell ref="C56:D56"/>
    <mergeCell ref="AA56:AB56"/>
    <mergeCell ref="C57:D57"/>
    <mergeCell ref="AA57:AB57"/>
    <mergeCell ref="AA61:AB61"/>
    <mergeCell ref="C62:D62"/>
    <mergeCell ref="AA62:AB62"/>
    <mergeCell ref="C63:D63"/>
    <mergeCell ref="AA63:AB63"/>
    <mergeCell ref="A50:A57"/>
    <mergeCell ref="C50:D50"/>
    <mergeCell ref="R50:R57"/>
    <mergeCell ref="AA50:AB50"/>
    <mergeCell ref="AG50:AG57"/>
    <mergeCell ref="C51:D51"/>
    <mergeCell ref="AA51:AB51"/>
    <mergeCell ref="C52:D52"/>
    <mergeCell ref="AA52:AB52"/>
    <mergeCell ref="AA53:AB53"/>
    <mergeCell ref="A45:A49"/>
    <mergeCell ref="C45:D45"/>
    <mergeCell ref="R45:R49"/>
    <mergeCell ref="AA45:AB45"/>
    <mergeCell ref="AG37:AG44"/>
    <mergeCell ref="C38:D38"/>
    <mergeCell ref="AA38:AB38"/>
    <mergeCell ref="C39:D39"/>
    <mergeCell ref="AA39:AB39"/>
    <mergeCell ref="C40:D40"/>
    <mergeCell ref="AA40:AB40"/>
    <mergeCell ref="C41:D41"/>
    <mergeCell ref="AA41:AB41"/>
    <mergeCell ref="C42:D42"/>
    <mergeCell ref="AG45:AG49"/>
    <mergeCell ref="C46:D46"/>
    <mergeCell ref="AA46:AB46"/>
    <mergeCell ref="C47:D47"/>
    <mergeCell ref="AA47:AB47"/>
    <mergeCell ref="C48:D48"/>
    <mergeCell ref="AA48:AB48"/>
    <mergeCell ref="C49:D49"/>
    <mergeCell ref="AA49:AB49"/>
    <mergeCell ref="A37:A44"/>
    <mergeCell ref="C37:D37"/>
    <mergeCell ref="R37:R44"/>
    <mergeCell ref="AA37:AB37"/>
    <mergeCell ref="AA42:AB42"/>
    <mergeCell ref="C43:D43"/>
    <mergeCell ref="AA43:AB43"/>
    <mergeCell ref="C44:D44"/>
    <mergeCell ref="AA44:AB44"/>
    <mergeCell ref="A29:A36"/>
    <mergeCell ref="C29:D29"/>
    <mergeCell ref="R29:R36"/>
    <mergeCell ref="AA29:AB29"/>
    <mergeCell ref="AA34:AB34"/>
    <mergeCell ref="C35:D35"/>
    <mergeCell ref="AG29:AG36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C34:D34"/>
    <mergeCell ref="AA35:AB35"/>
    <mergeCell ref="C36:D36"/>
    <mergeCell ref="AA36:AB36"/>
    <mergeCell ref="AG21:AG28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27:D27"/>
    <mergeCell ref="AA27:AB27"/>
    <mergeCell ref="C28:D28"/>
    <mergeCell ref="AA28:AB28"/>
    <mergeCell ref="A21:A28"/>
    <mergeCell ref="C21:D21"/>
    <mergeCell ref="R21:R28"/>
    <mergeCell ref="AA21:AB21"/>
    <mergeCell ref="AA26:AB26"/>
    <mergeCell ref="A13:A20"/>
    <mergeCell ref="C13:D13"/>
    <mergeCell ref="R13:R20"/>
    <mergeCell ref="AA13:AB13"/>
    <mergeCell ref="AG13:AG20"/>
    <mergeCell ref="C14:D14"/>
    <mergeCell ref="AA14:AB14"/>
    <mergeCell ref="C15:D15"/>
    <mergeCell ref="AA15:AB15"/>
    <mergeCell ref="C16:D16"/>
    <mergeCell ref="A10:A12"/>
    <mergeCell ref="C10:D10"/>
    <mergeCell ref="R10:R12"/>
    <mergeCell ref="AA10:AB10"/>
    <mergeCell ref="AG10:AG12"/>
    <mergeCell ref="C11:D11"/>
    <mergeCell ref="AA11:AB11"/>
    <mergeCell ref="C12:D12"/>
    <mergeCell ref="AA12:AB12"/>
    <mergeCell ref="AA16:AB16"/>
    <mergeCell ref="C17:D17"/>
    <mergeCell ref="AA17:AB17"/>
    <mergeCell ref="C20:D20"/>
    <mergeCell ref="AA20:AB20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</mergeCells>
  <phoneticPr fontId="3" type="noConversion"/>
  <conditionalFormatting sqref="O61:O69 O57:O58 O71 O5:O10 O12:O14 O20:O55">
    <cfRule type="cellIs" dxfId="1732" priority="53" operator="greaterThan">
      <formula>0</formula>
    </cfRule>
  </conditionalFormatting>
  <conditionalFormatting sqref="P5:P8 P61:P62 AE61:AE62 P64:P69 P29:P35 P58 P10 P12:P14 P21:P27 P50:P55 P37:P48 AE5:AE58 AE64:AE71">
    <cfRule type="cellIs" dxfId="1731" priority="57" operator="lessThan">
      <formula>0</formula>
    </cfRule>
  </conditionalFormatting>
  <conditionalFormatting sqref="AF61:AF62 Q61:Q69 Q57:Q58 Q71 Q5:Q10 Q12:Q14 Q20:Q55 AF5:AF58 AF64:AF71">
    <cfRule type="cellIs" dxfId="1730" priority="54" operator="greaterThan">
      <formula>1</formula>
    </cfRule>
    <cfRule type="cellIs" dxfId="1729" priority="55" operator="lessThan">
      <formula>0.8</formula>
    </cfRule>
  </conditionalFormatting>
  <conditionalFormatting sqref="AG13:AG14 R13:R14 AG61 R61:R69 R20:R26 AG20:AG26 AG57:AG58 R57:R58 R71 AG5:AG10 R5:R10 AG28:AG55 R28:R55">
    <cfRule type="cellIs" dxfId="1728" priority="59" operator="lessThan">
      <formula>0.8</formula>
    </cfRule>
  </conditionalFormatting>
  <conditionalFormatting sqref="AG45">
    <cfRule type="cellIs" dxfId="1727" priority="61" operator="lessThan">
      <formula>0.8</formula>
    </cfRule>
  </conditionalFormatting>
  <conditionalFormatting sqref="AG21:AG26">
    <cfRule type="cellIs" dxfId="1726" priority="58" operator="lessThan">
      <formula>0.8</formula>
    </cfRule>
  </conditionalFormatting>
  <conditionalFormatting sqref="AG29">
    <cfRule type="cellIs" dxfId="1725" priority="60" operator="lessThan">
      <formula>0.8</formula>
    </cfRule>
  </conditionalFormatting>
  <conditionalFormatting sqref="AG37:AG43">
    <cfRule type="cellIs" dxfId="1724" priority="56" operator="lessThan">
      <formula>0.8</formula>
    </cfRule>
  </conditionalFormatting>
  <conditionalFormatting sqref="AE63">
    <cfRule type="cellIs" dxfId="1723" priority="52" operator="lessThan">
      <formula>0</formula>
    </cfRule>
  </conditionalFormatting>
  <conditionalFormatting sqref="AF63">
    <cfRule type="cellIs" dxfId="1722" priority="50" operator="greaterThan">
      <formula>1</formula>
    </cfRule>
    <cfRule type="cellIs" dxfId="1721" priority="51" operator="lessThan">
      <formula>0.8</formula>
    </cfRule>
  </conditionalFormatting>
  <conditionalFormatting sqref="O15:O16">
    <cfRule type="cellIs" dxfId="1720" priority="45" operator="greaterThan">
      <formula>0</formula>
    </cfRule>
  </conditionalFormatting>
  <conditionalFormatting sqref="P15:P16">
    <cfRule type="cellIs" dxfId="1719" priority="48" operator="lessThan">
      <formula>0</formula>
    </cfRule>
  </conditionalFormatting>
  <conditionalFormatting sqref="Q15:Q16">
    <cfRule type="cellIs" dxfId="1718" priority="46" operator="greaterThan">
      <formula>1</formula>
    </cfRule>
    <cfRule type="cellIs" dxfId="1717" priority="47" operator="lessThan">
      <formula>0.8</formula>
    </cfRule>
  </conditionalFormatting>
  <conditionalFormatting sqref="R15:R16 AG15:AG16">
    <cfRule type="cellIs" dxfId="1716" priority="49" operator="lessThan">
      <formula>0.8</formula>
    </cfRule>
  </conditionalFormatting>
  <conditionalFormatting sqref="O11">
    <cfRule type="cellIs" dxfId="1715" priority="41" operator="greaterThan">
      <formula>0</formula>
    </cfRule>
  </conditionalFormatting>
  <conditionalFormatting sqref="P11">
    <cfRule type="cellIs" dxfId="1714" priority="44" operator="lessThan">
      <formula>0</formula>
    </cfRule>
  </conditionalFormatting>
  <conditionalFormatting sqref="Q11">
    <cfRule type="cellIs" dxfId="1713" priority="42" operator="greaterThan">
      <formula>1</formula>
    </cfRule>
    <cfRule type="cellIs" dxfId="1712" priority="43" operator="lessThan">
      <formula>0.8</formula>
    </cfRule>
  </conditionalFormatting>
  <conditionalFormatting sqref="O56">
    <cfRule type="cellIs" dxfId="1711" priority="36" operator="greaterThan">
      <formula>0</formula>
    </cfRule>
  </conditionalFormatting>
  <conditionalFormatting sqref="P56">
    <cfRule type="cellIs" dxfId="1710" priority="39" operator="lessThan">
      <formula>0</formula>
    </cfRule>
  </conditionalFormatting>
  <conditionalFormatting sqref="Q56">
    <cfRule type="cellIs" dxfId="1709" priority="37" operator="greaterThan">
      <formula>1</formula>
    </cfRule>
    <cfRule type="cellIs" dxfId="1708" priority="38" operator="lessThan">
      <formula>0.8</formula>
    </cfRule>
  </conditionalFormatting>
  <conditionalFormatting sqref="R56 AG56">
    <cfRule type="cellIs" dxfId="1707" priority="40" operator="lessThan">
      <formula>0.8</formula>
    </cfRule>
  </conditionalFormatting>
  <conditionalFormatting sqref="O60">
    <cfRule type="cellIs" dxfId="1706" priority="31" operator="greaterThan">
      <formula>0</formula>
    </cfRule>
  </conditionalFormatting>
  <conditionalFormatting sqref="P60 AE60">
    <cfRule type="cellIs" dxfId="1705" priority="34" operator="lessThan">
      <formula>0</formula>
    </cfRule>
  </conditionalFormatting>
  <conditionalFormatting sqref="Q60 AF60">
    <cfRule type="cellIs" dxfId="1704" priority="32" operator="greaterThan">
      <formula>1</formula>
    </cfRule>
    <cfRule type="cellIs" dxfId="1703" priority="33" operator="lessThan">
      <formula>0.8</formula>
    </cfRule>
  </conditionalFormatting>
  <conditionalFormatting sqref="R60 AG60">
    <cfRule type="cellIs" dxfId="1702" priority="35" operator="lessThan">
      <formula>0.8</formula>
    </cfRule>
  </conditionalFormatting>
  <conditionalFormatting sqref="O70">
    <cfRule type="cellIs" dxfId="1701" priority="26" operator="greaterThan">
      <formula>0</formula>
    </cfRule>
  </conditionalFormatting>
  <conditionalFormatting sqref="P70">
    <cfRule type="cellIs" dxfId="1700" priority="29" operator="lessThan">
      <formula>0</formula>
    </cfRule>
  </conditionalFormatting>
  <conditionalFormatting sqref="Q70">
    <cfRule type="cellIs" dxfId="1699" priority="27" operator="greaterThan">
      <formula>1</formula>
    </cfRule>
    <cfRule type="cellIs" dxfId="1698" priority="28" operator="lessThan">
      <formula>0.8</formula>
    </cfRule>
  </conditionalFormatting>
  <conditionalFormatting sqref="R70">
    <cfRule type="cellIs" dxfId="1697" priority="30" operator="lessThan">
      <formula>0.8</formula>
    </cfRule>
  </conditionalFormatting>
  <conditionalFormatting sqref="O17:O18">
    <cfRule type="cellIs" dxfId="1696" priority="21" operator="greaterThan">
      <formula>0</formula>
    </cfRule>
  </conditionalFormatting>
  <conditionalFormatting sqref="P17:P18">
    <cfRule type="cellIs" dxfId="1695" priority="24" operator="lessThan">
      <formula>0</formula>
    </cfRule>
  </conditionalFormatting>
  <conditionalFormatting sqref="Q17:Q18">
    <cfRule type="cellIs" dxfId="1694" priority="22" operator="greaterThan">
      <formula>1</formula>
    </cfRule>
    <cfRule type="cellIs" dxfId="1693" priority="23" operator="lessThan">
      <formula>0.8</formula>
    </cfRule>
  </conditionalFormatting>
  <conditionalFormatting sqref="R17:R18 AG17:AG18">
    <cfRule type="cellIs" dxfId="1692" priority="25" operator="lessThan">
      <formula>0.8</formula>
    </cfRule>
  </conditionalFormatting>
  <conditionalFormatting sqref="R27 AG27">
    <cfRule type="cellIs" dxfId="1691" priority="20" operator="lessThan">
      <formula>0.8</formula>
    </cfRule>
  </conditionalFormatting>
  <conditionalFormatting sqref="AG27">
    <cfRule type="cellIs" dxfId="1690" priority="19" operator="lessThan">
      <formula>0.8</formula>
    </cfRule>
  </conditionalFormatting>
  <conditionalFormatting sqref="O59">
    <cfRule type="cellIs" dxfId="1689" priority="14" operator="greaterThan">
      <formula>0</formula>
    </cfRule>
  </conditionalFormatting>
  <conditionalFormatting sqref="P59 AE59">
    <cfRule type="cellIs" dxfId="1688" priority="17" operator="lessThan">
      <formula>0</formula>
    </cfRule>
  </conditionalFormatting>
  <conditionalFormatting sqref="Q59 AF59">
    <cfRule type="cellIs" dxfId="1687" priority="15" operator="greaterThan">
      <formula>1</formula>
    </cfRule>
    <cfRule type="cellIs" dxfId="1686" priority="16" operator="lessThan">
      <formula>0.8</formula>
    </cfRule>
  </conditionalFormatting>
  <conditionalFormatting sqref="R59 AG59">
    <cfRule type="cellIs" dxfId="1685" priority="18" operator="lessThan">
      <formula>0.8</formula>
    </cfRule>
  </conditionalFormatting>
  <conditionalFormatting sqref="O19">
    <cfRule type="cellIs" dxfId="1684" priority="9" operator="greaterThan">
      <formula>0</formula>
    </cfRule>
  </conditionalFormatting>
  <conditionalFormatting sqref="P19">
    <cfRule type="cellIs" dxfId="1683" priority="12" operator="lessThan">
      <formula>0</formula>
    </cfRule>
  </conditionalFormatting>
  <conditionalFormatting sqref="Q19">
    <cfRule type="cellIs" dxfId="1682" priority="10" operator="greaterThan">
      <formula>1</formula>
    </cfRule>
    <cfRule type="cellIs" dxfId="1681" priority="11" operator="lessThan">
      <formula>0.8</formula>
    </cfRule>
  </conditionalFormatting>
  <conditionalFormatting sqref="AG19 R19">
    <cfRule type="cellIs" dxfId="1680" priority="13" operator="lessThan">
      <formula>0.8</formula>
    </cfRule>
  </conditionalFormatting>
  <conditionalFormatting sqref="P9">
    <cfRule type="cellIs" dxfId="1679" priority="8" operator="lessThan">
      <formula>0</formula>
    </cfRule>
  </conditionalFormatting>
  <conditionalFormatting sqref="P20">
    <cfRule type="cellIs" dxfId="1678" priority="7" operator="lessThan">
      <formula>0</formula>
    </cfRule>
  </conditionalFormatting>
  <conditionalFormatting sqref="P28">
    <cfRule type="cellIs" dxfId="1677" priority="6" operator="lessThan">
      <formula>0</formula>
    </cfRule>
  </conditionalFormatting>
  <conditionalFormatting sqref="P36">
    <cfRule type="cellIs" dxfId="1676" priority="5" operator="lessThan">
      <formula>0</formula>
    </cfRule>
  </conditionalFormatting>
  <conditionalFormatting sqref="P49">
    <cfRule type="cellIs" dxfId="1675" priority="4" operator="lessThan">
      <formula>0</formula>
    </cfRule>
  </conditionalFormatting>
  <conditionalFormatting sqref="P57">
    <cfRule type="cellIs" dxfId="1674" priority="3" operator="lessThan">
      <formula>0</formula>
    </cfRule>
  </conditionalFormatting>
  <conditionalFormatting sqref="P63">
    <cfRule type="cellIs" dxfId="1673" priority="2" operator="lessThan">
      <formula>0</formula>
    </cfRule>
  </conditionalFormatting>
  <conditionalFormatting sqref="P71">
    <cfRule type="cellIs" dxfId="1672" priority="1" operator="lessThan">
      <formula>0</formula>
    </cfRule>
  </conditionalFormatting>
  <dataValidations count="1">
    <dataValidation type="list" allowBlank="1" showInputMessage="1" showErrorMessage="1" sqref="AB9 AA5:AB8 AB62 AA9:AA62 AB11:AB58 AA63:AB71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O13" sqref="O13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612" t="s">
        <v>2201</v>
      </c>
      <c r="C1" s="612"/>
      <c r="D1" s="612"/>
      <c r="E1" s="612"/>
      <c r="F1" s="612"/>
      <c r="G1" s="612"/>
      <c r="H1" s="612"/>
      <c r="I1" s="612"/>
      <c r="J1" s="612"/>
      <c r="K1" s="51"/>
      <c r="L1" s="51"/>
      <c r="M1" s="51"/>
      <c r="N1" s="51"/>
      <c r="O1" s="51"/>
      <c r="P1" s="51"/>
    </row>
    <row r="2" spans="2:17" ht="27.75" customHeight="1">
      <c r="B2" s="613"/>
      <c r="C2" s="613"/>
      <c r="D2" s="613"/>
      <c r="E2" s="613"/>
      <c r="F2" s="613"/>
      <c r="G2" s="613"/>
      <c r="H2" s="613"/>
      <c r="I2" s="613"/>
      <c r="J2" s="613"/>
      <c r="K2" s="53"/>
      <c r="L2" s="53"/>
      <c r="M2" s="53"/>
      <c r="N2" s="51"/>
      <c r="O2" s="51"/>
      <c r="P2" s="51"/>
    </row>
    <row r="3" spans="2:17" ht="46.5" customHeight="1">
      <c r="B3" s="54" t="s">
        <v>152</v>
      </c>
      <c r="C3" s="614" t="str">
        <f>TEXT('0823 4度C'!A2,"yyyy.mm.ddaaaa")</f>
        <v>2026.08.23星期日</v>
      </c>
      <c r="D3" s="615"/>
      <c r="E3" s="54" t="s">
        <v>2202</v>
      </c>
      <c r="F3" s="616">
        <f>'0823 4度C'!D1</f>
        <v>195881</v>
      </c>
      <c r="G3" s="617"/>
      <c r="H3" s="54" t="s">
        <v>2203</v>
      </c>
      <c r="I3" s="618">
        <f>'0823 4度C'!F1</f>
        <v>6821430.8499999996</v>
      </c>
      <c r="J3" s="619"/>
      <c r="K3" s="55"/>
      <c r="L3" s="56"/>
      <c r="M3" s="57"/>
      <c r="N3" s="57"/>
    </row>
    <row r="4" spans="2:17" ht="28.5" customHeight="1">
      <c r="B4" s="620" t="s">
        <v>319</v>
      </c>
      <c r="C4" s="606" t="s">
        <v>156</v>
      </c>
      <c r="D4" s="607"/>
      <c r="E4" s="623" t="s">
        <v>157</v>
      </c>
      <c r="F4" s="624"/>
      <c r="G4" s="623" t="s">
        <v>158</v>
      </c>
      <c r="H4" s="624"/>
      <c r="I4" s="623" t="s">
        <v>223</v>
      </c>
      <c r="J4" s="624"/>
      <c r="K4" s="604" t="s">
        <v>2204</v>
      </c>
      <c r="L4" s="605"/>
      <c r="M4" s="605" t="s">
        <v>2205</v>
      </c>
      <c r="N4" s="605"/>
    </row>
    <row r="5" spans="2:17" ht="28.5" customHeight="1">
      <c r="B5" s="621"/>
      <c r="C5" s="606" t="s">
        <v>2206</v>
      </c>
      <c r="D5" s="607"/>
      <c r="E5" s="606" t="s">
        <v>2207</v>
      </c>
      <c r="F5" s="607"/>
      <c r="G5" s="608" t="s">
        <v>2208</v>
      </c>
      <c r="H5" s="609"/>
      <c r="I5" s="610" t="s">
        <v>2209</v>
      </c>
      <c r="J5" s="611"/>
      <c r="K5" s="58" t="s">
        <v>2210</v>
      </c>
      <c r="L5" s="59" t="s">
        <v>2211</v>
      </c>
      <c r="M5" s="58" t="s">
        <v>2210</v>
      </c>
      <c r="N5" s="59" t="s">
        <v>2212</v>
      </c>
    </row>
    <row r="6" spans="2:17" ht="28.5" customHeight="1">
      <c r="B6" s="621"/>
      <c r="C6" s="606" t="s">
        <v>169</v>
      </c>
      <c r="D6" s="607"/>
      <c r="E6" s="598">
        <f>AVERAGE(D13:M13)</f>
        <v>156.4997221339093</v>
      </c>
      <c r="F6" s="599">
        <f>AVERAGE(D31:O31,D13:J13)</f>
        <v>164.82526511033484</v>
      </c>
      <c r="G6" s="600">
        <f>AVERAGE(D13:J13)</f>
        <v>164.82526511033484</v>
      </c>
      <c r="H6" s="601"/>
      <c r="I6" s="600">
        <f>AVERAGE(K13:M13)</f>
        <v>137.07345518891637</v>
      </c>
      <c r="J6" s="601"/>
      <c r="K6" s="602">
        <f>'0823 4度C'!Y2</f>
        <v>0</v>
      </c>
      <c r="L6" s="587">
        <f>'0823 4度C'!Z2</f>
        <v>0</v>
      </c>
      <c r="M6" s="603">
        <f>'0823 4度C'!AC2</f>
        <v>62</v>
      </c>
      <c r="N6" s="587">
        <f>'0823 4度C'!AD2</f>
        <v>0</v>
      </c>
    </row>
    <row r="7" spans="2:17" ht="28.5" customHeight="1">
      <c r="B7" s="621"/>
      <c r="C7" s="588" t="s">
        <v>170</v>
      </c>
      <c r="D7" s="589"/>
      <c r="E7" s="590">
        <f>AVERAGE(D14:M14)</f>
        <v>149.85416334914103</v>
      </c>
      <c r="F7" s="591">
        <f>AVERAGE(D32:O32,D14:J14)</f>
        <v>157.93944174533991</v>
      </c>
      <c r="G7" s="592">
        <f>AVERAGE(D14:J14)</f>
        <v>157.93944174533991</v>
      </c>
      <c r="H7" s="593"/>
      <c r="I7" s="592">
        <f>AVERAGE(K14:M14)</f>
        <v>130.98851375801033</v>
      </c>
      <c r="J7" s="593"/>
      <c r="K7" s="602"/>
      <c r="L7" s="587"/>
      <c r="M7" s="603"/>
      <c r="N7" s="587"/>
    </row>
    <row r="8" spans="2:17" ht="28.5" customHeight="1">
      <c r="B8" s="622"/>
      <c r="C8" s="588" t="s">
        <v>171</v>
      </c>
      <c r="D8" s="589"/>
      <c r="E8" s="594">
        <f>AVERAGE(D15:M15)</f>
        <v>0.95786091346596913</v>
      </c>
      <c r="F8" s="595">
        <f>AVERAGE(D15:J15,D33:O33)</f>
        <v>0.95879926766697421</v>
      </c>
      <c r="G8" s="596">
        <f>AVERAGE(D15:J15)</f>
        <v>0.95879926766697421</v>
      </c>
      <c r="H8" s="597"/>
      <c r="I8" s="596">
        <f>AVERAGE(K15:M15)</f>
        <v>0.95567142033029029</v>
      </c>
      <c r="J8" s="597"/>
      <c r="K8" s="602"/>
      <c r="L8" s="587"/>
      <c r="M8" s="603"/>
      <c r="N8" s="587"/>
    </row>
    <row r="9" spans="2:17" ht="28.5" customHeight="1" thickBot="1">
      <c r="H9" s="61"/>
      <c r="K9" s="62" t="s">
        <v>172</v>
      </c>
      <c r="N9" s="57"/>
      <c r="O9" s="57"/>
      <c r="P9" s="57"/>
      <c r="Q9" s="57"/>
    </row>
    <row r="10" spans="2:17" ht="30" customHeight="1">
      <c r="B10" s="570" t="s">
        <v>173</v>
      </c>
      <c r="C10" s="571"/>
      <c r="D10" s="572" t="s">
        <v>174</v>
      </c>
      <c r="E10" s="573"/>
      <c r="F10" s="573"/>
      <c r="G10" s="573"/>
      <c r="H10" s="573"/>
      <c r="I10" s="573"/>
      <c r="J10" s="574"/>
      <c r="K10" s="575" t="s">
        <v>175</v>
      </c>
      <c r="L10" s="576"/>
      <c r="M10" s="577"/>
      <c r="P10" s="63"/>
      <c r="Q10" s="63"/>
    </row>
    <row r="11" spans="2:17" ht="17.25" customHeight="1">
      <c r="B11" s="578" t="s">
        <v>238</v>
      </c>
      <c r="C11" s="579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80"/>
      <c r="C12" s="581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582" t="s">
        <v>187</v>
      </c>
      <c r="C13" s="70" t="s">
        <v>188</v>
      </c>
      <c r="D13" s="71">
        <f>SUMIFS('0823 4度C'!$K:$K,'0823 4度C'!$A:$A,"新豐6線",'0823 4度C'!$B:$B,"平均")</f>
        <v>129.03225806451613</v>
      </c>
      <c r="E13" s="72">
        <f>SUMIFS('0823 4度C'!$K:$K,'0823 4度C'!$A:$A,"新豐2線",'0823 4度C'!$B:$B,"平均")</f>
        <v>83.333333333333329</v>
      </c>
      <c r="F13" s="73">
        <f>SUMIFS('0823 4度C'!$K:$K,'0823 4度C'!$A:$A,"新豐5線",'0823 4度C'!$B:$B,"平均")</f>
        <v>95.890410958904113</v>
      </c>
      <c r="G13" s="73">
        <f>SUMIFS('0823 4度C'!$K:$K,'0823 4度C'!$A:$A,"新豐7線",'0823 4度C'!$B:$B,"平均")</f>
        <v>126.98412698412699</v>
      </c>
      <c r="H13" s="73">
        <f>SUMIFS('0823 4度C'!$K:$K,'0823 4度C'!$A:$A,"新豐3線",'0823 4度C'!$B:$B,"平均")</f>
        <v>315.78947368421052</v>
      </c>
      <c r="I13" s="73">
        <f>SUMIFS('0823 4度C'!$K:$K,'0823 4度C'!$A:$A,"新豐1線",'0823 4度C'!$B:$B,"平均")</f>
        <v>114.28571428571429</v>
      </c>
      <c r="J13" s="74">
        <f>SUMIFS('0823 4度C'!$K:$K,'0823 4度C'!$A:$A,"新豐10線",'0823 4度C'!$B:$B,"平均")</f>
        <v>288.46153846153845</v>
      </c>
      <c r="K13" s="75">
        <f>SUMIFS('0823 4度C'!$K:$K,'0823 4度C'!$A:$A,"新豐8線",'0823 4度C'!$B:$B,"平均")</f>
        <v>145.45454545454547</v>
      </c>
      <c r="L13" s="76">
        <f>SUMIFS('0823 4度C'!$K:$K,'0823 4度C'!$A:$A,"新豐9線",'0823 4度C'!$B:$B,"平均")</f>
        <v>125.61983471074382</v>
      </c>
      <c r="M13" s="74">
        <f>SUMIFS('0823 4度C'!$K:$K,'0823 4度C'!$A:$A,"新豐4線",'0823 4度C'!$B:$B,"平均")</f>
        <v>140.14598540145985</v>
      </c>
    </row>
    <row r="14" spans="2:17" ht="39.6" customHeight="1">
      <c r="B14" s="583"/>
      <c r="C14" s="77" t="s">
        <v>189</v>
      </c>
      <c r="D14" s="78">
        <f>SUMIFS('0823 4度C'!$N:$N,'0823 4度C'!$A:$A,"新豐6線",'0823 4度C'!$B:$B,"平均")</f>
        <v>124.1665171576542</v>
      </c>
      <c r="E14" s="79">
        <f>SUMIFS('0823 4度C'!$N:$N,'0823 4度C'!$A:$A,"新豐2線",'0823 4度C'!$B:$B,"平均")</f>
        <v>79.3949658058213</v>
      </c>
      <c r="F14" s="79">
        <f>SUMIFS('0823 4度C'!$N:$N,'0823 4度C'!$A:$A,"新豐5線",'0823 4度C'!$B:$B,"平均")</f>
        <v>92.037190015171035</v>
      </c>
      <c r="G14" s="79">
        <f>SUMIFS('0823 4度C'!$N:$N,'0823 4度C'!$A:$A,"新豐7線",'0823 4度C'!$B:$B,"平均")</f>
        <v>122.3136227352433</v>
      </c>
      <c r="H14" s="79">
        <f>SUMIFS('0823 4度C'!$N:$N,'0823 4度C'!$A:$A,"新豐3線",'0823 4度C'!$B:$B,"平均")</f>
        <v>300.47644460802337</v>
      </c>
      <c r="I14" s="79">
        <f>SUMIFS('0823 4度C'!$N:$N,'0823 4度C'!$A:$A,"新豐1線",'0823 4度C'!$B:$B,"平均")</f>
        <v>109.73571463707277</v>
      </c>
      <c r="J14" s="80">
        <f>SUMIFS('0823 4度C'!$N:$N,'0823 4度C'!$A:$A,"新豐10線",'0823 4度C'!$B:$B,"平均")</f>
        <v>277.4516372583933</v>
      </c>
      <c r="K14" s="81">
        <f>SUMIFS('0823 4度C'!$N:$N,'0823 4度C'!$A:$A,"新豐8線",'0823 4度C'!$B:$B,"平均")</f>
        <v>138.7937747869114</v>
      </c>
      <c r="L14" s="82">
        <f>SUMIFS('0823 4度C'!$N:$N,'0823 4度C'!$A:$A,"新豐9線",'0823 4度C'!$B:$B,"平均")</f>
        <v>120.20899361436395</v>
      </c>
      <c r="M14" s="80">
        <f>SUMIFS('0823 4度C'!$N:$N,'0823 4度C'!$A:$A,"新豐4線",'0823 4度C'!$B:$B,"平均")</f>
        <v>133.96277287275566</v>
      </c>
    </row>
    <row r="15" spans="2:17" ht="40.15" customHeight="1">
      <c r="B15" s="584"/>
      <c r="C15" s="83" t="s">
        <v>190</v>
      </c>
      <c r="D15" s="84">
        <f t="shared" ref="D15:M15" si="0">D14/D13</f>
        <v>0.96229050797182003</v>
      </c>
      <c r="E15" s="85">
        <f t="shared" si="0"/>
        <v>0.95273958966985561</v>
      </c>
      <c r="F15" s="85">
        <f t="shared" si="0"/>
        <v>0.95981641015821217</v>
      </c>
      <c r="G15" s="85">
        <f t="shared" si="0"/>
        <v>0.96321977904004097</v>
      </c>
      <c r="H15" s="85">
        <f t="shared" si="0"/>
        <v>0.95150874125874074</v>
      </c>
      <c r="I15" s="85">
        <f t="shared" si="0"/>
        <v>0.96018750307438672</v>
      </c>
      <c r="J15" s="86">
        <f t="shared" si="0"/>
        <v>0.96183234249576344</v>
      </c>
      <c r="K15" s="84">
        <f t="shared" si="0"/>
        <v>0.95420720166001582</v>
      </c>
      <c r="L15" s="85">
        <f t="shared" si="0"/>
        <v>0.95692685706171288</v>
      </c>
      <c r="M15" s="86">
        <f t="shared" si="0"/>
        <v>0.95588020226914194</v>
      </c>
    </row>
    <row r="16" spans="2:17" ht="17.25" customHeight="1">
      <c r="B16" s="585" t="s">
        <v>191</v>
      </c>
      <c r="C16" s="87" t="s">
        <v>192</v>
      </c>
      <c r="D16" s="88">
        <f>VLOOKUP("新豐6線",'0823 4度C'!$A:$T,19,0)</f>
        <v>0.70833333333333337</v>
      </c>
      <c r="E16" s="89">
        <f>VLOOKUP("新豐2線",'0823 4度C'!$A:$T,19,0)</f>
        <v>8.3333333333333329E-2</v>
      </c>
      <c r="F16" s="89">
        <f>VLOOKUP("新豐5線",'0823 4度C'!$A:$T,19,0)</f>
        <v>0.20833333333333334</v>
      </c>
      <c r="G16" s="89">
        <f>VLOOKUP("新豐7線",'0823 4度C'!$A:$T,19,0)</f>
        <v>0.20833333333333334</v>
      </c>
      <c r="H16" s="89">
        <f>VLOOKUP("新豐3線",'0823 4度C'!$A:$T,19,0)</f>
        <v>0.20833333333333334</v>
      </c>
      <c r="I16" s="89">
        <f>VLOOKUP("新豐1線",'0823 4度C'!$A:$T,19,0)</f>
        <v>0.20833333333333334</v>
      </c>
      <c r="J16" s="90">
        <f>VLOOKUP("新豐10線",'0823 4度C'!$A:$T,19,0)</f>
        <v>0.20833333333333334</v>
      </c>
      <c r="K16" s="91">
        <f>VLOOKUP("新豐8線",'0823 4度C'!$A:$T,19,0)</f>
        <v>8.3333333333333329E-2</v>
      </c>
      <c r="L16" s="92">
        <f>VLOOKUP("新豐9線",'0823 4度C'!$A:$T,19,0)</f>
        <v>8.3333333333333329E-2</v>
      </c>
      <c r="M16" s="93">
        <f>VLOOKUP("新豐4線",'0823 4度C'!$A:$T,19,0)</f>
        <v>8.3333333333333329E-2</v>
      </c>
    </row>
    <row r="17" spans="2:13" ht="17.25" customHeight="1">
      <c r="B17" s="586"/>
      <c r="C17" s="87" t="s">
        <v>193</v>
      </c>
      <c r="D17" s="91">
        <f>LOOKUP(2,1/(('0823 4度C'!$A:$A="新豐6線")*('0823 4度C'!$T:$T&lt;&gt;"")),'0823 4度C'!$T:$T)</f>
        <v>0.90416666666666667</v>
      </c>
      <c r="E17" s="89">
        <f>LOOKUP(2,1/(('0823 4度C'!$A:$A="新豐2線")*('0823 4度C'!$T:$T&lt;&gt;"")),'0823 4度C'!$T:$T)</f>
        <v>0.48819444444444449</v>
      </c>
      <c r="F17" s="89">
        <f>LOOKUP(2,1/(('0823 4度C'!$A:$A="新豐5線")*('0823 4度C'!$T:$T&lt;&gt;"")),'0823 4度C'!$T:$T)</f>
        <v>0.90416666666666656</v>
      </c>
      <c r="G17" s="89">
        <f>LOOKUP(2,1/(('0823 4度C'!$A:$A="新豐7線")*('0823 4度C'!$T:$T&lt;&gt;"")),'0823 4度C'!$T:$T)</f>
        <v>0.90625</v>
      </c>
      <c r="H17" s="89">
        <f>LOOKUP(2,1/(('0823 4度C'!$A:$A="新豐3線")*('0823 4度C'!$T:$T&lt;&gt;"")),'0823 4度C'!$T:$T)</f>
        <v>0.44722222222222219</v>
      </c>
      <c r="I17" s="89">
        <f>LOOKUP(2,1/(('0823 4度C'!$A:$A="新豐1線")*('0823 4度C'!$T:$T&lt;&gt;"")),'0823 4度C'!$T:$T)</f>
        <v>0.90694444444444444</v>
      </c>
      <c r="J17" s="90">
        <f>LOOKUP(2,1/(('0823 4度C'!$A:$A="新豐10線")*('0823 4度C'!$T:$T&lt;&gt;"")),'0823 4度C'!$T:$T)</f>
        <v>0.4638888888888888</v>
      </c>
      <c r="K17" s="88">
        <f>LOOKUP(2,1/(('0823 4度C'!$A:$A="新豐8線")*('0823 4度C'!$T:$T&lt;&gt;"")),'0823 4度C'!$T:$T)</f>
        <v>0.7451388888888888</v>
      </c>
      <c r="L17" s="89">
        <f>LOOKUP(2,1/(('0823 4度C'!$A:$A="新豐9線")*('0823 4度C'!$T:$T&lt;&gt;"")),'0823 4度C'!$T:$T)</f>
        <v>0.73124999999999996</v>
      </c>
      <c r="M17" s="90">
        <f>LOOKUP(2,1/(('0823 4度C'!$A:$A="新豐4線")*('0823 4度C'!$T:$T&lt;&gt;"")),'0823 4度C'!$T:$T)</f>
        <v>0.74722222222222212</v>
      </c>
    </row>
    <row r="18" spans="2:13" ht="17.25" customHeight="1">
      <c r="B18" s="564" t="s">
        <v>194</v>
      </c>
      <c r="C18" s="94" t="s">
        <v>195</v>
      </c>
      <c r="D18" s="95">
        <f>SUMIFS('0823 4度C'!$Y:$Y,'0823 4度C'!$A:$A,"新豐6線",'0823 4度C'!$B:$B,"平均")</f>
        <v>0</v>
      </c>
      <c r="E18" s="96">
        <f>SUMIFS('0823 4度C'!$Y:$Y,'0823 4度C'!$A:$A,"新豐2線",'0823 4度C'!$B:$B,"平均")</f>
        <v>0</v>
      </c>
      <c r="F18" s="96">
        <f>SUMIFS('0823 4度C'!$Y:$Y,'0823 4度C'!$A:$A,"新豐5線",'0823 4度C'!$B:$B,"平均")</f>
        <v>0</v>
      </c>
      <c r="G18" s="96">
        <f>SUMIFS('0823 4度C'!$Y:$Y,'0823 4度C'!$A:$A,"新豐7線",'0823 4度C'!$B:$B,"平均")</f>
        <v>0</v>
      </c>
      <c r="H18" s="96">
        <f>SUMIFS('0823 4度C'!$Y:$Y,'0823 4度C'!$A:$A,"新豐3線",'0823 4度C'!$B:$B,"平均")</f>
        <v>0</v>
      </c>
      <c r="I18" s="96">
        <f>SUMIFS('0823 4度C'!$Y:$Y,'0823 4度C'!$A:$A,"新豐1線",'0823 4度C'!$B:$B,"平均")</f>
        <v>0</v>
      </c>
      <c r="J18" s="97">
        <f>SUMIFS('0823 4度C'!$Y:$Y,'0823 4度C'!$A:$A,"新豐10線",'0823 4度C'!$B:$B,"平均")</f>
        <v>0</v>
      </c>
      <c r="K18" s="98">
        <f>SUMIFS('0823 4度C'!$Y:$Y,'0823 4度C'!$A:$A,"新豐8線",'0823 4度C'!$B:$B,"平均")</f>
        <v>0</v>
      </c>
      <c r="L18" s="96">
        <f>SUMIFS('0823 4度C'!$Y:$Y,'0823 4度C'!$A:$A,"新豐9線",'0823 4度C'!$B:$B,"平均")</f>
        <v>0</v>
      </c>
      <c r="M18" s="97">
        <f>SUMIFS('0823 4度C'!$Y:$Y,'0823 4度C'!$A:$A,"新豐4線",'0823 4度C'!$B:$B,"平均")</f>
        <v>0</v>
      </c>
    </row>
    <row r="19" spans="2:13" ht="17.25" customHeight="1">
      <c r="B19" s="565"/>
      <c r="C19" s="94" t="s">
        <v>196</v>
      </c>
      <c r="D19" s="95">
        <f>SUMIFS('0823 4度C'!$Z:$Z,'0823 4度C'!$A:$A,"新豐6線",'0823 4度C'!$B:$B,"平均")</f>
        <v>0</v>
      </c>
      <c r="E19" s="96">
        <f>SUMIFS('0823 4度C'!$Z:$Z,'0823 4度C'!$A:$A,"新豐2線",'0823 4度C'!$B:$B,"平均")</f>
        <v>0</v>
      </c>
      <c r="F19" s="96">
        <f>SUMIFS('0823 4度C'!$Z:$Z,'0823 4度C'!$A:$A,"新豐5線",'0823 4度C'!$B:$B,"平均")</f>
        <v>0</v>
      </c>
      <c r="G19" s="96">
        <f>SUMIFS('0823 4度C'!$Z:$Z,'0823 4度C'!$A:$A,"新豐7線",'0823 4度C'!$B:$B,"平均")</f>
        <v>0</v>
      </c>
      <c r="H19" s="96">
        <f>SUMIFS('0823 4度C'!$Z:$Z,'0823 4度C'!$A:$A,"新豐3線",'0823 4度C'!$B:$B,"平均")</f>
        <v>0</v>
      </c>
      <c r="I19" s="96">
        <f>SUMIFS('0823 4度C'!$Z:$Z,'0823 4度C'!$A:$A,"新豐1線",'0823 4度C'!$B:$B,"平均")</f>
        <v>0</v>
      </c>
      <c r="J19" s="97">
        <f>SUMIFS('0823 4度C'!$Z:$Z,'0823 4度C'!$A:$A,"新豐10線",'0823 4度C'!$B:$B,"平均")</f>
        <v>0</v>
      </c>
      <c r="K19" s="98">
        <f>SUMIFS('0823 4度C'!$Z:$Z,'0823 4度C'!$A:$A,"新豐8線",'0823 4度C'!$B:$B,"平均")</f>
        <v>0</v>
      </c>
      <c r="L19" s="96">
        <f>SUMIFS('0823 4度C'!$Z:$Z,'0823 4度C'!$A:$A,"新豐9線",'0823 4度C'!$B:$B,"平均")</f>
        <v>0</v>
      </c>
      <c r="M19" s="97">
        <f>SUMIFS('0823 4度C'!$Z:$Z,'0823 4度C'!$A:$A,"新豐4線",'0823 4度C'!$B:$B,"平均")</f>
        <v>0</v>
      </c>
    </row>
    <row r="20" spans="2:13" ht="17.25" customHeight="1">
      <c r="B20" s="564" t="s">
        <v>197</v>
      </c>
      <c r="C20" s="94" t="s">
        <v>195</v>
      </c>
      <c r="D20" s="95">
        <f>SUMIFS('0823 4度C'!$AC:$AC,'0823 4度C'!$A:$A,"新豐6線",'0823 4度C'!$B:$B,"平均")</f>
        <v>4</v>
      </c>
      <c r="E20" s="96">
        <f>SUMIFS('0823 4度C'!$AC:$AC,'0823 4度C'!$A:$A,"新豐2線",'0823 4度C'!$B:$B,"平均")</f>
        <v>2</v>
      </c>
      <c r="F20" s="96">
        <f>SUMIFS('0823 4度C'!$AC:$AC,'0823 4度C'!$A:$A,"新豐5線",'0823 4度C'!$B:$B,"平均")</f>
        <v>8</v>
      </c>
      <c r="G20" s="96">
        <f>SUMIFS('0823 4度C'!$AC:$AC,'0823 4度C'!$A:$A,"新豐7線",'0823 4度C'!$B:$B,"平均")</f>
        <v>8</v>
      </c>
      <c r="H20" s="96">
        <f>SUMIFS('0823 4度C'!$AC:$AC,'0823 4度C'!$A:$A,"新豐3線",'0823 4度C'!$B:$B,"平均")</f>
        <v>4</v>
      </c>
      <c r="I20" s="96">
        <f>SUMIFS('0823 4度C'!$AC:$AC,'0823 4度C'!$A:$A,"新豐1線",'0823 4度C'!$B:$B,"平均")</f>
        <v>8</v>
      </c>
      <c r="J20" s="97">
        <f>SUMIFS('0823 4度C'!$AC:$AC,'0823 4度C'!$A:$A,"新豐10線",'0823 4度C'!$B:$B,"平均")</f>
        <v>5</v>
      </c>
      <c r="K20" s="98">
        <f>SUMIFS('0823 4度C'!$AC:$AC,'0823 4度C'!$A:$A,"新豐8線",'0823 4度C'!$B:$B,"平均")</f>
        <v>8</v>
      </c>
      <c r="L20" s="96">
        <f>SUMIFS('0823 4度C'!$AC:$AC,'0823 4度C'!$A:$A,"新豐9線",'0823 4度C'!$B:$B,"平均")</f>
        <v>7</v>
      </c>
      <c r="M20" s="97">
        <f>SUMIFS('0823 4度C'!$AC:$AC,'0823 4度C'!$A:$A,"新豐4線",'0823 4度C'!$B:$B,"平均")</f>
        <v>8</v>
      </c>
    </row>
    <row r="21" spans="2:13" ht="17.25" customHeight="1">
      <c r="B21" s="565"/>
      <c r="C21" s="94" t="s">
        <v>199</v>
      </c>
      <c r="D21" s="95">
        <f>SUMIFS('0823 4度C'!$AD:$AD,'0823 4度C'!$A:$A,"新豐6線",'0823 4度C'!$B:$B,"平均")</f>
        <v>0</v>
      </c>
      <c r="E21" s="96">
        <f>SUMIFS('0823 4度C'!$AD:$AD,'0823 4度C'!$A:$A,"新豐2線",'0823 4度C'!$B:$B,"平均")</f>
        <v>0</v>
      </c>
      <c r="F21" s="96">
        <f>SUMIFS('0823 4度C'!$AD:$AD,'0823 4度C'!$A:$A,"新豐5線",'0823 4度C'!$B:$B,"平均")</f>
        <v>0</v>
      </c>
      <c r="G21" s="96">
        <f>SUMIFS('0823 4度C'!$AD:$AD,'0823 4度C'!$A:$A,"新豐7線",'0823 4度C'!$B:$B,"平均")</f>
        <v>0</v>
      </c>
      <c r="H21" s="96">
        <f>SUMIFS('0823 4度C'!$AD:$AD,'0823 4度C'!$A:$A,"新豐3線",'0823 4度C'!$B:$B,"平均")</f>
        <v>0</v>
      </c>
      <c r="I21" s="96">
        <f>SUMIFS('0823 4度C'!$AD:$AD,'0823 4度C'!$A:$A,"新豐1線",'0823 4度C'!$B:$B,"平均")</f>
        <v>0</v>
      </c>
      <c r="J21" s="97">
        <f>SUMIFS('0823 4度C'!$AD:$AD,'0823 4度C'!$A:$A,"新豐10線",'0823 4度C'!$B:$B,"平均")</f>
        <v>0</v>
      </c>
      <c r="K21" s="98">
        <f>SUMIFS('0823 4度C'!$AD:$AD,'0823 4度C'!$A:$A,"新豐8線",'0823 4度C'!$B:$B,"平均")</f>
        <v>0</v>
      </c>
      <c r="L21" s="96">
        <f>SUMIFS('0823 4度C'!$AD:$AD,'0823 4度C'!$A:$A,"新豐9線",'0823 4度C'!$B:$B,"平均")</f>
        <v>0</v>
      </c>
      <c r="M21" s="97">
        <f>SUMIFS('0823 4度C'!$AD:$AD,'0823 4度C'!$A:$A,"新豐4線",'0823 4度C'!$B:$B,"平均")</f>
        <v>0</v>
      </c>
    </row>
    <row r="22" spans="2:13" ht="17.25" customHeight="1">
      <c r="B22" s="566" t="s">
        <v>251</v>
      </c>
      <c r="C22" s="567"/>
      <c r="D22" s="99">
        <f>SUMIFS('0823 4度C'!$I:$I,'0823 4度C'!$A:$A,"新豐6線",'0823 4度C'!$B:$B,"平均")</f>
        <v>15.5</v>
      </c>
      <c r="E22" s="100">
        <f>SUMIFS('0823 4度C'!$I:$I,'0823 4度C'!$A:$A,"新豐2線",'0823 4度C'!$B:$B,"平均")</f>
        <v>18</v>
      </c>
      <c r="F22" s="100">
        <f>SUMIFS('0823 4度C'!$I:$I,'0823 4度C'!$A:$A,"新豐5線",'0823 4度C'!$B:$B,"平均")</f>
        <v>18.25</v>
      </c>
      <c r="G22" s="100">
        <f>SUMIFS('0823 4度C'!$I:$I,'0823 4度C'!$A:$A,"新豐7線",'0823 4度C'!$B:$B,"平均")</f>
        <v>15.75</v>
      </c>
      <c r="H22" s="100">
        <f>SUMIFS('0823 4度C'!$I:$I,'0823 4度C'!$A:$A,"新豐3線",'0823 4度C'!$B:$B,"平均")</f>
        <v>9.5</v>
      </c>
      <c r="I22" s="100">
        <f>SUMIFS('0823 4度C'!$I:$I,'0823 4度C'!$A:$A,"新豐1線",'0823 4度C'!$B:$B,"平均")</f>
        <v>17.5</v>
      </c>
      <c r="J22" s="101">
        <f>SUMIFS('0823 4度C'!$I:$I,'0823 4度C'!$A:$A,"新豐10線",'0823 4度C'!$B:$B,"平均")</f>
        <v>10.4</v>
      </c>
      <c r="K22" s="99">
        <f>SUMIFS('0823 4度C'!$I:$I,'0823 4度C'!$A:$A,"新豐8線",'0823 4度C'!$B:$B,"平均")</f>
        <v>16.5</v>
      </c>
      <c r="L22" s="100">
        <f>SUMIFS('0823 4度C'!$I:$I,'0823 4度C'!$A:$A,"新豐9線",'0823 4度C'!$B:$B,"平均")</f>
        <v>17.285714285714285</v>
      </c>
      <c r="M22" s="101">
        <f>SUMIFS('0823 4度C'!$I:$I,'0823 4度C'!$A:$A,"新豐4線",'0823 4度C'!$B:$B,"平均")</f>
        <v>17.125</v>
      </c>
    </row>
    <row r="23" spans="2:13" ht="17.25" customHeight="1">
      <c r="B23" s="566" t="s">
        <v>201</v>
      </c>
      <c r="C23" s="567"/>
      <c r="D23" s="102" t="s">
        <v>202</v>
      </c>
      <c r="E23" s="103" t="s">
        <v>203</v>
      </c>
      <c r="F23" s="103" t="s">
        <v>204</v>
      </c>
      <c r="G23" s="103" t="s">
        <v>204</v>
      </c>
      <c r="H23" s="103" t="s">
        <v>205</v>
      </c>
      <c r="I23" s="103" t="s">
        <v>202</v>
      </c>
      <c r="J23" s="104" t="s">
        <v>205</v>
      </c>
      <c r="K23" s="102" t="s">
        <v>206</v>
      </c>
      <c r="L23" s="103" t="s">
        <v>206</v>
      </c>
      <c r="M23" s="104" t="s">
        <v>206</v>
      </c>
    </row>
    <row r="24" spans="2:13" ht="17.25" customHeight="1">
      <c r="B24" s="566" t="s">
        <v>208</v>
      </c>
      <c r="C24" s="567"/>
      <c r="D24" s="102"/>
      <c r="E24" s="103"/>
      <c r="F24" s="103" t="s">
        <v>209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68" t="s">
        <v>565</v>
      </c>
      <c r="C25" s="569"/>
      <c r="D25" s="105"/>
      <c r="E25" s="106" t="s">
        <v>211</v>
      </c>
      <c r="F25" s="562" t="s">
        <v>261</v>
      </c>
      <c r="G25" s="563"/>
      <c r="H25" s="106" t="s">
        <v>213</v>
      </c>
      <c r="I25" s="106" t="s">
        <v>263</v>
      </c>
      <c r="J25" s="107" t="s">
        <v>213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671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7"/>
  <sheetViews>
    <sheetView zoomScale="80" zoomScaleNormal="80" workbookViewId="0">
      <pane ySplit="4" topLeftCell="A20" activePane="bottomLeft" state="frozen"/>
      <selection activeCell="A9" sqref="A9"/>
      <selection pane="bottomLeft" activeCell="A9" sqref="A9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41" customWidth="1"/>
    <col min="20" max="20" width="7.625" style="41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2213</v>
      </c>
      <c r="B1" s="1"/>
      <c r="C1" s="2" t="s">
        <v>2214</v>
      </c>
      <c r="D1" s="3">
        <f>SUM(F5:F76)</f>
        <v>195881</v>
      </c>
      <c r="E1" s="427" t="s">
        <v>2215</v>
      </c>
      <c r="F1" s="1">
        <f>SUM(G5:G76)</f>
        <v>6821430.8499999996</v>
      </c>
      <c r="G1" s="1" t="s">
        <v>2216</v>
      </c>
      <c r="H1" s="5">
        <f>L9+L12+L52+L61+L21+L67+L39+L47+L30+L76</f>
        <v>155.81071428571428</v>
      </c>
      <c r="I1" s="676" t="s">
        <v>2217</v>
      </c>
      <c r="J1" s="676"/>
      <c r="K1" s="676"/>
      <c r="L1" s="676" t="s">
        <v>5</v>
      </c>
      <c r="M1" s="676"/>
      <c r="N1" s="676"/>
      <c r="O1" s="676" t="s">
        <v>2218</v>
      </c>
      <c r="P1" s="676"/>
      <c r="Q1" s="676"/>
      <c r="R1" s="676"/>
      <c r="S1" s="676" t="s">
        <v>2219</v>
      </c>
      <c r="T1" s="676"/>
      <c r="U1" s="676"/>
      <c r="V1" s="676"/>
      <c r="W1" s="676"/>
      <c r="X1" s="676"/>
      <c r="Y1" s="6" t="s">
        <v>8</v>
      </c>
      <c r="Z1" s="7" t="s">
        <v>2220</v>
      </c>
      <c r="AA1" s="677" t="s">
        <v>275</v>
      </c>
      <c r="AB1" s="677"/>
      <c r="AC1" s="8" t="s">
        <v>2221</v>
      </c>
      <c r="AD1" s="7" t="s">
        <v>276</v>
      </c>
      <c r="AE1" s="676" t="s">
        <v>2222</v>
      </c>
      <c r="AF1" s="678"/>
      <c r="AG1" s="678"/>
    </row>
    <row r="2" spans="1:33" ht="26.25" customHeight="1">
      <c r="A2" s="35">
        <v>46257</v>
      </c>
      <c r="B2" s="36" t="s">
        <v>278</v>
      </c>
      <c r="C2" s="2" t="s">
        <v>2223</v>
      </c>
      <c r="D2" s="10">
        <f>AVERAGE(N9,N12,N52,N61,N21,N67,N30,N39,N47,N76)</f>
        <v>149.85416334914106</v>
      </c>
      <c r="E2" s="11" t="s">
        <v>14</v>
      </c>
      <c r="F2" s="12">
        <f>F1/D1</f>
        <v>34.824361985082781</v>
      </c>
      <c r="G2" s="1" t="s">
        <v>280</v>
      </c>
      <c r="H2" s="441">
        <f>COUNT(H5:H76)</f>
        <v>12</v>
      </c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14">
        <f>SUM(Y9+Y12+Y21+Y30+Y39+Y47+Y52+Y61+Y67+Y76)</f>
        <v>0</v>
      </c>
      <c r="Z2" s="14">
        <f>SUM(Z9+Z12+Z21+Z30+Z39+Z47+Z52+Z61+Z67+Z76)</f>
        <v>0</v>
      </c>
      <c r="AA2" s="677"/>
      <c r="AB2" s="677"/>
      <c r="AC2" s="14">
        <v>62</v>
      </c>
      <c r="AD2" s="14">
        <f>SUM(AD9+AD12+AD21+AD30+AD39+AD47+AD52+AD61+AD67+AD76)</f>
        <v>0</v>
      </c>
      <c r="AE2" s="678"/>
      <c r="AF2" s="678"/>
      <c r="AG2" s="678"/>
    </row>
    <row r="3" spans="1:33" ht="40.5" customHeight="1">
      <c r="A3" s="632" t="s">
        <v>2224</v>
      </c>
      <c r="B3" s="632" t="s">
        <v>282</v>
      </c>
      <c r="C3" s="632" t="s">
        <v>283</v>
      </c>
      <c r="D3" s="632"/>
      <c r="E3" s="674" t="s">
        <v>284</v>
      </c>
      <c r="F3" s="632" t="s">
        <v>20</v>
      </c>
      <c r="G3" s="674" t="s">
        <v>2225</v>
      </c>
      <c r="H3" s="667" t="s">
        <v>287</v>
      </c>
      <c r="I3" s="665" t="s">
        <v>23</v>
      </c>
      <c r="J3" s="662" t="s">
        <v>2226</v>
      </c>
      <c r="K3" s="672" t="s">
        <v>2223</v>
      </c>
      <c r="L3" s="665" t="s">
        <v>2227</v>
      </c>
      <c r="M3" s="662" t="s">
        <v>2226</v>
      </c>
      <c r="N3" s="672" t="s">
        <v>187</v>
      </c>
      <c r="O3" s="665" t="s">
        <v>23</v>
      </c>
      <c r="P3" s="672" t="s">
        <v>2223</v>
      </c>
      <c r="Q3" s="663" t="s">
        <v>27</v>
      </c>
      <c r="R3" s="641" t="s">
        <v>291</v>
      </c>
      <c r="S3" s="673" t="s">
        <v>29</v>
      </c>
      <c r="T3" s="673"/>
      <c r="U3" s="667" t="s">
        <v>30</v>
      </c>
      <c r="V3" s="667" t="s">
        <v>2228</v>
      </c>
      <c r="W3" s="632" t="s">
        <v>2229</v>
      </c>
      <c r="X3" s="632"/>
      <c r="Y3" s="668" t="s">
        <v>294</v>
      </c>
      <c r="Z3" s="631"/>
      <c r="AA3" s="669" t="s">
        <v>2230</v>
      </c>
      <c r="AB3" s="670"/>
      <c r="AC3" s="668" t="s">
        <v>35</v>
      </c>
      <c r="AD3" s="631"/>
      <c r="AE3" s="662" t="s">
        <v>289</v>
      </c>
      <c r="AF3" s="663" t="s">
        <v>27</v>
      </c>
      <c r="AG3" s="641" t="s">
        <v>291</v>
      </c>
    </row>
    <row r="4" spans="1:33" ht="15.75" customHeight="1">
      <c r="A4" s="632"/>
      <c r="B4" s="632"/>
      <c r="C4" s="632"/>
      <c r="D4" s="632"/>
      <c r="E4" s="675"/>
      <c r="F4" s="632"/>
      <c r="G4" s="675"/>
      <c r="H4" s="667"/>
      <c r="I4" s="665"/>
      <c r="J4" s="662"/>
      <c r="K4" s="672"/>
      <c r="L4" s="665"/>
      <c r="M4" s="662"/>
      <c r="N4" s="672"/>
      <c r="O4" s="665"/>
      <c r="P4" s="672"/>
      <c r="Q4" s="663"/>
      <c r="R4" s="641"/>
      <c r="S4" s="440" t="s">
        <v>39</v>
      </c>
      <c r="T4" s="440" t="s">
        <v>40</v>
      </c>
      <c r="U4" s="667"/>
      <c r="V4" s="667"/>
      <c r="W4" s="427" t="s">
        <v>2231</v>
      </c>
      <c r="X4" s="427" t="s">
        <v>298</v>
      </c>
      <c r="Y4" s="429" t="s">
        <v>195</v>
      </c>
      <c r="Z4" s="429" t="s">
        <v>196</v>
      </c>
      <c r="AA4" s="671"/>
      <c r="AB4" s="670"/>
      <c r="AC4" s="429" t="s">
        <v>2232</v>
      </c>
      <c r="AD4" s="429" t="s">
        <v>302</v>
      </c>
      <c r="AE4" s="662"/>
      <c r="AF4" s="663"/>
      <c r="AG4" s="641"/>
    </row>
    <row r="5" spans="1:33">
      <c r="A5" s="664" t="s">
        <v>2233</v>
      </c>
      <c r="B5" s="42" t="s">
        <v>92</v>
      </c>
      <c r="C5" s="666" t="s">
        <v>93</v>
      </c>
      <c r="D5" s="666"/>
      <c r="E5" s="42">
        <v>50.92</v>
      </c>
      <c r="F5" s="440">
        <v>2785</v>
      </c>
      <c r="G5" s="427">
        <f t="shared" ref="G5:G8" si="0">E5*F5</f>
        <v>141812.20000000001</v>
      </c>
      <c r="H5" s="37" t="s">
        <v>91</v>
      </c>
      <c r="I5" s="438">
        <v>15</v>
      </c>
      <c r="J5" s="39">
        <v>2000</v>
      </c>
      <c r="K5" s="17">
        <f t="shared" ref="K5:K68" si="1">J5/I5</f>
        <v>133.33333333333334</v>
      </c>
      <c r="L5" s="438">
        <v>15</v>
      </c>
      <c r="M5" s="18">
        <f t="shared" ref="M5:M8" si="2">F5/V5*60</f>
        <v>1920.6896551724137</v>
      </c>
      <c r="N5" s="17">
        <f t="shared" ref="N5:N68" si="3">M5/L5</f>
        <v>128.04597701149424</v>
      </c>
      <c r="O5" s="19">
        <f t="shared" ref="O5:O68" si="4">L5-I5</f>
        <v>0</v>
      </c>
      <c r="P5" s="20">
        <f t="shared" ref="P5:P68" si="5">N5-K5</f>
        <v>-5.2873563218390984</v>
      </c>
      <c r="Q5" s="430">
        <f t="shared" ref="Q5:Q68" si="6">N5/K5</f>
        <v>0.96034482758620676</v>
      </c>
      <c r="R5" s="637">
        <f>Q9</f>
        <v>0.96229050797182003</v>
      </c>
      <c r="S5" s="40">
        <v>0.70833333333333337</v>
      </c>
      <c r="T5" s="40">
        <v>0.76875000000000004</v>
      </c>
      <c r="U5" s="427"/>
      <c r="V5" s="439">
        <f t="shared" ref="V5:V8" si="7">(T5-S5)*24*60</f>
        <v>87.000000000000014</v>
      </c>
      <c r="W5" s="23"/>
      <c r="X5" s="23"/>
      <c r="Y5" s="24"/>
      <c r="Z5" s="24"/>
      <c r="AA5" s="632"/>
      <c r="AB5" s="632"/>
      <c r="AC5" s="25">
        <v>4</v>
      </c>
      <c r="AD5" s="25"/>
      <c r="AE5" s="19">
        <f t="shared" ref="AE5:AE60" si="8">M5-J5</f>
        <v>-79.310344827586277</v>
      </c>
      <c r="AF5" s="430">
        <f t="shared" ref="AF5:AF68" si="9">M5/J5</f>
        <v>0.96034482758620687</v>
      </c>
      <c r="AG5" s="637">
        <f>AF9</f>
        <v>0.96229050797182003</v>
      </c>
    </row>
    <row r="6" spans="1:33">
      <c r="A6" s="665" t="s">
        <v>303</v>
      </c>
      <c r="B6" s="42" t="s">
        <v>92</v>
      </c>
      <c r="C6" s="666" t="s">
        <v>94</v>
      </c>
      <c r="D6" s="666"/>
      <c r="E6" s="42">
        <v>50.98</v>
      </c>
      <c r="F6" s="440">
        <v>1000</v>
      </c>
      <c r="G6" s="427">
        <f t="shared" si="0"/>
        <v>50980</v>
      </c>
      <c r="H6" s="37">
        <v>2</v>
      </c>
      <c r="I6" s="438">
        <v>16</v>
      </c>
      <c r="J6" s="39">
        <v>2000</v>
      </c>
      <c r="K6" s="17">
        <f t="shared" si="1"/>
        <v>125</v>
      </c>
      <c r="L6" s="438">
        <v>16</v>
      </c>
      <c r="M6" s="18">
        <f t="shared" si="2"/>
        <v>1935.483870967739</v>
      </c>
      <c r="N6" s="17">
        <f t="shared" si="3"/>
        <v>120.96774193548369</v>
      </c>
      <c r="O6" s="19">
        <f t="shared" si="4"/>
        <v>0</v>
      </c>
      <c r="P6" s="20">
        <f t="shared" si="5"/>
        <v>-4.0322580645163129</v>
      </c>
      <c r="Q6" s="430">
        <f t="shared" si="6"/>
        <v>0.96774193548386944</v>
      </c>
      <c r="R6" s="637"/>
      <c r="S6" s="40">
        <v>0.7729166666666667</v>
      </c>
      <c r="T6" s="40">
        <v>0.79444444444444451</v>
      </c>
      <c r="U6" s="427">
        <f t="shared" ref="U6:U8" si="10">IF(S6=TIME(17,0,0),"",(S6-T5)*24*60)</f>
        <v>5.9999999999999787</v>
      </c>
      <c r="V6" s="439">
        <f t="shared" si="7"/>
        <v>31.00000000000005</v>
      </c>
      <c r="W6" s="23"/>
      <c r="X6" s="23"/>
      <c r="Y6" s="23"/>
      <c r="Z6" s="23"/>
      <c r="AA6" s="632"/>
      <c r="AB6" s="632"/>
      <c r="AC6" s="25"/>
      <c r="AD6" s="25"/>
      <c r="AE6" s="19">
        <f t="shared" si="8"/>
        <v>-64.516129032261006</v>
      </c>
      <c r="AF6" s="430">
        <f t="shared" si="9"/>
        <v>0.96774193548386944</v>
      </c>
      <c r="AG6" s="637"/>
    </row>
    <row r="7" spans="1:33">
      <c r="A7" s="665" t="s">
        <v>2233</v>
      </c>
      <c r="B7" s="42" t="s">
        <v>92</v>
      </c>
      <c r="C7" s="660" t="s">
        <v>109</v>
      </c>
      <c r="D7" s="661"/>
      <c r="E7" s="42">
        <v>50.49</v>
      </c>
      <c r="F7" s="440">
        <v>1000</v>
      </c>
      <c r="G7" s="427">
        <f t="shared" si="0"/>
        <v>50490</v>
      </c>
      <c r="H7" s="37">
        <v>2</v>
      </c>
      <c r="I7" s="438">
        <v>15</v>
      </c>
      <c r="J7" s="39">
        <v>2000</v>
      </c>
      <c r="K7" s="17">
        <f t="shared" si="1"/>
        <v>133.33333333333334</v>
      </c>
      <c r="L7" s="438">
        <v>15</v>
      </c>
      <c r="M7" s="18">
        <f t="shared" si="2"/>
        <v>1935.483870967739</v>
      </c>
      <c r="N7" s="17">
        <f t="shared" si="3"/>
        <v>129.03225806451593</v>
      </c>
      <c r="O7" s="19">
        <f t="shared" si="4"/>
        <v>0</v>
      </c>
      <c r="P7" s="20">
        <f t="shared" si="5"/>
        <v>-4.3010752688174136</v>
      </c>
      <c r="Q7" s="430">
        <f t="shared" si="6"/>
        <v>0.96774193548386944</v>
      </c>
      <c r="R7" s="637"/>
      <c r="S7" s="40">
        <v>0.8</v>
      </c>
      <c r="T7" s="40">
        <v>0.82152777777777786</v>
      </c>
      <c r="U7" s="427">
        <f t="shared" si="10"/>
        <v>7.9999999999999716</v>
      </c>
      <c r="V7" s="439">
        <f t="shared" si="7"/>
        <v>31.00000000000005</v>
      </c>
      <c r="W7" s="23">
        <f>T7</f>
        <v>0.82152777777777786</v>
      </c>
      <c r="X7" s="23">
        <f>S8</f>
        <v>0.86041666666666672</v>
      </c>
      <c r="Y7" s="26"/>
      <c r="Z7" s="26"/>
      <c r="AA7" s="627"/>
      <c r="AB7" s="628"/>
      <c r="AC7" s="27"/>
      <c r="AD7" s="27"/>
      <c r="AE7" s="19">
        <f t="shared" si="8"/>
        <v>-64.516129032261006</v>
      </c>
      <c r="AF7" s="430">
        <f t="shared" si="9"/>
        <v>0.96774193548386944</v>
      </c>
      <c r="AG7" s="637"/>
    </row>
    <row r="8" spans="1:33">
      <c r="A8" s="665" t="s">
        <v>2233</v>
      </c>
      <c r="B8" s="42" t="s">
        <v>92</v>
      </c>
      <c r="C8" s="660" t="s">
        <v>94</v>
      </c>
      <c r="D8" s="661"/>
      <c r="E8" s="42">
        <v>50.98</v>
      </c>
      <c r="F8" s="440">
        <v>2002</v>
      </c>
      <c r="G8" s="427">
        <f t="shared" si="0"/>
        <v>102061.95999999999</v>
      </c>
      <c r="H8" s="37" t="s">
        <v>91</v>
      </c>
      <c r="I8" s="438">
        <v>16</v>
      </c>
      <c r="J8" s="39">
        <v>2000</v>
      </c>
      <c r="K8" s="17">
        <f t="shared" si="1"/>
        <v>125</v>
      </c>
      <c r="L8" s="438">
        <v>16</v>
      </c>
      <c r="M8" s="18">
        <f t="shared" si="2"/>
        <v>1906.6666666666686</v>
      </c>
      <c r="N8" s="17">
        <f t="shared" si="3"/>
        <v>119.16666666666679</v>
      </c>
      <c r="O8" s="19">
        <f t="shared" si="4"/>
        <v>0</v>
      </c>
      <c r="P8" s="20">
        <f t="shared" si="5"/>
        <v>-5.8333333333332149</v>
      </c>
      <c r="Q8" s="430">
        <f t="shared" si="6"/>
        <v>0.95333333333333425</v>
      </c>
      <c r="R8" s="637"/>
      <c r="S8" s="40">
        <v>0.86041666666666672</v>
      </c>
      <c r="T8" s="40">
        <v>0.90416666666666667</v>
      </c>
      <c r="U8" s="427">
        <f t="shared" si="10"/>
        <v>55.999999999999957</v>
      </c>
      <c r="V8" s="439">
        <f t="shared" si="7"/>
        <v>62.999999999999936</v>
      </c>
      <c r="W8" s="28"/>
      <c r="X8" s="28"/>
      <c r="Y8" s="136"/>
      <c r="Z8" s="136"/>
      <c r="AA8" s="627"/>
      <c r="AB8" s="628"/>
      <c r="AC8" s="27"/>
      <c r="AD8" s="27"/>
      <c r="AE8" s="19">
        <f t="shared" si="8"/>
        <v>-93.333333333331439</v>
      </c>
      <c r="AF8" s="430">
        <f t="shared" si="9"/>
        <v>0.95333333333333425</v>
      </c>
      <c r="AG8" s="637"/>
    </row>
    <row r="9" spans="1:33">
      <c r="A9" s="665" t="s">
        <v>2234</v>
      </c>
      <c r="B9" s="42" t="s">
        <v>2235</v>
      </c>
      <c r="C9" s="638"/>
      <c r="D9" s="638"/>
      <c r="E9" s="433"/>
      <c r="F9" s="44"/>
      <c r="G9" s="17"/>
      <c r="H9" s="440"/>
      <c r="I9" s="29">
        <v>15.5</v>
      </c>
      <c r="J9" s="39">
        <v>2000</v>
      </c>
      <c r="K9" s="17">
        <f t="shared" si="1"/>
        <v>129.03225806451613</v>
      </c>
      <c r="L9" s="29">
        <v>15.5</v>
      </c>
      <c r="M9" s="18">
        <f>AVERAGE(M5:M8)</f>
        <v>1924.5810159436401</v>
      </c>
      <c r="N9" s="17">
        <f t="shared" si="3"/>
        <v>124.1665171576542</v>
      </c>
      <c r="O9" s="19">
        <f t="shared" si="4"/>
        <v>0</v>
      </c>
      <c r="P9" s="20">
        <f t="shared" si="5"/>
        <v>-4.8657409068619302</v>
      </c>
      <c r="Q9" s="430">
        <f t="shared" si="6"/>
        <v>0.96229050797182003</v>
      </c>
      <c r="R9" s="637"/>
      <c r="S9" s="40"/>
      <c r="T9" s="40"/>
      <c r="U9" s="427"/>
      <c r="V9" s="439"/>
      <c r="W9" s="17"/>
      <c r="X9" s="17"/>
      <c r="Y9" s="30">
        <f>SUM(Y5:Y8)</f>
        <v>0</v>
      </c>
      <c r="Z9" s="30">
        <f>SUM(Z5:Z8)</f>
        <v>0</v>
      </c>
      <c r="AA9" s="631"/>
      <c r="AB9" s="631"/>
      <c r="AC9" s="30">
        <v>4</v>
      </c>
      <c r="AD9" s="30">
        <f>SUM(AD5:AD8)</f>
        <v>0</v>
      </c>
      <c r="AE9" s="19">
        <f t="shared" si="8"/>
        <v>-75.418984056359932</v>
      </c>
      <c r="AF9" s="430">
        <f t="shared" si="9"/>
        <v>0.96229050797182003</v>
      </c>
      <c r="AG9" s="637"/>
    </row>
    <row r="10" spans="1:33" ht="15.75" customHeight="1">
      <c r="A10" s="659" t="s">
        <v>306</v>
      </c>
      <c r="B10" s="42" t="s">
        <v>96</v>
      </c>
      <c r="C10" s="660" t="s">
        <v>100</v>
      </c>
      <c r="D10" s="661"/>
      <c r="E10" s="42">
        <v>39.619999999999997</v>
      </c>
      <c r="F10" s="440">
        <v>5102</v>
      </c>
      <c r="G10" s="427">
        <f t="shared" ref="G10:G11" si="11">E10*F10</f>
        <v>202141.24</v>
      </c>
      <c r="H10" s="37" t="s">
        <v>91</v>
      </c>
      <c r="I10" s="438">
        <v>19</v>
      </c>
      <c r="J10" s="39">
        <v>1500</v>
      </c>
      <c r="K10" s="17">
        <f t="shared" si="1"/>
        <v>78.94736842105263</v>
      </c>
      <c r="L10" s="438">
        <v>19</v>
      </c>
      <c r="M10" s="18">
        <f t="shared" ref="M10:M11" si="12">F10/V10*60</f>
        <v>1430.467289719626</v>
      </c>
      <c r="N10" s="17">
        <f t="shared" si="3"/>
        <v>75.287752090506629</v>
      </c>
      <c r="O10" s="19">
        <f t="shared" si="4"/>
        <v>0</v>
      </c>
      <c r="P10" s="20">
        <f t="shared" si="5"/>
        <v>-3.659616330546001</v>
      </c>
      <c r="Q10" s="430">
        <f t="shared" si="6"/>
        <v>0.953644859813084</v>
      </c>
      <c r="R10" s="637">
        <f>Q12</f>
        <v>0.95273958966985561</v>
      </c>
      <c r="S10" s="40">
        <v>8.3333333333333329E-2</v>
      </c>
      <c r="T10" s="40">
        <v>0.23194444444444445</v>
      </c>
      <c r="U10" s="427"/>
      <c r="V10" s="439">
        <f t="shared" ref="V10:V11" si="13">(T10-S10)*24*60</f>
        <v>214.00000000000003</v>
      </c>
      <c r="W10" s="23">
        <f>T10</f>
        <v>0.23194444444444445</v>
      </c>
      <c r="X10" s="23">
        <f>S11</f>
        <v>0.25347222222222221</v>
      </c>
      <c r="Y10" s="23"/>
      <c r="Z10" s="23"/>
      <c r="AA10" s="632"/>
      <c r="AB10" s="632"/>
      <c r="AC10" s="25">
        <v>2</v>
      </c>
      <c r="AD10" s="25"/>
      <c r="AE10" s="19">
        <f t="shared" si="8"/>
        <v>-69.532710280373976</v>
      </c>
      <c r="AF10" s="430">
        <f t="shared" si="9"/>
        <v>0.953644859813084</v>
      </c>
      <c r="AG10" s="637">
        <f>AF12</f>
        <v>0.9527395896698555</v>
      </c>
    </row>
    <row r="11" spans="1:33" ht="15.75" customHeight="1">
      <c r="A11" s="659" t="s">
        <v>2236</v>
      </c>
      <c r="B11" s="42" t="s">
        <v>96</v>
      </c>
      <c r="C11" s="660" t="s">
        <v>97</v>
      </c>
      <c r="D11" s="661"/>
      <c r="E11" s="42">
        <v>39.799999999999997</v>
      </c>
      <c r="F11" s="440">
        <v>8043</v>
      </c>
      <c r="G11" s="427">
        <f t="shared" si="11"/>
        <v>320111.39999999997</v>
      </c>
      <c r="H11" s="37" t="s">
        <v>91</v>
      </c>
      <c r="I11" s="438">
        <v>17</v>
      </c>
      <c r="J11" s="39">
        <v>1500</v>
      </c>
      <c r="K11" s="17">
        <f t="shared" si="1"/>
        <v>88.235294117647058</v>
      </c>
      <c r="L11" s="438">
        <v>17</v>
      </c>
      <c r="M11" s="18">
        <f t="shared" si="12"/>
        <v>1427.7514792899406</v>
      </c>
      <c r="N11" s="17">
        <f t="shared" si="3"/>
        <v>83.985381134702379</v>
      </c>
      <c r="O11" s="19">
        <f t="shared" si="4"/>
        <v>0</v>
      </c>
      <c r="P11" s="20">
        <f t="shared" si="5"/>
        <v>-4.2499129829446787</v>
      </c>
      <c r="Q11" s="430">
        <f t="shared" si="6"/>
        <v>0.951834319526627</v>
      </c>
      <c r="R11" s="637"/>
      <c r="S11" s="40">
        <v>0.25347222222222221</v>
      </c>
      <c r="T11" s="40">
        <v>0.48819444444444449</v>
      </c>
      <c r="U11" s="427">
        <f t="shared" ref="U11" si="14">IF(S11=TIME(17,0,0),"",(S11-T10)*24*60)</f>
        <v>30.999999999999972</v>
      </c>
      <c r="V11" s="439">
        <f t="shared" si="13"/>
        <v>338.00000000000006</v>
      </c>
      <c r="W11" s="23"/>
      <c r="X11" s="23"/>
      <c r="Y11" s="23"/>
      <c r="Z11" s="23"/>
      <c r="AA11" s="632"/>
      <c r="AB11" s="632"/>
      <c r="AC11" s="25"/>
      <c r="AD11" s="25"/>
      <c r="AE11" s="19">
        <f t="shared" si="8"/>
        <v>-72.248520710059438</v>
      </c>
      <c r="AF11" s="430">
        <f t="shared" si="9"/>
        <v>0.951834319526627</v>
      </c>
      <c r="AG11" s="637"/>
    </row>
    <row r="12" spans="1:33" ht="16.5" customHeight="1">
      <c r="A12" s="659" t="s">
        <v>2236</v>
      </c>
      <c r="B12" s="42" t="s">
        <v>2235</v>
      </c>
      <c r="C12" s="638"/>
      <c r="D12" s="638"/>
      <c r="E12" s="433"/>
      <c r="F12" s="39"/>
      <c r="G12" s="18"/>
      <c r="H12" s="440"/>
      <c r="I12" s="29">
        <v>18</v>
      </c>
      <c r="J12" s="39">
        <v>1500</v>
      </c>
      <c r="K12" s="17">
        <f t="shared" si="1"/>
        <v>83.333333333333329</v>
      </c>
      <c r="L12" s="29">
        <v>18</v>
      </c>
      <c r="M12" s="18">
        <f>AVERAGE(M10:M11)</f>
        <v>1429.1093845047833</v>
      </c>
      <c r="N12" s="17">
        <f t="shared" si="3"/>
        <v>79.3949658058213</v>
      </c>
      <c r="O12" s="19">
        <f t="shared" si="4"/>
        <v>0</v>
      </c>
      <c r="P12" s="20">
        <f t="shared" si="5"/>
        <v>-3.9383675275120282</v>
      </c>
      <c r="Q12" s="430">
        <f t="shared" si="6"/>
        <v>0.95273958966985561</v>
      </c>
      <c r="R12" s="637"/>
      <c r="S12" s="40"/>
      <c r="T12" s="40"/>
      <c r="U12" s="17"/>
      <c r="V12" s="439"/>
      <c r="W12" s="17"/>
      <c r="X12" s="17"/>
      <c r="Y12" s="30">
        <f>SUM(Y10:Y11)</f>
        <v>0</v>
      </c>
      <c r="Z12" s="30">
        <f>SUM(Z10:Z11)</f>
        <v>0</v>
      </c>
      <c r="AA12" s="631"/>
      <c r="AB12" s="631"/>
      <c r="AC12" s="30">
        <v>2</v>
      </c>
      <c r="AD12" s="30">
        <f>SUM(AD10:AD11)</f>
        <v>0</v>
      </c>
      <c r="AE12" s="19">
        <f t="shared" si="8"/>
        <v>-70.890615495216707</v>
      </c>
      <c r="AF12" s="430">
        <f t="shared" si="9"/>
        <v>0.9527395896698555</v>
      </c>
      <c r="AG12" s="637"/>
    </row>
    <row r="13" spans="1:33" ht="16.5" customHeight="1">
      <c r="A13" s="657" t="s">
        <v>308</v>
      </c>
      <c r="B13" s="440" t="s">
        <v>101</v>
      </c>
      <c r="C13" s="653" t="s">
        <v>102</v>
      </c>
      <c r="D13" s="653"/>
      <c r="E13" s="42">
        <v>31.11</v>
      </c>
      <c r="F13" s="440">
        <v>3753</v>
      </c>
      <c r="G13" s="427">
        <f t="shared" ref="G13:G20" si="15">E13*F13</f>
        <v>116755.83</v>
      </c>
      <c r="H13" s="37" t="s">
        <v>91</v>
      </c>
      <c r="I13" s="438">
        <v>14</v>
      </c>
      <c r="J13" s="39">
        <v>2000</v>
      </c>
      <c r="K13" s="17">
        <f t="shared" si="1"/>
        <v>142.85714285714286</v>
      </c>
      <c r="L13" s="438">
        <v>14</v>
      </c>
      <c r="M13" s="18">
        <f t="shared" ref="M13:M20" si="16">F13/V13*60</f>
        <v>1908.3050847457625</v>
      </c>
      <c r="N13" s="17">
        <f t="shared" si="3"/>
        <v>136.30750605326875</v>
      </c>
      <c r="O13" s="19">
        <f t="shared" si="4"/>
        <v>0</v>
      </c>
      <c r="P13" s="20">
        <f t="shared" si="5"/>
        <v>-6.5496368038741082</v>
      </c>
      <c r="Q13" s="430">
        <f t="shared" si="6"/>
        <v>0.95415254237288127</v>
      </c>
      <c r="R13" s="637">
        <f>Q21</f>
        <v>0.95981641015821217</v>
      </c>
      <c r="S13" s="40">
        <v>0.20833333333333334</v>
      </c>
      <c r="T13" s="40">
        <v>0.2902777777777778</v>
      </c>
      <c r="U13" s="427"/>
      <c r="V13" s="439">
        <f t="shared" ref="V13:V20" si="17">(T13-S13)*24*60</f>
        <v>118.00000000000001</v>
      </c>
      <c r="W13" s="23"/>
      <c r="X13" s="23"/>
      <c r="Y13" s="28"/>
      <c r="Z13" s="28"/>
      <c r="AA13" s="632"/>
      <c r="AB13" s="632"/>
      <c r="AC13" s="25">
        <v>8</v>
      </c>
      <c r="AD13" s="25"/>
      <c r="AE13" s="19">
        <f t="shared" si="8"/>
        <v>-91.694915254237458</v>
      </c>
      <c r="AF13" s="430">
        <f t="shared" si="9"/>
        <v>0.95415254237288127</v>
      </c>
      <c r="AG13" s="637">
        <f>AF21</f>
        <v>0.95981641015821217</v>
      </c>
    </row>
    <row r="14" spans="1:33" ht="16.5" customHeight="1">
      <c r="A14" s="658" t="s">
        <v>308</v>
      </c>
      <c r="B14" s="440" t="s">
        <v>103</v>
      </c>
      <c r="C14" s="653" t="s">
        <v>105</v>
      </c>
      <c r="D14" s="653"/>
      <c r="E14" s="42">
        <v>41</v>
      </c>
      <c r="F14" s="440">
        <v>1946</v>
      </c>
      <c r="G14" s="427">
        <f t="shared" si="15"/>
        <v>79786</v>
      </c>
      <c r="H14" s="37" t="s">
        <v>91</v>
      </c>
      <c r="I14" s="438">
        <v>26</v>
      </c>
      <c r="J14" s="39">
        <v>1500</v>
      </c>
      <c r="K14" s="17">
        <f t="shared" si="1"/>
        <v>57.692307692307693</v>
      </c>
      <c r="L14" s="438">
        <v>26</v>
      </c>
      <c r="M14" s="18">
        <f t="shared" si="16"/>
        <v>1441.4814814814808</v>
      </c>
      <c r="N14" s="17">
        <f t="shared" si="3"/>
        <v>55.441595441595418</v>
      </c>
      <c r="O14" s="19">
        <f t="shared" si="4"/>
        <v>0</v>
      </c>
      <c r="P14" s="20">
        <f t="shared" si="5"/>
        <v>-2.2507122507122759</v>
      </c>
      <c r="Q14" s="430">
        <f t="shared" si="6"/>
        <v>0.96098765432098721</v>
      </c>
      <c r="R14" s="637"/>
      <c r="S14" s="40">
        <v>0.29444444444444445</v>
      </c>
      <c r="T14" s="40">
        <v>0.35069444444444448</v>
      </c>
      <c r="U14" s="427">
        <f t="shared" ref="U14:U20" si="18">IF(S14=TIME(17,0,0),"",(S14-T13)*24*60)</f>
        <v>5.9999999999999787</v>
      </c>
      <c r="V14" s="439">
        <f t="shared" si="17"/>
        <v>81.000000000000028</v>
      </c>
      <c r="W14" s="23"/>
      <c r="X14" s="23"/>
      <c r="Y14" s="23"/>
      <c r="Z14" s="23"/>
      <c r="AA14" s="632"/>
      <c r="AB14" s="632"/>
      <c r="AC14" s="25"/>
      <c r="AD14" s="25"/>
      <c r="AE14" s="19">
        <f t="shared" si="8"/>
        <v>-58.518518518519159</v>
      </c>
      <c r="AF14" s="430">
        <f t="shared" si="9"/>
        <v>0.96098765432098721</v>
      </c>
      <c r="AG14" s="637"/>
    </row>
    <row r="15" spans="1:33" ht="16.5" customHeight="1">
      <c r="A15" s="658" t="s">
        <v>2237</v>
      </c>
      <c r="B15" s="440" t="s">
        <v>96</v>
      </c>
      <c r="C15" s="653" t="s">
        <v>98</v>
      </c>
      <c r="D15" s="653"/>
      <c r="E15" s="42">
        <v>39.46</v>
      </c>
      <c r="F15" s="440">
        <v>2552</v>
      </c>
      <c r="G15" s="427">
        <f t="shared" si="15"/>
        <v>100701.92</v>
      </c>
      <c r="H15" s="37" t="s">
        <v>91</v>
      </c>
      <c r="I15" s="438">
        <v>15</v>
      </c>
      <c r="J15" s="39">
        <v>1500</v>
      </c>
      <c r="K15" s="17">
        <f t="shared" si="1"/>
        <v>100</v>
      </c>
      <c r="L15" s="438">
        <v>15</v>
      </c>
      <c r="M15" s="18">
        <f t="shared" si="16"/>
        <v>1431.0280373831774</v>
      </c>
      <c r="N15" s="17">
        <f t="shared" si="3"/>
        <v>95.401869158878498</v>
      </c>
      <c r="O15" s="19">
        <f t="shared" si="4"/>
        <v>0</v>
      </c>
      <c r="P15" s="20">
        <f t="shared" si="5"/>
        <v>-4.5981308411215025</v>
      </c>
      <c r="Q15" s="430">
        <f t="shared" si="6"/>
        <v>0.95401869158878494</v>
      </c>
      <c r="R15" s="637"/>
      <c r="S15" s="40">
        <v>0.35486111111111113</v>
      </c>
      <c r="T15" s="40">
        <v>0.4291666666666667</v>
      </c>
      <c r="U15" s="427">
        <f t="shared" si="18"/>
        <v>5.9999999999999787</v>
      </c>
      <c r="V15" s="439">
        <f t="shared" si="17"/>
        <v>107.00000000000001</v>
      </c>
      <c r="W15" s="23"/>
      <c r="X15" s="23"/>
      <c r="Y15" s="23"/>
      <c r="Z15" s="23"/>
      <c r="AA15" s="632"/>
      <c r="AB15" s="632"/>
      <c r="AC15" s="25"/>
      <c r="AD15" s="25"/>
      <c r="AE15" s="19">
        <f t="shared" si="8"/>
        <v>-68.971962616822566</v>
      </c>
      <c r="AF15" s="430">
        <f t="shared" si="9"/>
        <v>0.95401869158878494</v>
      </c>
      <c r="AG15" s="637"/>
    </row>
    <row r="16" spans="1:33" ht="16.5" customHeight="1">
      <c r="A16" s="658" t="s">
        <v>308</v>
      </c>
      <c r="B16" s="440" t="s">
        <v>96</v>
      </c>
      <c r="C16" s="653" t="s">
        <v>99</v>
      </c>
      <c r="D16" s="653"/>
      <c r="E16" s="42">
        <v>39.520000000000003</v>
      </c>
      <c r="F16" s="440">
        <v>2383</v>
      </c>
      <c r="G16" s="427">
        <f t="shared" si="15"/>
        <v>94176.16</v>
      </c>
      <c r="H16" s="37" t="s">
        <v>91</v>
      </c>
      <c r="I16" s="438">
        <v>19</v>
      </c>
      <c r="J16" s="39">
        <v>1500</v>
      </c>
      <c r="K16" s="17">
        <f t="shared" si="1"/>
        <v>78.94736842105263</v>
      </c>
      <c r="L16" s="438">
        <v>19</v>
      </c>
      <c r="M16" s="18">
        <f t="shared" si="16"/>
        <v>1429.8000000000004</v>
      </c>
      <c r="N16" s="17">
        <f t="shared" si="3"/>
        <v>75.252631578947387</v>
      </c>
      <c r="O16" s="19">
        <f t="shared" si="4"/>
        <v>0</v>
      </c>
      <c r="P16" s="20">
        <f t="shared" si="5"/>
        <v>-3.6947368421052431</v>
      </c>
      <c r="Q16" s="430">
        <f t="shared" si="6"/>
        <v>0.95320000000000027</v>
      </c>
      <c r="R16" s="637"/>
      <c r="S16" s="40">
        <v>0.43263888888888891</v>
      </c>
      <c r="T16" s="40">
        <v>0.50208333333333333</v>
      </c>
      <c r="U16" s="427">
        <f t="shared" si="18"/>
        <v>4.9999999999999822</v>
      </c>
      <c r="V16" s="439">
        <f t="shared" si="17"/>
        <v>99.999999999999972</v>
      </c>
      <c r="W16" s="23"/>
      <c r="X16" s="23"/>
      <c r="Y16" s="23"/>
      <c r="Z16" s="23"/>
      <c r="AA16" s="632"/>
      <c r="AB16" s="632"/>
      <c r="AC16" s="25"/>
      <c r="AD16" s="25"/>
      <c r="AE16" s="19">
        <f t="shared" si="8"/>
        <v>-70.199999999999591</v>
      </c>
      <c r="AF16" s="430">
        <f t="shared" si="9"/>
        <v>0.95320000000000027</v>
      </c>
      <c r="AG16" s="637"/>
    </row>
    <row r="17" spans="1:33" ht="16.5" customHeight="1">
      <c r="A17" s="658" t="s">
        <v>2237</v>
      </c>
      <c r="B17" s="440" t="s">
        <v>92</v>
      </c>
      <c r="C17" s="653" t="s">
        <v>108</v>
      </c>
      <c r="D17" s="653"/>
      <c r="E17" s="42">
        <v>54.5</v>
      </c>
      <c r="F17" s="440">
        <v>1586</v>
      </c>
      <c r="G17" s="427">
        <f t="shared" si="15"/>
        <v>86437</v>
      </c>
      <c r="H17" s="37" t="s">
        <v>91</v>
      </c>
      <c r="I17" s="438">
        <v>19</v>
      </c>
      <c r="J17" s="39">
        <v>1500</v>
      </c>
      <c r="K17" s="17">
        <f t="shared" si="1"/>
        <v>78.94736842105263</v>
      </c>
      <c r="L17" s="438">
        <v>19</v>
      </c>
      <c r="M17" s="18">
        <f t="shared" si="16"/>
        <v>1441.8181818181833</v>
      </c>
      <c r="N17" s="17">
        <f t="shared" si="3"/>
        <v>75.885167464114915</v>
      </c>
      <c r="O17" s="19">
        <f t="shared" si="4"/>
        <v>0</v>
      </c>
      <c r="P17" s="20">
        <f t="shared" si="5"/>
        <v>-3.0622009569377155</v>
      </c>
      <c r="Q17" s="430">
        <f t="shared" si="6"/>
        <v>0.96121212121212229</v>
      </c>
      <c r="R17" s="637"/>
      <c r="S17" s="40">
        <v>0.70833333333333337</v>
      </c>
      <c r="T17" s="40">
        <v>0.75416666666666665</v>
      </c>
      <c r="U17" s="427" t="str">
        <f t="shared" si="18"/>
        <v/>
      </c>
      <c r="V17" s="439">
        <f t="shared" si="17"/>
        <v>65.999999999999929</v>
      </c>
      <c r="W17" s="23"/>
      <c r="X17" s="23"/>
      <c r="Y17" s="23"/>
      <c r="Z17" s="23"/>
      <c r="AA17" s="632"/>
      <c r="AB17" s="632"/>
      <c r="AC17" s="25"/>
      <c r="AD17" s="25"/>
      <c r="AE17" s="19">
        <f t="shared" si="8"/>
        <v>-58.181818181816652</v>
      </c>
      <c r="AF17" s="430">
        <f t="shared" si="9"/>
        <v>0.96121212121212218</v>
      </c>
      <c r="AG17" s="637"/>
    </row>
    <row r="18" spans="1:33" ht="16.5" customHeight="1">
      <c r="A18" s="658" t="s">
        <v>2238</v>
      </c>
      <c r="B18" s="440" t="s">
        <v>92</v>
      </c>
      <c r="C18" s="436" t="s">
        <v>107</v>
      </c>
      <c r="D18" s="437"/>
      <c r="E18" s="42">
        <v>50.67</v>
      </c>
      <c r="F18" s="440">
        <v>1995</v>
      </c>
      <c r="G18" s="427">
        <f t="shared" si="15"/>
        <v>101086.65000000001</v>
      </c>
      <c r="H18" s="37" t="s">
        <v>91</v>
      </c>
      <c r="I18" s="438">
        <v>17</v>
      </c>
      <c r="J18" s="39">
        <v>2000</v>
      </c>
      <c r="K18" s="17">
        <f t="shared" si="1"/>
        <v>117.64705882352941</v>
      </c>
      <c r="L18" s="438">
        <v>17</v>
      </c>
      <c r="M18" s="18">
        <f t="shared" si="16"/>
        <v>1930.6451612903245</v>
      </c>
      <c r="N18" s="17">
        <f t="shared" si="3"/>
        <v>113.56736242884261</v>
      </c>
      <c r="O18" s="19">
        <f t="shared" si="4"/>
        <v>0</v>
      </c>
      <c r="P18" s="20">
        <f t="shared" si="5"/>
        <v>-4.0796963946867919</v>
      </c>
      <c r="Q18" s="430">
        <f t="shared" si="6"/>
        <v>0.9653225806451623</v>
      </c>
      <c r="R18" s="637"/>
      <c r="S18" s="40">
        <v>0.7583333333333333</v>
      </c>
      <c r="T18" s="40">
        <v>0.80138888888888882</v>
      </c>
      <c r="U18" s="427">
        <f t="shared" si="18"/>
        <v>5.9999999999999787</v>
      </c>
      <c r="V18" s="439">
        <f t="shared" si="17"/>
        <v>61.999999999999943</v>
      </c>
      <c r="W18" s="23"/>
      <c r="X18" s="23"/>
      <c r="Y18" s="26"/>
      <c r="Z18" s="26"/>
      <c r="AA18" s="434"/>
      <c r="AB18" s="435"/>
      <c r="AC18" s="25"/>
      <c r="AD18" s="25"/>
      <c r="AE18" s="19">
        <f t="shared" si="8"/>
        <v>-69.354838709675505</v>
      </c>
      <c r="AF18" s="430">
        <f t="shared" si="9"/>
        <v>0.9653225806451623</v>
      </c>
      <c r="AG18" s="637"/>
    </row>
    <row r="19" spans="1:33" ht="16.5" customHeight="1">
      <c r="A19" s="658" t="s">
        <v>2238</v>
      </c>
      <c r="B19" s="440" t="s">
        <v>92</v>
      </c>
      <c r="C19" s="436" t="s">
        <v>114</v>
      </c>
      <c r="D19" s="437"/>
      <c r="E19" s="42">
        <v>54.09</v>
      </c>
      <c r="F19" s="440">
        <v>1000</v>
      </c>
      <c r="G19" s="427">
        <f t="shared" si="15"/>
        <v>54090</v>
      </c>
      <c r="H19" s="37">
        <v>2</v>
      </c>
      <c r="I19" s="438">
        <v>18</v>
      </c>
      <c r="J19" s="39">
        <v>2000</v>
      </c>
      <c r="K19" s="17">
        <f t="shared" si="1"/>
        <v>111.11111111111111</v>
      </c>
      <c r="L19" s="438">
        <v>18</v>
      </c>
      <c r="M19" s="18">
        <f t="shared" si="16"/>
        <v>1935.483870967739</v>
      </c>
      <c r="N19" s="17">
        <f t="shared" si="3"/>
        <v>107.52688172042994</v>
      </c>
      <c r="O19" s="19">
        <f t="shared" si="4"/>
        <v>0</v>
      </c>
      <c r="P19" s="20">
        <f t="shared" si="5"/>
        <v>-3.5842293906811733</v>
      </c>
      <c r="Q19" s="430">
        <f t="shared" si="6"/>
        <v>0.96774193548386944</v>
      </c>
      <c r="R19" s="637"/>
      <c r="S19" s="40">
        <v>0.80555555555555547</v>
      </c>
      <c r="T19" s="40">
        <v>0.82708333333333328</v>
      </c>
      <c r="U19" s="427">
        <f t="shared" si="18"/>
        <v>5.9999999999999787</v>
      </c>
      <c r="V19" s="439">
        <f t="shared" si="17"/>
        <v>31.00000000000005</v>
      </c>
      <c r="W19" s="23">
        <f>T19</f>
        <v>0.82708333333333328</v>
      </c>
      <c r="X19" s="23">
        <f>S20</f>
        <v>0.86736111111111103</v>
      </c>
      <c r="Y19" s="26"/>
      <c r="Z19" s="26"/>
      <c r="AA19" s="434"/>
      <c r="AB19" s="435"/>
      <c r="AC19" s="25"/>
      <c r="AD19" s="25"/>
      <c r="AE19" s="19">
        <f t="shared" si="8"/>
        <v>-64.516129032261006</v>
      </c>
      <c r="AF19" s="430">
        <f t="shared" si="9"/>
        <v>0.96774193548386944</v>
      </c>
      <c r="AG19" s="637"/>
    </row>
    <row r="20" spans="1:33" ht="16.5" customHeight="1">
      <c r="A20" s="658" t="s">
        <v>308</v>
      </c>
      <c r="B20" s="440" t="s">
        <v>92</v>
      </c>
      <c r="C20" s="436" t="s">
        <v>114</v>
      </c>
      <c r="D20" s="437"/>
      <c r="E20" s="42">
        <v>54.09</v>
      </c>
      <c r="F20" s="440">
        <v>1695</v>
      </c>
      <c r="G20" s="427">
        <f t="shared" si="15"/>
        <v>91682.55</v>
      </c>
      <c r="H20" s="37" t="s">
        <v>91</v>
      </c>
      <c r="I20" s="438">
        <v>18</v>
      </c>
      <c r="J20" s="39">
        <v>2000</v>
      </c>
      <c r="K20" s="17">
        <f t="shared" si="1"/>
        <v>111.11111111111111</v>
      </c>
      <c r="L20" s="438">
        <v>18</v>
      </c>
      <c r="M20" s="18">
        <f t="shared" si="16"/>
        <v>1918.8679245283031</v>
      </c>
      <c r="N20" s="17">
        <f t="shared" si="3"/>
        <v>106.60377358490572</v>
      </c>
      <c r="O20" s="19">
        <f t="shared" si="4"/>
        <v>0</v>
      </c>
      <c r="P20" s="20">
        <f t="shared" si="5"/>
        <v>-4.5073375262053901</v>
      </c>
      <c r="Q20" s="430">
        <f t="shared" si="6"/>
        <v>0.95943396226415145</v>
      </c>
      <c r="R20" s="637"/>
      <c r="S20" s="40">
        <v>0.86736111111111103</v>
      </c>
      <c r="T20" s="40">
        <v>0.90416666666666656</v>
      </c>
      <c r="U20" s="427">
        <f t="shared" si="18"/>
        <v>57.999999999999957</v>
      </c>
      <c r="V20" s="439">
        <f t="shared" si="17"/>
        <v>52.999999999999972</v>
      </c>
      <c r="W20" s="23"/>
      <c r="X20" s="23"/>
      <c r="Y20" s="26"/>
      <c r="Z20" s="26"/>
      <c r="AA20" s="434"/>
      <c r="AB20" s="435"/>
      <c r="AC20" s="25"/>
      <c r="AD20" s="25"/>
      <c r="AE20" s="19">
        <f t="shared" si="8"/>
        <v>-81.132075471696908</v>
      </c>
      <c r="AF20" s="430">
        <f t="shared" si="9"/>
        <v>0.95943396226415156</v>
      </c>
      <c r="AG20" s="637"/>
    </row>
    <row r="21" spans="1:33" ht="16.5" customHeight="1">
      <c r="A21" s="658" t="s">
        <v>2237</v>
      </c>
      <c r="B21" s="42" t="s">
        <v>52</v>
      </c>
      <c r="C21" s="638"/>
      <c r="D21" s="638"/>
      <c r="E21" s="433"/>
      <c r="F21" s="44"/>
      <c r="G21" s="17"/>
      <c r="H21" s="440"/>
      <c r="I21" s="29">
        <v>18.25</v>
      </c>
      <c r="J21" s="39">
        <v>1750</v>
      </c>
      <c r="K21" s="17">
        <f t="shared" si="1"/>
        <v>95.890410958904113</v>
      </c>
      <c r="L21" s="29">
        <v>18.25</v>
      </c>
      <c r="M21" s="18">
        <f>AVERAGE(M13:M20)</f>
        <v>1679.6787177768713</v>
      </c>
      <c r="N21" s="17">
        <f t="shared" si="3"/>
        <v>92.037190015171035</v>
      </c>
      <c r="O21" s="19">
        <f t="shared" si="4"/>
        <v>0</v>
      </c>
      <c r="P21" s="20">
        <f t="shared" si="5"/>
        <v>-3.8532209437330778</v>
      </c>
      <c r="Q21" s="430">
        <f t="shared" si="6"/>
        <v>0.95981641015821217</v>
      </c>
      <c r="R21" s="637"/>
      <c r="S21" s="40"/>
      <c r="T21" s="40"/>
      <c r="U21" s="427"/>
      <c r="V21" s="439"/>
      <c r="W21" s="17"/>
      <c r="X21" s="17"/>
      <c r="Y21" s="30">
        <f>SUM(Y13:Y20)</f>
        <v>0</v>
      </c>
      <c r="Z21" s="30">
        <f>SUM(Z13:Z20)</f>
        <v>0</v>
      </c>
      <c r="AA21" s="631"/>
      <c r="AB21" s="631"/>
      <c r="AC21" s="30">
        <v>8</v>
      </c>
      <c r="AD21" s="30">
        <f>SUM(AD13:AD20)</f>
        <v>0</v>
      </c>
      <c r="AE21" s="19">
        <f t="shared" si="8"/>
        <v>-70.321282223128719</v>
      </c>
      <c r="AF21" s="430">
        <f t="shared" si="9"/>
        <v>0.95981641015821217</v>
      </c>
      <c r="AG21" s="637"/>
    </row>
    <row r="22" spans="1:33" ht="15.75" customHeight="1">
      <c r="A22" s="655" t="s">
        <v>2239</v>
      </c>
      <c r="B22" s="42" t="s">
        <v>92</v>
      </c>
      <c r="C22" s="653" t="s">
        <v>110</v>
      </c>
      <c r="D22" s="653"/>
      <c r="E22" s="42">
        <v>50.67</v>
      </c>
      <c r="F22" s="440">
        <v>2055</v>
      </c>
      <c r="G22" s="427">
        <f t="shared" ref="G22:G29" si="19">E22*F22</f>
        <v>104126.85</v>
      </c>
      <c r="H22" s="37" t="s">
        <v>91</v>
      </c>
      <c r="I22" s="438">
        <v>17</v>
      </c>
      <c r="J22" s="39">
        <v>2000</v>
      </c>
      <c r="K22" s="17">
        <f t="shared" si="1"/>
        <v>117.64705882352941</v>
      </c>
      <c r="L22" s="438">
        <v>17</v>
      </c>
      <c r="M22" s="18">
        <f t="shared" ref="M22:M29" si="20">F22/V22*60</f>
        <v>1926.5625000000009</v>
      </c>
      <c r="N22" s="17">
        <f t="shared" si="3"/>
        <v>113.327205882353</v>
      </c>
      <c r="O22" s="19">
        <f t="shared" si="4"/>
        <v>0</v>
      </c>
      <c r="P22" s="20">
        <f t="shared" si="5"/>
        <v>-4.3198529411764071</v>
      </c>
      <c r="Q22" s="430">
        <f t="shared" si="6"/>
        <v>0.96328125000000053</v>
      </c>
      <c r="R22" s="637">
        <f>Q30</f>
        <v>0.96321977904004097</v>
      </c>
      <c r="S22" s="40">
        <v>0.20833333333333334</v>
      </c>
      <c r="T22" s="40">
        <v>0.25277777777777777</v>
      </c>
      <c r="U22" s="427"/>
      <c r="V22" s="439">
        <f t="shared" ref="V22:V29" si="21">(T22-S22)*24*60</f>
        <v>63.999999999999972</v>
      </c>
      <c r="W22" s="23"/>
      <c r="X22" s="23"/>
      <c r="Y22" s="28"/>
      <c r="Z22" s="28"/>
      <c r="AA22" s="632"/>
      <c r="AB22" s="632"/>
      <c r="AC22" s="25">
        <v>8</v>
      </c>
      <c r="AD22" s="25"/>
      <c r="AE22" s="19">
        <f t="shared" si="8"/>
        <v>-73.437499999999091</v>
      </c>
      <c r="AF22" s="430">
        <f t="shared" si="9"/>
        <v>0.96328125000000042</v>
      </c>
      <c r="AG22" s="637">
        <f>AF30</f>
        <v>0.96321977904004097</v>
      </c>
    </row>
    <row r="23" spans="1:33" ht="15.75" customHeight="1">
      <c r="A23" s="656" t="s">
        <v>309</v>
      </c>
      <c r="B23" s="42" t="s">
        <v>92</v>
      </c>
      <c r="C23" s="653" t="s">
        <v>111</v>
      </c>
      <c r="D23" s="653"/>
      <c r="E23" s="42">
        <v>57.73</v>
      </c>
      <c r="F23" s="440">
        <v>2977</v>
      </c>
      <c r="G23" s="427">
        <f t="shared" si="19"/>
        <v>171862.21</v>
      </c>
      <c r="H23" s="37" t="s">
        <v>91</v>
      </c>
      <c r="I23" s="438">
        <v>14</v>
      </c>
      <c r="J23" s="39">
        <v>2000</v>
      </c>
      <c r="K23" s="17">
        <f t="shared" si="1"/>
        <v>142.85714285714286</v>
      </c>
      <c r="L23" s="438">
        <v>14</v>
      </c>
      <c r="M23" s="18">
        <f t="shared" si="20"/>
        <v>1920.6451612903229</v>
      </c>
      <c r="N23" s="17">
        <f t="shared" si="3"/>
        <v>137.18894009216592</v>
      </c>
      <c r="O23" s="19">
        <f t="shared" si="4"/>
        <v>0</v>
      </c>
      <c r="P23" s="20">
        <f t="shared" si="5"/>
        <v>-5.6682027649769395</v>
      </c>
      <c r="Q23" s="430">
        <f t="shared" si="6"/>
        <v>0.96032258064516141</v>
      </c>
      <c r="R23" s="637"/>
      <c r="S23" s="40">
        <v>0.25763888888888886</v>
      </c>
      <c r="T23" s="40">
        <v>0.32222222222222219</v>
      </c>
      <c r="U23" s="427">
        <f t="shared" ref="U23:U29" si="22">IF(S23=TIME(17,0,0),"",(S23-T22)*24*60)</f>
        <v>6.9999999999999751</v>
      </c>
      <c r="V23" s="439">
        <f t="shared" si="21"/>
        <v>92.999999999999986</v>
      </c>
      <c r="W23" s="23"/>
      <c r="X23" s="427"/>
      <c r="Y23" s="427"/>
      <c r="Z23" s="427"/>
      <c r="AA23" s="632"/>
      <c r="AB23" s="632"/>
      <c r="AC23" s="25"/>
      <c r="AD23" s="25"/>
      <c r="AE23" s="19">
        <f t="shared" si="8"/>
        <v>-79.354838709677097</v>
      </c>
      <c r="AF23" s="430">
        <f t="shared" si="9"/>
        <v>0.96032258064516141</v>
      </c>
      <c r="AG23" s="637"/>
    </row>
    <row r="24" spans="1:33" ht="15.75" customHeight="1">
      <c r="A24" s="656" t="s">
        <v>2239</v>
      </c>
      <c r="B24" s="42" t="s">
        <v>92</v>
      </c>
      <c r="C24" s="653" t="s">
        <v>112</v>
      </c>
      <c r="D24" s="653"/>
      <c r="E24" s="42">
        <v>53.27</v>
      </c>
      <c r="F24" s="440">
        <v>1578</v>
      </c>
      <c r="G24" s="427">
        <f t="shared" si="19"/>
        <v>84060.06</v>
      </c>
      <c r="H24" s="37" t="s">
        <v>91</v>
      </c>
      <c r="I24" s="438">
        <v>16</v>
      </c>
      <c r="J24" s="39">
        <v>2000</v>
      </c>
      <c r="K24" s="17">
        <f t="shared" si="1"/>
        <v>125</v>
      </c>
      <c r="L24" s="438">
        <v>16</v>
      </c>
      <c r="M24" s="18">
        <f t="shared" si="20"/>
        <v>1932.2448979591843</v>
      </c>
      <c r="N24" s="17">
        <f t="shared" si="3"/>
        <v>120.76530612244902</v>
      </c>
      <c r="O24" s="19">
        <f t="shared" si="4"/>
        <v>0</v>
      </c>
      <c r="P24" s="20">
        <f t="shared" si="5"/>
        <v>-4.2346938775509813</v>
      </c>
      <c r="Q24" s="430">
        <f t="shared" si="6"/>
        <v>0.9661224489795921</v>
      </c>
      <c r="R24" s="637"/>
      <c r="S24" s="40">
        <v>0.3256944444444444</v>
      </c>
      <c r="T24" s="40">
        <v>0.35972222222222217</v>
      </c>
      <c r="U24" s="427">
        <f t="shared" si="22"/>
        <v>4.9999999999999822</v>
      </c>
      <c r="V24" s="439">
        <f t="shared" si="21"/>
        <v>48.999999999999986</v>
      </c>
      <c r="W24" s="23"/>
      <c r="X24" s="427"/>
      <c r="Y24" s="427"/>
      <c r="Z24" s="427"/>
      <c r="AA24" s="632"/>
      <c r="AB24" s="632"/>
      <c r="AC24" s="25"/>
      <c r="AD24" s="25"/>
      <c r="AE24" s="19">
        <f t="shared" si="8"/>
        <v>-67.7551020408157</v>
      </c>
      <c r="AF24" s="430">
        <f t="shared" si="9"/>
        <v>0.9661224489795921</v>
      </c>
      <c r="AG24" s="637"/>
    </row>
    <row r="25" spans="1:33" ht="15.75" customHeight="1">
      <c r="A25" s="656" t="s">
        <v>2239</v>
      </c>
      <c r="B25" s="42" t="s">
        <v>92</v>
      </c>
      <c r="C25" s="653" t="s">
        <v>1852</v>
      </c>
      <c r="D25" s="653"/>
      <c r="E25" s="42">
        <v>56.43</v>
      </c>
      <c r="F25" s="440">
        <v>3580</v>
      </c>
      <c r="G25" s="427">
        <f t="shared" si="19"/>
        <v>202019.4</v>
      </c>
      <c r="H25" s="37" t="s">
        <v>91</v>
      </c>
      <c r="I25" s="438">
        <v>25</v>
      </c>
      <c r="J25" s="39">
        <v>2000</v>
      </c>
      <c r="K25" s="17">
        <f t="shared" si="1"/>
        <v>80</v>
      </c>
      <c r="L25" s="438">
        <v>25</v>
      </c>
      <c r="M25" s="18">
        <f t="shared" si="20"/>
        <v>1917.8571428571429</v>
      </c>
      <c r="N25" s="17">
        <f t="shared" si="3"/>
        <v>76.714285714285722</v>
      </c>
      <c r="O25" s="19">
        <f t="shared" si="4"/>
        <v>0</v>
      </c>
      <c r="P25" s="20">
        <f t="shared" si="5"/>
        <v>-3.2857142857142776</v>
      </c>
      <c r="Q25" s="430">
        <f t="shared" si="6"/>
        <v>0.95892857142857157</v>
      </c>
      <c r="R25" s="637"/>
      <c r="S25" s="40">
        <v>0.36388888888888882</v>
      </c>
      <c r="T25" s="40">
        <v>0.4416666666666666</v>
      </c>
      <c r="U25" s="427">
        <f t="shared" si="22"/>
        <v>5.9999999999999787</v>
      </c>
      <c r="V25" s="439">
        <f t="shared" si="21"/>
        <v>112</v>
      </c>
      <c r="W25" s="23"/>
      <c r="X25" s="427"/>
      <c r="Y25" s="427"/>
      <c r="Z25" s="427"/>
      <c r="AA25" s="632"/>
      <c r="AB25" s="632"/>
      <c r="AC25" s="25"/>
      <c r="AD25" s="25"/>
      <c r="AE25" s="19">
        <f t="shared" si="8"/>
        <v>-82.14285714285711</v>
      </c>
      <c r="AF25" s="430">
        <f t="shared" si="9"/>
        <v>0.95892857142857146</v>
      </c>
      <c r="AG25" s="637"/>
    </row>
    <row r="26" spans="1:33" ht="15.75" customHeight="1">
      <c r="A26" s="656" t="s">
        <v>2239</v>
      </c>
      <c r="B26" s="42" t="s">
        <v>92</v>
      </c>
      <c r="C26" s="653" t="s">
        <v>113</v>
      </c>
      <c r="D26" s="653"/>
      <c r="E26" s="42">
        <v>56.43</v>
      </c>
      <c r="F26" s="440">
        <v>1615</v>
      </c>
      <c r="G26" s="427">
        <f t="shared" si="19"/>
        <v>91134.45</v>
      </c>
      <c r="H26" s="37" t="s">
        <v>91</v>
      </c>
      <c r="I26" s="438">
        <v>13</v>
      </c>
      <c r="J26" s="39">
        <v>2000</v>
      </c>
      <c r="K26" s="17">
        <f t="shared" si="1"/>
        <v>153.84615384615384</v>
      </c>
      <c r="L26" s="438">
        <v>13</v>
      </c>
      <c r="M26" s="18">
        <f t="shared" si="20"/>
        <v>1938.0000000000007</v>
      </c>
      <c r="N26" s="17">
        <f t="shared" si="3"/>
        <v>149.07692307692312</v>
      </c>
      <c r="O26" s="19">
        <f t="shared" si="4"/>
        <v>0</v>
      </c>
      <c r="P26" s="20">
        <f t="shared" si="5"/>
        <v>-4.7692307692307168</v>
      </c>
      <c r="Q26" s="430">
        <f t="shared" si="6"/>
        <v>0.96900000000000031</v>
      </c>
      <c r="R26" s="637"/>
      <c r="S26" s="40">
        <v>0.70833333333333337</v>
      </c>
      <c r="T26" s="40">
        <v>0.74305555555555558</v>
      </c>
      <c r="U26" s="427" t="str">
        <f t="shared" si="22"/>
        <v/>
      </c>
      <c r="V26" s="439">
        <f t="shared" si="21"/>
        <v>49.999999999999986</v>
      </c>
      <c r="W26" s="23"/>
      <c r="X26" s="23"/>
      <c r="Y26" s="427"/>
      <c r="Z26" s="427"/>
      <c r="AA26" s="632"/>
      <c r="AB26" s="632"/>
      <c r="AC26" s="25"/>
      <c r="AD26" s="25"/>
      <c r="AE26" s="19">
        <f t="shared" si="8"/>
        <v>-61.999999999999318</v>
      </c>
      <c r="AF26" s="430">
        <f t="shared" si="9"/>
        <v>0.96900000000000031</v>
      </c>
      <c r="AG26" s="637"/>
    </row>
    <row r="27" spans="1:33" ht="15.75" customHeight="1">
      <c r="A27" s="656" t="s">
        <v>2239</v>
      </c>
      <c r="B27" s="42" t="s">
        <v>92</v>
      </c>
      <c r="C27" s="653" t="s">
        <v>140</v>
      </c>
      <c r="D27" s="653"/>
      <c r="E27" s="42">
        <v>51.06</v>
      </c>
      <c r="F27" s="440">
        <v>1000</v>
      </c>
      <c r="G27" s="427">
        <f t="shared" si="19"/>
        <v>51060</v>
      </c>
      <c r="H27" s="37">
        <v>2</v>
      </c>
      <c r="I27" s="438">
        <v>13</v>
      </c>
      <c r="J27" s="39">
        <v>2000</v>
      </c>
      <c r="K27" s="17">
        <f t="shared" si="1"/>
        <v>153.84615384615384</v>
      </c>
      <c r="L27" s="438">
        <v>13</v>
      </c>
      <c r="M27" s="18">
        <f t="shared" si="20"/>
        <v>1935.483870967739</v>
      </c>
      <c r="N27" s="17">
        <f t="shared" si="3"/>
        <v>148.88337468982607</v>
      </c>
      <c r="O27" s="19">
        <f t="shared" si="4"/>
        <v>0</v>
      </c>
      <c r="P27" s="20">
        <f t="shared" si="5"/>
        <v>-4.9627791563277697</v>
      </c>
      <c r="Q27" s="430">
        <f t="shared" si="6"/>
        <v>0.96774193548386944</v>
      </c>
      <c r="R27" s="637"/>
      <c r="S27" s="40">
        <v>0.74861111111111112</v>
      </c>
      <c r="T27" s="40">
        <v>0.77013888888888893</v>
      </c>
      <c r="U27" s="427">
        <f t="shared" si="22"/>
        <v>7.9999999999999716</v>
      </c>
      <c r="V27" s="439">
        <f t="shared" si="21"/>
        <v>31.00000000000005</v>
      </c>
      <c r="W27" s="23"/>
      <c r="X27" s="28"/>
      <c r="Y27" s="28"/>
      <c r="Z27" s="28"/>
      <c r="AA27" s="632"/>
      <c r="AB27" s="632"/>
      <c r="AC27" s="25"/>
      <c r="AD27" s="25"/>
      <c r="AE27" s="19">
        <f t="shared" si="8"/>
        <v>-64.516129032261006</v>
      </c>
      <c r="AF27" s="430">
        <f t="shared" si="9"/>
        <v>0.96774193548386944</v>
      </c>
      <c r="AG27" s="637"/>
    </row>
    <row r="28" spans="1:33" ht="15.75" customHeight="1">
      <c r="A28" s="656" t="s">
        <v>309</v>
      </c>
      <c r="B28" s="42" t="s">
        <v>92</v>
      </c>
      <c r="C28" s="679" t="s">
        <v>95</v>
      </c>
      <c r="D28" s="680"/>
      <c r="E28" s="42">
        <v>50.67</v>
      </c>
      <c r="F28" s="440">
        <v>1664</v>
      </c>
      <c r="G28" s="427">
        <f t="shared" si="19"/>
        <v>84314.880000000005</v>
      </c>
      <c r="H28" s="37" t="s">
        <v>91</v>
      </c>
      <c r="I28" s="438">
        <v>15</v>
      </c>
      <c r="J28" s="39">
        <v>2000</v>
      </c>
      <c r="K28" s="17">
        <f t="shared" si="1"/>
        <v>133.33333333333334</v>
      </c>
      <c r="L28" s="438">
        <v>15</v>
      </c>
      <c r="M28" s="18">
        <f t="shared" si="20"/>
        <v>1920.0000000000009</v>
      </c>
      <c r="N28" s="17">
        <f t="shared" si="3"/>
        <v>128.00000000000006</v>
      </c>
      <c r="O28" s="19">
        <f t="shared" si="4"/>
        <v>0</v>
      </c>
      <c r="P28" s="20">
        <f t="shared" si="5"/>
        <v>-5.333333333333286</v>
      </c>
      <c r="Q28" s="430">
        <f t="shared" si="6"/>
        <v>0.96000000000000041</v>
      </c>
      <c r="R28" s="637"/>
      <c r="S28" s="40">
        <v>0.77361111111111114</v>
      </c>
      <c r="T28" s="40">
        <v>0.80972222222222223</v>
      </c>
      <c r="U28" s="427">
        <f t="shared" si="22"/>
        <v>4.9999999999999822</v>
      </c>
      <c r="V28" s="439">
        <f t="shared" si="21"/>
        <v>51.999999999999972</v>
      </c>
      <c r="W28" s="23">
        <f>T28</f>
        <v>0.80972222222222223</v>
      </c>
      <c r="X28" s="23">
        <f>S29</f>
        <v>0.84861111111111109</v>
      </c>
      <c r="Y28" s="136"/>
      <c r="Z28" s="136"/>
      <c r="AA28" s="627"/>
      <c r="AB28" s="628"/>
      <c r="AC28" s="25"/>
      <c r="AD28" s="25"/>
      <c r="AE28" s="19">
        <f t="shared" si="8"/>
        <v>-79.999999999999091</v>
      </c>
      <c r="AF28" s="430">
        <f t="shared" si="9"/>
        <v>0.96000000000000041</v>
      </c>
      <c r="AG28" s="637"/>
    </row>
    <row r="29" spans="1:33" ht="15.75" customHeight="1">
      <c r="A29" s="656" t="s">
        <v>2239</v>
      </c>
      <c r="B29" s="42" t="s">
        <v>92</v>
      </c>
      <c r="C29" s="436" t="s">
        <v>140</v>
      </c>
      <c r="D29" s="437"/>
      <c r="E29" s="42">
        <v>51.06</v>
      </c>
      <c r="F29" s="440">
        <v>2657</v>
      </c>
      <c r="G29" s="427">
        <f t="shared" si="19"/>
        <v>135666.42000000001</v>
      </c>
      <c r="H29" s="37" t="s">
        <v>91</v>
      </c>
      <c r="I29" s="438">
        <v>13</v>
      </c>
      <c r="J29" s="39">
        <v>2000</v>
      </c>
      <c r="K29" s="17">
        <f t="shared" si="1"/>
        <v>153.84615384615384</v>
      </c>
      <c r="L29" s="438">
        <v>13</v>
      </c>
      <c r="M29" s="18">
        <f t="shared" si="20"/>
        <v>1920.7228915662645</v>
      </c>
      <c r="N29" s="17">
        <f t="shared" si="3"/>
        <v>147.74791473586649</v>
      </c>
      <c r="O29" s="19">
        <f t="shared" si="4"/>
        <v>0</v>
      </c>
      <c r="P29" s="20">
        <f t="shared" si="5"/>
        <v>-6.0982391102873521</v>
      </c>
      <c r="Q29" s="430">
        <f t="shared" si="6"/>
        <v>0.96036144578313221</v>
      </c>
      <c r="R29" s="637"/>
      <c r="S29" s="40">
        <v>0.84861111111111109</v>
      </c>
      <c r="T29" s="40">
        <v>0.90625</v>
      </c>
      <c r="U29" s="427">
        <f t="shared" si="22"/>
        <v>55.999999999999957</v>
      </c>
      <c r="V29" s="439">
        <f t="shared" si="21"/>
        <v>83.000000000000028</v>
      </c>
      <c r="W29" s="23"/>
      <c r="X29" s="23"/>
      <c r="Y29" s="26"/>
      <c r="Z29" s="26"/>
      <c r="AA29" s="434"/>
      <c r="AB29" s="435"/>
      <c r="AC29" s="25"/>
      <c r="AD29" s="25"/>
      <c r="AE29" s="19">
        <f t="shared" si="8"/>
        <v>-79.277108433735521</v>
      </c>
      <c r="AF29" s="430">
        <f t="shared" si="9"/>
        <v>0.96036144578313221</v>
      </c>
      <c r="AG29" s="637"/>
    </row>
    <row r="30" spans="1:33" ht="15.75" customHeight="1">
      <c r="A30" s="656" t="s">
        <v>2240</v>
      </c>
      <c r="B30" s="42" t="s">
        <v>2241</v>
      </c>
      <c r="C30" s="638"/>
      <c r="D30" s="638"/>
      <c r="E30" s="433"/>
      <c r="F30" s="440"/>
      <c r="G30" s="427"/>
      <c r="H30" s="440"/>
      <c r="I30" s="29">
        <v>15.75</v>
      </c>
      <c r="J30" s="39">
        <v>2000</v>
      </c>
      <c r="K30" s="17">
        <f t="shared" si="1"/>
        <v>126.98412698412699</v>
      </c>
      <c r="L30" s="29">
        <v>15.75</v>
      </c>
      <c r="M30" s="18">
        <f>AVERAGE(M22:M29)</f>
        <v>1926.439558080082</v>
      </c>
      <c r="N30" s="17">
        <f t="shared" si="3"/>
        <v>122.3136227352433</v>
      </c>
      <c r="O30" s="19">
        <f t="shared" si="4"/>
        <v>0</v>
      </c>
      <c r="P30" s="20">
        <f t="shared" si="5"/>
        <v>-4.6705042488836881</v>
      </c>
      <c r="Q30" s="430">
        <f t="shared" si="6"/>
        <v>0.96321977904004097</v>
      </c>
      <c r="R30" s="637"/>
      <c r="S30" s="40"/>
      <c r="T30" s="40"/>
      <c r="U30" s="17"/>
      <c r="V30" s="439"/>
      <c r="W30" s="17"/>
      <c r="X30" s="17"/>
      <c r="Y30" s="30">
        <f>SUM(Y22:Y29)</f>
        <v>0</v>
      </c>
      <c r="Z30" s="30">
        <f>SUM(Z22:Z29)</f>
        <v>0</v>
      </c>
      <c r="AA30" s="631"/>
      <c r="AB30" s="631"/>
      <c r="AC30" s="30">
        <v>8</v>
      </c>
      <c r="AD30" s="30">
        <f>SUM(AD22:AD29)</f>
        <v>0</v>
      </c>
      <c r="AE30" s="19">
        <f t="shared" si="8"/>
        <v>-73.560441919918048</v>
      </c>
      <c r="AF30" s="430">
        <f t="shared" si="9"/>
        <v>0.96321977904004097</v>
      </c>
      <c r="AG30" s="637"/>
    </row>
    <row r="31" spans="1:33" ht="15.75" customHeight="1">
      <c r="A31" s="654" t="s">
        <v>2242</v>
      </c>
      <c r="B31" s="42" t="s">
        <v>116</v>
      </c>
      <c r="C31" s="653" t="s">
        <v>117</v>
      </c>
      <c r="D31" s="653"/>
      <c r="E31" s="42">
        <v>31.29</v>
      </c>
      <c r="F31" s="440">
        <v>5900</v>
      </c>
      <c r="G31" s="427">
        <f t="shared" ref="G31:G38" si="23">E31*F31</f>
        <v>184611</v>
      </c>
      <c r="H31" s="37">
        <v>2</v>
      </c>
      <c r="I31" s="438">
        <v>18</v>
      </c>
      <c r="J31" s="39">
        <v>2400</v>
      </c>
      <c r="K31" s="17">
        <f t="shared" si="1"/>
        <v>133.33333333333334</v>
      </c>
      <c r="L31" s="438">
        <v>18</v>
      </c>
      <c r="M31" s="18">
        <f t="shared" ref="M31:M38" si="24">F31/V31*60</f>
        <v>2283.8709677419356</v>
      </c>
      <c r="N31" s="17">
        <f t="shared" si="3"/>
        <v>126.88172043010753</v>
      </c>
      <c r="O31" s="19">
        <f t="shared" si="4"/>
        <v>0</v>
      </c>
      <c r="P31" s="20">
        <f t="shared" si="5"/>
        <v>-6.4516129032258078</v>
      </c>
      <c r="Q31" s="430">
        <f t="shared" si="6"/>
        <v>0.95161290322580649</v>
      </c>
      <c r="R31" s="637">
        <f>Q39</f>
        <v>0.95420720166001582</v>
      </c>
      <c r="S31" s="40">
        <v>8.3333333333333329E-2</v>
      </c>
      <c r="T31" s="40">
        <v>0.19097222222222221</v>
      </c>
      <c r="U31" s="427"/>
      <c r="V31" s="439">
        <f t="shared" ref="V31:V38" si="25">(T31-S31)*24*60</f>
        <v>154.99999999999997</v>
      </c>
      <c r="W31" s="23">
        <f>T31</f>
        <v>0.19097222222222221</v>
      </c>
      <c r="X31" s="23">
        <f>S32</f>
        <v>0.20902777777777776</v>
      </c>
      <c r="Y31" s="23"/>
      <c r="Z31" s="23"/>
      <c r="AA31" s="632"/>
      <c r="AB31" s="632"/>
      <c r="AC31" s="25">
        <v>8</v>
      </c>
      <c r="AD31" s="25"/>
      <c r="AE31" s="19">
        <f t="shared" si="8"/>
        <v>-116.1290322580644</v>
      </c>
      <c r="AF31" s="430">
        <f t="shared" si="9"/>
        <v>0.95161290322580649</v>
      </c>
      <c r="AG31" s="637">
        <f>AF39</f>
        <v>0.95420720166001582</v>
      </c>
    </row>
    <row r="32" spans="1:33" ht="15.75" customHeight="1">
      <c r="A32" s="654" t="s">
        <v>2242</v>
      </c>
      <c r="B32" s="42" t="s">
        <v>116</v>
      </c>
      <c r="C32" s="653" t="s">
        <v>118</v>
      </c>
      <c r="D32" s="653"/>
      <c r="E32" s="42">
        <v>26.37</v>
      </c>
      <c r="F32" s="440">
        <v>4200</v>
      </c>
      <c r="G32" s="427">
        <f t="shared" si="23"/>
        <v>110754</v>
      </c>
      <c r="H32" s="37">
        <v>2</v>
      </c>
      <c r="I32" s="438">
        <v>18</v>
      </c>
      <c r="J32" s="39">
        <v>2400</v>
      </c>
      <c r="K32" s="17">
        <f t="shared" si="1"/>
        <v>133.33333333333334</v>
      </c>
      <c r="L32" s="438">
        <v>18</v>
      </c>
      <c r="M32" s="18">
        <f t="shared" si="24"/>
        <v>2290.909090909091</v>
      </c>
      <c r="N32" s="17">
        <f t="shared" si="3"/>
        <v>127.27272727272728</v>
      </c>
      <c r="O32" s="19">
        <f t="shared" si="4"/>
        <v>0</v>
      </c>
      <c r="P32" s="20">
        <f t="shared" si="5"/>
        <v>-6.0606060606060623</v>
      </c>
      <c r="Q32" s="430">
        <f t="shared" si="6"/>
        <v>0.95454545454545459</v>
      </c>
      <c r="R32" s="637"/>
      <c r="S32" s="40">
        <v>0.20902777777777776</v>
      </c>
      <c r="T32" s="40">
        <v>0.28541666666666665</v>
      </c>
      <c r="U32" s="427">
        <f t="shared" ref="U32:U38" si="26">(S32-T31)*24*60</f>
        <v>25.999999999999986</v>
      </c>
      <c r="V32" s="439">
        <f t="shared" si="25"/>
        <v>110.00000000000001</v>
      </c>
      <c r="W32" s="23"/>
      <c r="X32" s="23"/>
      <c r="Y32" s="23"/>
      <c r="Z32" s="23"/>
      <c r="AA32" s="632"/>
      <c r="AB32" s="632"/>
      <c r="AC32" s="25"/>
      <c r="AD32" s="25"/>
      <c r="AE32" s="19">
        <f t="shared" si="8"/>
        <v>-109.09090909090901</v>
      </c>
      <c r="AF32" s="430">
        <f t="shared" si="9"/>
        <v>0.95454545454545459</v>
      </c>
      <c r="AG32" s="637"/>
    </row>
    <row r="33" spans="1:33" ht="15.75" customHeight="1">
      <c r="A33" s="654" t="s">
        <v>62</v>
      </c>
      <c r="B33" s="42" t="s">
        <v>116</v>
      </c>
      <c r="C33" s="653" t="s">
        <v>124</v>
      </c>
      <c r="D33" s="653"/>
      <c r="E33" s="42">
        <v>24.43</v>
      </c>
      <c r="F33" s="440">
        <v>4400</v>
      </c>
      <c r="G33" s="427">
        <f t="shared" si="23"/>
        <v>107492</v>
      </c>
      <c r="H33" s="37">
        <v>2</v>
      </c>
      <c r="I33" s="438">
        <v>14</v>
      </c>
      <c r="J33" s="39">
        <v>2400</v>
      </c>
      <c r="K33" s="17">
        <f t="shared" si="1"/>
        <v>171.42857142857142</v>
      </c>
      <c r="L33" s="438">
        <v>14</v>
      </c>
      <c r="M33" s="18">
        <f t="shared" si="24"/>
        <v>2295.652173913044</v>
      </c>
      <c r="N33" s="17">
        <f t="shared" si="3"/>
        <v>163.97515527950313</v>
      </c>
      <c r="O33" s="19">
        <f t="shared" si="4"/>
        <v>0</v>
      </c>
      <c r="P33" s="20">
        <f t="shared" si="5"/>
        <v>-7.4534161490682891</v>
      </c>
      <c r="Q33" s="430">
        <f t="shared" si="6"/>
        <v>0.95652173913043492</v>
      </c>
      <c r="R33" s="637"/>
      <c r="S33" s="40">
        <v>0.2895833333333333</v>
      </c>
      <c r="T33" s="40">
        <v>0.36944444444444441</v>
      </c>
      <c r="U33" s="427">
        <f t="shared" si="26"/>
        <v>5.9999999999999787</v>
      </c>
      <c r="V33" s="439">
        <f t="shared" si="25"/>
        <v>114.99999999999999</v>
      </c>
      <c r="W33" s="23"/>
      <c r="X33" s="23"/>
      <c r="Y33" s="23"/>
      <c r="Z33" s="23"/>
      <c r="AA33" s="632"/>
      <c r="AB33" s="632"/>
      <c r="AC33" s="25"/>
      <c r="AD33" s="25"/>
      <c r="AE33" s="19">
        <f t="shared" si="8"/>
        <v>-104.34782608695605</v>
      </c>
      <c r="AF33" s="430">
        <f t="shared" si="9"/>
        <v>0.95652173913043503</v>
      </c>
      <c r="AG33" s="637"/>
    </row>
    <row r="34" spans="1:33" ht="15.75" customHeight="1">
      <c r="A34" s="654" t="s">
        <v>62</v>
      </c>
      <c r="B34" s="42" t="s">
        <v>116</v>
      </c>
      <c r="C34" s="653" t="s">
        <v>148</v>
      </c>
      <c r="D34" s="653"/>
      <c r="E34" s="42">
        <v>28.29</v>
      </c>
      <c r="F34" s="440">
        <v>3860</v>
      </c>
      <c r="G34" s="427">
        <f t="shared" si="23"/>
        <v>109199.4</v>
      </c>
      <c r="H34" s="37" t="s">
        <v>91</v>
      </c>
      <c r="I34" s="438">
        <v>19</v>
      </c>
      <c r="J34" s="39">
        <v>2400</v>
      </c>
      <c r="K34" s="17">
        <f t="shared" si="1"/>
        <v>126.31578947368421</v>
      </c>
      <c r="L34" s="438">
        <v>19</v>
      </c>
      <c r="M34" s="18">
        <f t="shared" si="24"/>
        <v>2293.0693069306917</v>
      </c>
      <c r="N34" s="17">
        <f t="shared" si="3"/>
        <v>120.68785825951009</v>
      </c>
      <c r="O34" s="19">
        <f t="shared" si="4"/>
        <v>0</v>
      </c>
      <c r="P34" s="20">
        <f t="shared" si="5"/>
        <v>-5.6279312141741116</v>
      </c>
      <c r="Q34" s="430">
        <f t="shared" si="6"/>
        <v>0.95544554455445496</v>
      </c>
      <c r="R34" s="637"/>
      <c r="S34" s="40">
        <v>0.37361111111111106</v>
      </c>
      <c r="T34" s="40">
        <v>0.44374999999999998</v>
      </c>
      <c r="U34" s="427">
        <f t="shared" si="26"/>
        <v>5.9999999999999787</v>
      </c>
      <c r="V34" s="439">
        <f t="shared" si="25"/>
        <v>101.00000000000004</v>
      </c>
      <c r="W34" s="23"/>
      <c r="X34" s="23"/>
      <c r="Y34" s="23"/>
      <c r="Z34" s="23"/>
      <c r="AA34" s="632"/>
      <c r="AB34" s="632"/>
      <c r="AC34" s="25"/>
      <c r="AD34" s="25"/>
      <c r="AE34" s="19">
        <f t="shared" si="8"/>
        <v>-106.93069306930829</v>
      </c>
      <c r="AF34" s="430">
        <f t="shared" si="9"/>
        <v>0.95544554455445485</v>
      </c>
      <c r="AG34" s="637"/>
    </row>
    <row r="35" spans="1:33" ht="15.75" customHeight="1">
      <c r="A35" s="654" t="s">
        <v>2242</v>
      </c>
      <c r="B35" s="42" t="s">
        <v>116</v>
      </c>
      <c r="C35" s="653" t="s">
        <v>150</v>
      </c>
      <c r="D35" s="653"/>
      <c r="E35" s="42">
        <v>23.89</v>
      </c>
      <c r="F35" s="440">
        <v>2142</v>
      </c>
      <c r="G35" s="427">
        <f t="shared" si="23"/>
        <v>51172.380000000005</v>
      </c>
      <c r="H35" s="37" t="s">
        <v>91</v>
      </c>
      <c r="I35" s="438">
        <v>13</v>
      </c>
      <c r="J35" s="39">
        <v>2400</v>
      </c>
      <c r="K35" s="17">
        <f t="shared" si="1"/>
        <v>184.61538461538461</v>
      </c>
      <c r="L35" s="438">
        <v>13</v>
      </c>
      <c r="M35" s="18">
        <f t="shared" si="24"/>
        <v>2295.0000000000018</v>
      </c>
      <c r="N35" s="17">
        <f t="shared" si="3"/>
        <v>176.53846153846169</v>
      </c>
      <c r="O35" s="19">
        <f t="shared" si="4"/>
        <v>0</v>
      </c>
      <c r="P35" s="20">
        <f t="shared" si="5"/>
        <v>-8.0769230769229239</v>
      </c>
      <c r="Q35" s="430">
        <f t="shared" si="6"/>
        <v>0.95625000000000082</v>
      </c>
      <c r="R35" s="637"/>
      <c r="S35" s="40">
        <v>0.44861111111111107</v>
      </c>
      <c r="T35" s="40">
        <v>0.48749999999999993</v>
      </c>
      <c r="U35" s="427">
        <f t="shared" si="26"/>
        <v>6.9999999999999751</v>
      </c>
      <c r="V35" s="439">
        <f t="shared" si="25"/>
        <v>55.999999999999957</v>
      </c>
      <c r="W35" s="23">
        <f>T35</f>
        <v>0.48749999999999993</v>
      </c>
      <c r="X35" s="23">
        <f>S36</f>
        <v>0.52777777777777768</v>
      </c>
      <c r="Y35" s="23"/>
      <c r="Z35" s="23"/>
      <c r="AA35" s="632"/>
      <c r="AB35" s="632"/>
      <c r="AC35" s="25"/>
      <c r="AD35" s="25"/>
      <c r="AE35" s="19">
        <f t="shared" si="8"/>
        <v>-104.99999999999818</v>
      </c>
      <c r="AF35" s="430">
        <f t="shared" si="9"/>
        <v>0.95625000000000071</v>
      </c>
      <c r="AG35" s="637"/>
    </row>
    <row r="36" spans="1:33" ht="15.75" customHeight="1">
      <c r="A36" s="654" t="s">
        <v>62</v>
      </c>
      <c r="B36" s="42" t="s">
        <v>116</v>
      </c>
      <c r="C36" s="653" t="s">
        <v>124</v>
      </c>
      <c r="D36" s="653"/>
      <c r="E36" s="42">
        <v>24.43</v>
      </c>
      <c r="F36" s="440">
        <v>3661</v>
      </c>
      <c r="G36" s="427">
        <f t="shared" si="23"/>
        <v>89438.23</v>
      </c>
      <c r="H36" s="37" t="s">
        <v>91</v>
      </c>
      <c r="I36" s="438">
        <v>14</v>
      </c>
      <c r="J36" s="39">
        <v>2400</v>
      </c>
      <c r="K36" s="17">
        <f t="shared" si="1"/>
        <v>171.42857142857142</v>
      </c>
      <c r="L36" s="438">
        <v>14</v>
      </c>
      <c r="M36" s="18">
        <f t="shared" si="24"/>
        <v>2288.1250000000009</v>
      </c>
      <c r="N36" s="17">
        <f t="shared" si="3"/>
        <v>163.43750000000006</v>
      </c>
      <c r="O36" s="19">
        <f t="shared" si="4"/>
        <v>0</v>
      </c>
      <c r="P36" s="20">
        <f t="shared" si="5"/>
        <v>-7.9910714285713595</v>
      </c>
      <c r="Q36" s="430">
        <f t="shared" si="6"/>
        <v>0.9533854166666671</v>
      </c>
      <c r="R36" s="637"/>
      <c r="S36" s="40">
        <v>0.52777777777777768</v>
      </c>
      <c r="T36" s="40">
        <v>0.59444444444444433</v>
      </c>
      <c r="U36" s="427">
        <f t="shared" si="26"/>
        <v>57.999999999999957</v>
      </c>
      <c r="V36" s="439">
        <f t="shared" si="25"/>
        <v>95.999999999999972</v>
      </c>
      <c r="W36" s="23"/>
      <c r="X36" s="23"/>
      <c r="Y36" s="23"/>
      <c r="Z36" s="23"/>
      <c r="AA36" s="632"/>
      <c r="AB36" s="632"/>
      <c r="AC36" s="25"/>
      <c r="AD36" s="25"/>
      <c r="AE36" s="19">
        <f t="shared" si="8"/>
        <v>-111.87499999999909</v>
      </c>
      <c r="AF36" s="430">
        <f t="shared" si="9"/>
        <v>0.9533854166666671</v>
      </c>
      <c r="AG36" s="637"/>
    </row>
    <row r="37" spans="1:33" ht="15.75" customHeight="1">
      <c r="A37" s="654" t="s">
        <v>2242</v>
      </c>
      <c r="B37" s="42" t="s">
        <v>116</v>
      </c>
      <c r="C37" s="653" t="s">
        <v>117</v>
      </c>
      <c r="D37" s="653"/>
      <c r="E37" s="42">
        <v>31.29</v>
      </c>
      <c r="F37" s="440">
        <v>4729</v>
      </c>
      <c r="G37" s="427">
        <f t="shared" si="23"/>
        <v>147970.41</v>
      </c>
      <c r="H37" s="37" t="s">
        <v>91</v>
      </c>
      <c r="I37" s="438">
        <v>18</v>
      </c>
      <c r="J37" s="39">
        <v>2400</v>
      </c>
      <c r="K37" s="17">
        <f t="shared" si="1"/>
        <v>133.33333333333334</v>
      </c>
      <c r="L37" s="438">
        <v>18</v>
      </c>
      <c r="M37" s="18">
        <f t="shared" si="24"/>
        <v>2288.2258064516122</v>
      </c>
      <c r="N37" s="17">
        <f t="shared" si="3"/>
        <v>127.12365591397845</v>
      </c>
      <c r="O37" s="19">
        <f t="shared" si="4"/>
        <v>0</v>
      </c>
      <c r="P37" s="20">
        <f t="shared" si="5"/>
        <v>-6.2096774193548896</v>
      </c>
      <c r="Q37" s="430">
        <f t="shared" si="6"/>
        <v>0.95342741935483832</v>
      </c>
      <c r="R37" s="637"/>
      <c r="S37" s="40">
        <v>0.59861111111111098</v>
      </c>
      <c r="T37" s="40">
        <v>0.68472222222222212</v>
      </c>
      <c r="U37" s="427">
        <f t="shared" si="26"/>
        <v>5.9999999999999787</v>
      </c>
      <c r="V37" s="439">
        <f t="shared" si="25"/>
        <v>124.00000000000004</v>
      </c>
      <c r="W37" s="23"/>
      <c r="X37" s="23"/>
      <c r="Y37" s="23"/>
      <c r="Z37" s="23"/>
      <c r="AA37" s="632"/>
      <c r="AB37" s="632"/>
      <c r="AC37" s="25"/>
      <c r="AD37" s="25"/>
      <c r="AE37" s="19">
        <f t="shared" si="8"/>
        <v>-111.77419354838776</v>
      </c>
      <c r="AF37" s="430">
        <f t="shared" si="9"/>
        <v>0.95342741935483843</v>
      </c>
      <c r="AG37" s="637"/>
    </row>
    <row r="38" spans="1:33" ht="15.75" customHeight="1">
      <c r="A38" s="654" t="s">
        <v>2242</v>
      </c>
      <c r="B38" s="42" t="s">
        <v>116</v>
      </c>
      <c r="C38" s="436" t="s">
        <v>118</v>
      </c>
      <c r="D38" s="437"/>
      <c r="E38" s="42">
        <v>26.37</v>
      </c>
      <c r="F38" s="440">
        <v>3086</v>
      </c>
      <c r="G38" s="427">
        <f t="shared" si="23"/>
        <v>81377.820000000007</v>
      </c>
      <c r="H38" s="37" t="s">
        <v>91</v>
      </c>
      <c r="I38" s="438">
        <v>18</v>
      </c>
      <c r="J38" s="39">
        <v>2400</v>
      </c>
      <c r="K38" s="17">
        <f t="shared" si="1"/>
        <v>133.33333333333334</v>
      </c>
      <c r="L38" s="438">
        <v>18</v>
      </c>
      <c r="M38" s="18">
        <f t="shared" si="24"/>
        <v>2285.9259259259252</v>
      </c>
      <c r="N38" s="17">
        <f t="shared" si="3"/>
        <v>126.99588477366251</v>
      </c>
      <c r="O38" s="19">
        <f t="shared" si="4"/>
        <v>0</v>
      </c>
      <c r="P38" s="20">
        <f t="shared" si="5"/>
        <v>-6.3374485596708325</v>
      </c>
      <c r="Q38" s="430">
        <f t="shared" si="6"/>
        <v>0.95246913580246872</v>
      </c>
      <c r="R38" s="637"/>
      <c r="S38" s="40">
        <v>0.68888888888888877</v>
      </c>
      <c r="T38" s="40">
        <v>0.7451388888888888</v>
      </c>
      <c r="U38" s="427">
        <f t="shared" si="26"/>
        <v>5.9999999999999787</v>
      </c>
      <c r="V38" s="439">
        <f t="shared" si="25"/>
        <v>81.000000000000028</v>
      </c>
      <c r="W38" s="23"/>
      <c r="X38" s="23"/>
      <c r="Y38" s="23"/>
      <c r="Z38" s="23"/>
      <c r="AA38" s="434"/>
      <c r="AB38" s="435"/>
      <c r="AC38" s="25"/>
      <c r="AD38" s="25"/>
      <c r="AE38" s="19">
        <f t="shared" si="8"/>
        <v>-114.07407407407482</v>
      </c>
      <c r="AF38" s="430">
        <f t="shared" si="9"/>
        <v>0.95246913580246884</v>
      </c>
      <c r="AG38" s="637"/>
    </row>
    <row r="39" spans="1:33" ht="15.75" customHeight="1">
      <c r="A39" s="654" t="s">
        <v>62</v>
      </c>
      <c r="B39" s="42" t="s">
        <v>2235</v>
      </c>
      <c r="C39" s="638"/>
      <c r="D39" s="638"/>
      <c r="E39" s="433"/>
      <c r="F39" s="440"/>
      <c r="G39" s="427"/>
      <c r="H39" s="440"/>
      <c r="I39" s="29">
        <v>16.5</v>
      </c>
      <c r="J39" s="39">
        <v>2400</v>
      </c>
      <c r="K39" s="17">
        <f t="shared" si="1"/>
        <v>145.45454545454547</v>
      </c>
      <c r="L39" s="29">
        <v>16.5</v>
      </c>
      <c r="M39" s="18">
        <f>AVERAGE(M31:M38)</f>
        <v>2290.0972839840379</v>
      </c>
      <c r="N39" s="17">
        <f t="shared" si="3"/>
        <v>138.7937747869114</v>
      </c>
      <c r="O39" s="19">
        <f t="shared" si="4"/>
        <v>0</v>
      </c>
      <c r="P39" s="20">
        <f t="shared" si="5"/>
        <v>-6.6607706676340683</v>
      </c>
      <c r="Q39" s="430">
        <f t="shared" si="6"/>
        <v>0.95420720166001582</v>
      </c>
      <c r="R39" s="637"/>
      <c r="S39" s="40"/>
      <c r="T39" s="40"/>
      <c r="U39" s="427"/>
      <c r="V39" s="439"/>
      <c r="W39" s="427"/>
      <c r="X39" s="427"/>
      <c r="Y39" s="30">
        <f>SUM(Y31:Y38)</f>
        <v>0</v>
      </c>
      <c r="Z39" s="30">
        <f>SUM(Z31:Z38)</f>
        <v>0</v>
      </c>
      <c r="AA39" s="631"/>
      <c r="AB39" s="631"/>
      <c r="AC39" s="30">
        <v>8</v>
      </c>
      <c r="AD39" s="30">
        <f>SUM(AD31:AD38)</f>
        <v>0</v>
      </c>
      <c r="AE39" s="19">
        <f t="shared" si="8"/>
        <v>-109.90271601596214</v>
      </c>
      <c r="AF39" s="430">
        <f t="shared" si="9"/>
        <v>0.95420720166001582</v>
      </c>
      <c r="AG39" s="637"/>
    </row>
    <row r="40" spans="1:33" ht="15.75" customHeight="1">
      <c r="A40" s="651" t="s">
        <v>2243</v>
      </c>
      <c r="B40" s="42" t="s">
        <v>116</v>
      </c>
      <c r="C40" s="633" t="s">
        <v>123</v>
      </c>
      <c r="D40" s="633"/>
      <c r="E40" s="42">
        <v>26.18</v>
      </c>
      <c r="F40" s="440">
        <v>3800</v>
      </c>
      <c r="G40" s="427">
        <f t="shared" ref="G40:G46" si="27">E40*F40</f>
        <v>99484</v>
      </c>
      <c r="H40" s="37">
        <v>2</v>
      </c>
      <c r="I40" s="438">
        <v>20</v>
      </c>
      <c r="J40" s="39">
        <v>2400</v>
      </c>
      <c r="K40" s="17">
        <f t="shared" si="1"/>
        <v>120</v>
      </c>
      <c r="L40" s="438">
        <v>20</v>
      </c>
      <c r="M40" s="18">
        <f t="shared" ref="M40:M46" si="28">F40/V40*60</f>
        <v>2303.030303030303</v>
      </c>
      <c r="N40" s="17">
        <f t="shared" si="3"/>
        <v>115.15151515151516</v>
      </c>
      <c r="O40" s="19">
        <f t="shared" si="4"/>
        <v>0</v>
      </c>
      <c r="P40" s="20">
        <f t="shared" si="5"/>
        <v>-4.8484848484848442</v>
      </c>
      <c r="Q40" s="430">
        <f t="shared" si="6"/>
        <v>0.95959595959595967</v>
      </c>
      <c r="R40" s="637">
        <f>Q47</f>
        <v>0.95692685706171288</v>
      </c>
      <c r="S40" s="40">
        <v>8.3333333333333329E-2</v>
      </c>
      <c r="T40" s="40">
        <v>0.15208333333333332</v>
      </c>
      <c r="U40" s="427"/>
      <c r="V40" s="439">
        <f t="shared" ref="V40:V46" si="29">(T40-S40)*24*60</f>
        <v>99</v>
      </c>
      <c r="W40" s="28">
        <f>T40</f>
        <v>0.15208333333333332</v>
      </c>
      <c r="X40" s="28">
        <f>S41</f>
        <v>0.1694444444444444</v>
      </c>
      <c r="Y40" s="28"/>
      <c r="Z40" s="28"/>
      <c r="AA40" s="632"/>
      <c r="AB40" s="632"/>
      <c r="AC40" s="25">
        <v>7</v>
      </c>
      <c r="AD40" s="25"/>
      <c r="AE40" s="19">
        <f t="shared" si="8"/>
        <v>-96.969696969696997</v>
      </c>
      <c r="AF40" s="430">
        <f t="shared" si="9"/>
        <v>0.95959595959595956</v>
      </c>
      <c r="AG40" s="637">
        <f>AF47</f>
        <v>0.95692685706171288</v>
      </c>
    </row>
    <row r="41" spans="1:33" ht="15.75" customHeight="1">
      <c r="A41" s="651" t="s">
        <v>311</v>
      </c>
      <c r="B41" s="42" t="s">
        <v>116</v>
      </c>
      <c r="C41" s="633" t="s">
        <v>147</v>
      </c>
      <c r="D41" s="633"/>
      <c r="E41" s="42">
        <v>25.98</v>
      </c>
      <c r="F41" s="440">
        <v>2651</v>
      </c>
      <c r="G41" s="427">
        <f t="shared" si="27"/>
        <v>68872.98</v>
      </c>
      <c r="H41" s="37" t="s">
        <v>91</v>
      </c>
      <c r="I41" s="438">
        <v>17</v>
      </c>
      <c r="J41" s="39">
        <v>2400</v>
      </c>
      <c r="K41" s="17">
        <f t="shared" si="1"/>
        <v>141.1764705882353</v>
      </c>
      <c r="L41" s="438">
        <v>17</v>
      </c>
      <c r="M41" s="18">
        <f t="shared" si="28"/>
        <v>2305.2173913043475</v>
      </c>
      <c r="N41" s="17">
        <f t="shared" si="3"/>
        <v>135.6010230179028</v>
      </c>
      <c r="O41" s="19">
        <f t="shared" si="4"/>
        <v>0</v>
      </c>
      <c r="P41" s="20">
        <f t="shared" si="5"/>
        <v>-5.5754475703324999</v>
      </c>
      <c r="Q41" s="430">
        <f t="shared" si="6"/>
        <v>0.96050724637681151</v>
      </c>
      <c r="R41" s="637"/>
      <c r="S41" s="40">
        <v>0.1694444444444444</v>
      </c>
      <c r="T41" s="40">
        <v>0.21736111111111106</v>
      </c>
      <c r="U41" s="427">
        <f t="shared" ref="U41:U46" si="30">(S41-T40)*24*60</f>
        <v>24.99999999999995</v>
      </c>
      <c r="V41" s="439">
        <f t="shared" si="29"/>
        <v>69</v>
      </c>
      <c r="W41" s="427"/>
      <c r="X41" s="427"/>
      <c r="Y41" s="427"/>
      <c r="Z41" s="427"/>
      <c r="AA41" s="632"/>
      <c r="AB41" s="632"/>
      <c r="AC41" s="25"/>
      <c r="AD41" s="25"/>
      <c r="AE41" s="19">
        <f t="shared" si="8"/>
        <v>-94.78260869565247</v>
      </c>
      <c r="AF41" s="430">
        <f t="shared" si="9"/>
        <v>0.96050724637681151</v>
      </c>
      <c r="AG41" s="637"/>
    </row>
    <row r="42" spans="1:33">
      <c r="A42" s="652" t="s">
        <v>311</v>
      </c>
      <c r="B42" s="42" t="s">
        <v>116</v>
      </c>
      <c r="C42" s="633" t="s">
        <v>119</v>
      </c>
      <c r="D42" s="633"/>
      <c r="E42" s="42">
        <v>26.18</v>
      </c>
      <c r="F42" s="440">
        <v>5400</v>
      </c>
      <c r="G42" s="427">
        <f t="shared" si="27"/>
        <v>141372</v>
      </c>
      <c r="H42" s="37">
        <v>2</v>
      </c>
      <c r="I42" s="438">
        <v>18</v>
      </c>
      <c r="J42" s="39">
        <v>2400</v>
      </c>
      <c r="K42" s="17">
        <f t="shared" si="1"/>
        <v>133.33333333333334</v>
      </c>
      <c r="L42" s="438">
        <v>18</v>
      </c>
      <c r="M42" s="18">
        <f t="shared" si="28"/>
        <v>2297.8723404255315</v>
      </c>
      <c r="N42" s="17">
        <f t="shared" si="3"/>
        <v>127.65957446808508</v>
      </c>
      <c r="O42" s="19">
        <f t="shared" si="4"/>
        <v>0</v>
      </c>
      <c r="P42" s="20">
        <f t="shared" si="5"/>
        <v>-5.67375886524826</v>
      </c>
      <c r="Q42" s="430">
        <f t="shared" si="6"/>
        <v>0.95744680851063801</v>
      </c>
      <c r="R42" s="637"/>
      <c r="S42" s="40">
        <v>0.22152777777777774</v>
      </c>
      <c r="T42" s="40">
        <v>0.31944444444444442</v>
      </c>
      <c r="U42" s="427">
        <f t="shared" si="30"/>
        <v>6.0000000000000187</v>
      </c>
      <c r="V42" s="439">
        <f t="shared" si="29"/>
        <v>141.00000000000003</v>
      </c>
      <c r="W42" s="427"/>
      <c r="X42" s="427"/>
      <c r="Y42" s="427"/>
      <c r="Z42" s="427"/>
      <c r="AA42" s="632"/>
      <c r="AB42" s="632"/>
      <c r="AC42" s="25"/>
      <c r="AD42" s="25"/>
      <c r="AE42" s="19">
        <f t="shared" si="8"/>
        <v>-102.12765957446845</v>
      </c>
      <c r="AF42" s="430">
        <f t="shared" si="9"/>
        <v>0.95744680851063813</v>
      </c>
      <c r="AG42" s="637"/>
    </row>
    <row r="43" spans="1:33">
      <c r="A43" s="652" t="s">
        <v>311</v>
      </c>
      <c r="B43" s="42" t="s">
        <v>116</v>
      </c>
      <c r="C43" s="633" t="s">
        <v>121</v>
      </c>
      <c r="D43" s="633"/>
      <c r="E43" s="42">
        <v>25.99</v>
      </c>
      <c r="F43" s="440">
        <v>4417</v>
      </c>
      <c r="G43" s="427">
        <f t="shared" si="27"/>
        <v>114797.82999999999</v>
      </c>
      <c r="H43" s="37" t="s">
        <v>91</v>
      </c>
      <c r="I43" s="438">
        <v>14</v>
      </c>
      <c r="J43" s="39">
        <v>2400</v>
      </c>
      <c r="K43" s="17">
        <f t="shared" si="1"/>
        <v>171.42857142857142</v>
      </c>
      <c r="L43" s="438">
        <v>14</v>
      </c>
      <c r="M43" s="18">
        <f t="shared" si="28"/>
        <v>2284.6551724137935</v>
      </c>
      <c r="N43" s="17">
        <f t="shared" si="3"/>
        <v>163.18965517241381</v>
      </c>
      <c r="O43" s="19">
        <f t="shared" si="4"/>
        <v>0</v>
      </c>
      <c r="P43" s="20">
        <f t="shared" si="5"/>
        <v>-8.2389162561576086</v>
      </c>
      <c r="Q43" s="430">
        <f t="shared" si="6"/>
        <v>0.95193965517241397</v>
      </c>
      <c r="R43" s="637"/>
      <c r="S43" s="40">
        <v>0.32291666666666663</v>
      </c>
      <c r="T43" s="40">
        <v>0.40347222222222218</v>
      </c>
      <c r="U43" s="427">
        <f t="shared" si="30"/>
        <v>4.9999999999999822</v>
      </c>
      <c r="V43" s="439">
        <f t="shared" si="29"/>
        <v>115.99999999999999</v>
      </c>
      <c r="W43" s="23"/>
      <c r="X43" s="23"/>
      <c r="Y43" s="23"/>
      <c r="Z43" s="23"/>
      <c r="AA43" s="632"/>
      <c r="AB43" s="632"/>
      <c r="AC43" s="25"/>
      <c r="AD43" s="25"/>
      <c r="AE43" s="19">
        <f t="shared" si="8"/>
        <v>-115.34482758620652</v>
      </c>
      <c r="AF43" s="430">
        <f t="shared" si="9"/>
        <v>0.95193965517241397</v>
      </c>
      <c r="AG43" s="637"/>
    </row>
    <row r="44" spans="1:33">
      <c r="A44" s="652" t="s">
        <v>311</v>
      </c>
      <c r="B44" s="42" t="s">
        <v>116</v>
      </c>
      <c r="C44" s="633" t="s">
        <v>126</v>
      </c>
      <c r="D44" s="633"/>
      <c r="E44" s="42">
        <v>34.1</v>
      </c>
      <c r="F44" s="440">
        <v>4000</v>
      </c>
      <c r="G44" s="427">
        <f t="shared" si="27"/>
        <v>136400</v>
      </c>
      <c r="H44" s="37">
        <v>2</v>
      </c>
      <c r="I44" s="438">
        <v>17</v>
      </c>
      <c r="J44" s="39">
        <v>1600</v>
      </c>
      <c r="K44" s="17">
        <f t="shared" si="1"/>
        <v>94.117647058823536</v>
      </c>
      <c r="L44" s="438">
        <v>17</v>
      </c>
      <c r="M44" s="18">
        <f t="shared" si="28"/>
        <v>1528.6624203821657</v>
      </c>
      <c r="N44" s="17">
        <f t="shared" si="3"/>
        <v>89.92131884600974</v>
      </c>
      <c r="O44" s="19">
        <f t="shared" si="4"/>
        <v>0</v>
      </c>
      <c r="P44" s="20">
        <f t="shared" si="5"/>
        <v>-4.1963282128137962</v>
      </c>
      <c r="Q44" s="430">
        <f t="shared" si="6"/>
        <v>0.9554140127388534</v>
      </c>
      <c r="R44" s="637"/>
      <c r="S44" s="40">
        <v>0.40763888888888883</v>
      </c>
      <c r="T44" s="40">
        <v>0.51666666666666661</v>
      </c>
      <c r="U44" s="427">
        <f t="shared" si="30"/>
        <v>5.9999999999999787</v>
      </c>
      <c r="V44" s="439">
        <f t="shared" si="29"/>
        <v>157</v>
      </c>
      <c r="W44" s="23">
        <f>T44</f>
        <v>0.51666666666666661</v>
      </c>
      <c r="X44" s="23">
        <f>S45</f>
        <v>0.55694444444444435</v>
      </c>
      <c r="Y44" s="23"/>
      <c r="Z44" s="23"/>
      <c r="AA44" s="632"/>
      <c r="AB44" s="632"/>
      <c r="AC44" s="25"/>
      <c r="AD44" s="25"/>
      <c r="AE44" s="19">
        <f t="shared" si="8"/>
        <v>-71.337579617834308</v>
      </c>
      <c r="AF44" s="430">
        <f t="shared" si="9"/>
        <v>0.95541401273885351</v>
      </c>
      <c r="AG44" s="637"/>
    </row>
    <row r="45" spans="1:33">
      <c r="A45" s="652" t="s">
        <v>2243</v>
      </c>
      <c r="B45" s="42" t="s">
        <v>116</v>
      </c>
      <c r="C45" s="633" t="s">
        <v>119</v>
      </c>
      <c r="D45" s="633"/>
      <c r="E45" s="42">
        <v>26.18</v>
      </c>
      <c r="F45" s="440">
        <v>4292</v>
      </c>
      <c r="G45" s="427">
        <f t="shared" si="27"/>
        <v>112364.56</v>
      </c>
      <c r="H45" s="37" t="s">
        <v>91</v>
      </c>
      <c r="I45" s="438">
        <v>18</v>
      </c>
      <c r="J45" s="39">
        <v>2400</v>
      </c>
      <c r="K45" s="17">
        <f t="shared" si="1"/>
        <v>133.33333333333334</v>
      </c>
      <c r="L45" s="438">
        <v>18</v>
      </c>
      <c r="M45" s="18">
        <f t="shared" si="28"/>
        <v>2299.2857142857124</v>
      </c>
      <c r="N45" s="17">
        <f t="shared" si="3"/>
        <v>127.73809523809513</v>
      </c>
      <c r="O45" s="19">
        <f t="shared" si="4"/>
        <v>0</v>
      </c>
      <c r="P45" s="20">
        <f t="shared" si="5"/>
        <v>-5.5952380952382157</v>
      </c>
      <c r="Q45" s="430">
        <f t="shared" si="6"/>
        <v>0.95803571428571344</v>
      </c>
      <c r="R45" s="637"/>
      <c r="S45" s="40">
        <v>0.55694444444444435</v>
      </c>
      <c r="T45" s="40">
        <v>0.63472222222222219</v>
      </c>
      <c r="U45" s="427">
        <f t="shared" si="30"/>
        <v>57.999999999999957</v>
      </c>
      <c r="V45" s="439">
        <f t="shared" si="29"/>
        <v>112.00000000000009</v>
      </c>
      <c r="W45" s="23"/>
      <c r="X45" s="23"/>
      <c r="Y45" s="23"/>
      <c r="Z45" s="23"/>
      <c r="AA45" s="632"/>
      <c r="AB45" s="632"/>
      <c r="AC45" s="25"/>
      <c r="AD45" s="25"/>
      <c r="AE45" s="19">
        <f t="shared" si="8"/>
        <v>-100.7142857142876</v>
      </c>
      <c r="AF45" s="430">
        <f t="shared" si="9"/>
        <v>0.95803571428571355</v>
      </c>
      <c r="AG45" s="637"/>
    </row>
    <row r="46" spans="1:33">
      <c r="A46" s="652" t="s">
        <v>2243</v>
      </c>
      <c r="B46" s="42" t="s">
        <v>116</v>
      </c>
      <c r="C46" s="633" t="s">
        <v>126</v>
      </c>
      <c r="D46" s="633"/>
      <c r="E46" s="42">
        <v>34.1</v>
      </c>
      <c r="F46" s="440">
        <v>3333</v>
      </c>
      <c r="G46" s="427">
        <f t="shared" si="27"/>
        <v>113655.3</v>
      </c>
      <c r="H46" s="37" t="s">
        <v>91</v>
      </c>
      <c r="I46" s="438">
        <v>17</v>
      </c>
      <c r="J46" s="39">
        <v>1600</v>
      </c>
      <c r="K46" s="17">
        <f t="shared" si="1"/>
        <v>94.117647058823536</v>
      </c>
      <c r="L46" s="438">
        <v>17</v>
      </c>
      <c r="M46" s="18">
        <f t="shared" si="28"/>
        <v>1526.5648854961833</v>
      </c>
      <c r="N46" s="17">
        <f t="shared" si="3"/>
        <v>89.797934440951963</v>
      </c>
      <c r="O46" s="19">
        <f t="shared" si="4"/>
        <v>0</v>
      </c>
      <c r="P46" s="20">
        <f t="shared" si="5"/>
        <v>-4.3197126178715735</v>
      </c>
      <c r="Q46" s="430">
        <f t="shared" si="6"/>
        <v>0.95410305343511459</v>
      </c>
      <c r="R46" s="637"/>
      <c r="S46" s="40">
        <v>0.64027777777777772</v>
      </c>
      <c r="T46" s="40">
        <v>0.73124999999999996</v>
      </c>
      <c r="U46" s="427">
        <f t="shared" si="30"/>
        <v>7.9999999999999716</v>
      </c>
      <c r="V46" s="439">
        <f t="shared" si="29"/>
        <v>131</v>
      </c>
      <c r="W46" s="23"/>
      <c r="X46" s="23"/>
      <c r="Y46" s="26"/>
      <c r="Z46" s="26"/>
      <c r="AA46" s="627"/>
      <c r="AB46" s="628"/>
      <c r="AC46" s="25"/>
      <c r="AD46" s="25"/>
      <c r="AE46" s="19">
        <f t="shared" si="8"/>
        <v>-73.435114503816749</v>
      </c>
      <c r="AF46" s="430">
        <f t="shared" si="9"/>
        <v>0.95410305343511448</v>
      </c>
      <c r="AG46" s="637"/>
    </row>
    <row r="47" spans="1:33">
      <c r="A47" s="652" t="s">
        <v>2243</v>
      </c>
      <c r="B47" s="44" t="s">
        <v>52</v>
      </c>
      <c r="C47" s="638"/>
      <c r="D47" s="638"/>
      <c r="E47" s="433"/>
      <c r="F47" s="44"/>
      <c r="G47" s="17"/>
      <c r="H47" s="440"/>
      <c r="I47" s="29">
        <v>17.285714285714285</v>
      </c>
      <c r="J47" s="39">
        <v>2171.4285714285716</v>
      </c>
      <c r="K47" s="17">
        <f t="shared" si="1"/>
        <v>125.61983471074382</v>
      </c>
      <c r="L47" s="29">
        <v>17.285714285714285</v>
      </c>
      <c r="M47" s="18">
        <f>AVERAGE(M40:M46)</f>
        <v>2077.8983181911481</v>
      </c>
      <c r="N47" s="17">
        <f t="shared" si="3"/>
        <v>120.20899361436395</v>
      </c>
      <c r="O47" s="19">
        <f t="shared" si="4"/>
        <v>0</v>
      </c>
      <c r="P47" s="20">
        <f t="shared" si="5"/>
        <v>-5.410841096379869</v>
      </c>
      <c r="Q47" s="430">
        <f t="shared" si="6"/>
        <v>0.95692685706171288</v>
      </c>
      <c r="R47" s="637"/>
      <c r="S47" s="40"/>
      <c r="T47" s="40"/>
      <c r="U47" s="17"/>
      <c r="V47" s="439"/>
      <c r="W47" s="17"/>
      <c r="X47" s="17"/>
      <c r="Y47" s="30">
        <f>SUM(Y40:Y46)</f>
        <v>0</v>
      </c>
      <c r="Z47" s="30">
        <f>SUM(Z40:Z46)</f>
        <v>0</v>
      </c>
      <c r="AA47" s="631"/>
      <c r="AB47" s="631"/>
      <c r="AC47" s="30">
        <v>7</v>
      </c>
      <c r="AD47" s="30">
        <f>SUM(AD40:AD46)</f>
        <v>0</v>
      </c>
      <c r="AE47" s="19">
        <f t="shared" si="8"/>
        <v>-93.530253237423494</v>
      </c>
      <c r="AF47" s="430">
        <f t="shared" si="9"/>
        <v>0.95692685706171288</v>
      </c>
      <c r="AG47" s="637"/>
    </row>
    <row r="48" spans="1:33" ht="15.75" customHeight="1">
      <c r="A48" s="648" t="s">
        <v>2244</v>
      </c>
      <c r="B48" s="42" t="s">
        <v>127</v>
      </c>
      <c r="C48" s="625" t="s">
        <v>128</v>
      </c>
      <c r="D48" s="626"/>
      <c r="E48" s="42">
        <v>21.13</v>
      </c>
      <c r="F48" s="440">
        <v>6189</v>
      </c>
      <c r="G48" s="427">
        <f t="shared" ref="G48:G51" si="31">E48*F48</f>
        <v>130773.56999999999</v>
      </c>
      <c r="H48" s="37" t="s">
        <v>91</v>
      </c>
      <c r="I48" s="438">
        <v>10</v>
      </c>
      <c r="J48" s="39">
        <v>3000</v>
      </c>
      <c r="K48" s="17">
        <f t="shared" si="1"/>
        <v>300</v>
      </c>
      <c r="L48" s="438">
        <v>10</v>
      </c>
      <c r="M48" s="18">
        <f t="shared" ref="M48:M51" si="32">F48/V48*60</f>
        <v>2856.461538461539</v>
      </c>
      <c r="N48" s="18">
        <f t="shared" si="3"/>
        <v>285.64615384615388</v>
      </c>
      <c r="O48" s="19">
        <f t="shared" si="4"/>
        <v>0</v>
      </c>
      <c r="P48" s="20">
        <f t="shared" si="5"/>
        <v>-14.353846153846121</v>
      </c>
      <c r="Q48" s="430">
        <f t="shared" si="6"/>
        <v>0.95215384615384624</v>
      </c>
      <c r="R48" s="643">
        <f>Q52</f>
        <v>0.95150874125874074</v>
      </c>
      <c r="S48" s="40">
        <v>0.20833333333333334</v>
      </c>
      <c r="T48" s="40">
        <v>0.2986111111111111</v>
      </c>
      <c r="U48" s="28"/>
      <c r="V48" s="439">
        <f t="shared" ref="V48:V51" si="33">(T48-S48)*24*60</f>
        <v>129.99999999999997</v>
      </c>
      <c r="W48" s="23"/>
      <c r="X48" s="23"/>
      <c r="Y48" s="26"/>
      <c r="Z48" s="26"/>
      <c r="AA48" s="627"/>
      <c r="AB48" s="628"/>
      <c r="AC48" s="25">
        <v>4</v>
      </c>
      <c r="AD48" s="25"/>
      <c r="AE48" s="19">
        <f t="shared" si="8"/>
        <v>-143.53846153846098</v>
      </c>
      <c r="AF48" s="430">
        <f t="shared" si="9"/>
        <v>0.95215384615384635</v>
      </c>
      <c r="AG48" s="643">
        <f>AF52</f>
        <v>0.95150874125874074</v>
      </c>
    </row>
    <row r="49" spans="1:33" ht="15.75" customHeight="1">
      <c r="A49" s="649" t="s">
        <v>2244</v>
      </c>
      <c r="B49" s="42" t="s">
        <v>127</v>
      </c>
      <c r="C49" s="625" t="s">
        <v>129</v>
      </c>
      <c r="D49" s="626"/>
      <c r="E49" s="42">
        <v>27.17</v>
      </c>
      <c r="F49" s="440">
        <v>5240</v>
      </c>
      <c r="G49" s="427">
        <f t="shared" si="31"/>
        <v>142370.80000000002</v>
      </c>
      <c r="H49" s="37" t="s">
        <v>91</v>
      </c>
      <c r="I49" s="438">
        <v>10</v>
      </c>
      <c r="J49" s="39">
        <v>3000</v>
      </c>
      <c r="K49" s="17">
        <f t="shared" si="1"/>
        <v>300</v>
      </c>
      <c r="L49" s="438">
        <v>10</v>
      </c>
      <c r="M49" s="18">
        <f t="shared" si="32"/>
        <v>2858.181818181818</v>
      </c>
      <c r="N49" s="18">
        <f t="shared" si="3"/>
        <v>285.81818181818181</v>
      </c>
      <c r="O49" s="19">
        <f t="shared" si="4"/>
        <v>0</v>
      </c>
      <c r="P49" s="20">
        <f t="shared" si="5"/>
        <v>-14.181818181818187</v>
      </c>
      <c r="Q49" s="430">
        <f t="shared" si="6"/>
        <v>0.95272727272727276</v>
      </c>
      <c r="R49" s="644"/>
      <c r="S49" s="40">
        <v>0.30277777777777776</v>
      </c>
      <c r="T49" s="40">
        <v>0.37916666666666665</v>
      </c>
      <c r="U49" s="427">
        <f t="shared" ref="U49:U51" si="34">(S49-T48)*24*60</f>
        <v>5.9999999999999787</v>
      </c>
      <c r="V49" s="439">
        <f t="shared" si="33"/>
        <v>110.00000000000001</v>
      </c>
      <c r="W49" s="23"/>
      <c r="X49" s="23"/>
      <c r="Y49" s="26"/>
      <c r="Z49" s="26"/>
      <c r="AA49" s="627"/>
      <c r="AB49" s="628"/>
      <c r="AC49" s="25"/>
      <c r="AD49" s="25"/>
      <c r="AE49" s="19">
        <f t="shared" si="8"/>
        <v>-141.81818181818198</v>
      </c>
      <c r="AF49" s="430">
        <f t="shared" si="9"/>
        <v>0.95272727272727264</v>
      </c>
      <c r="AG49" s="644"/>
    </row>
    <row r="50" spans="1:33" ht="15.75" customHeight="1">
      <c r="A50" s="649" t="s">
        <v>71</v>
      </c>
      <c r="B50" s="42" t="s">
        <v>127</v>
      </c>
      <c r="C50" s="625" t="s">
        <v>144</v>
      </c>
      <c r="D50" s="626"/>
      <c r="E50" s="42">
        <v>35.869999999999997</v>
      </c>
      <c r="F50" s="440">
        <v>3438</v>
      </c>
      <c r="G50" s="427">
        <f t="shared" si="31"/>
        <v>123321.06</v>
      </c>
      <c r="H50" s="37" t="s">
        <v>91</v>
      </c>
      <c r="I50" s="438">
        <v>10</v>
      </c>
      <c r="J50" s="39">
        <v>3000</v>
      </c>
      <c r="K50" s="17">
        <f t="shared" si="1"/>
        <v>300</v>
      </c>
      <c r="L50" s="438">
        <v>10</v>
      </c>
      <c r="M50" s="18">
        <f t="shared" si="32"/>
        <v>2865.0000000000005</v>
      </c>
      <c r="N50" s="18">
        <f t="shared" si="3"/>
        <v>286.50000000000006</v>
      </c>
      <c r="O50" s="19">
        <f t="shared" si="4"/>
        <v>0</v>
      </c>
      <c r="P50" s="20">
        <f t="shared" si="5"/>
        <v>-13.499999999999943</v>
      </c>
      <c r="Q50" s="430">
        <f t="shared" si="6"/>
        <v>0.95500000000000018</v>
      </c>
      <c r="R50" s="644"/>
      <c r="S50" s="40">
        <v>0.38402777777777775</v>
      </c>
      <c r="T50" s="40">
        <v>0.43402777777777773</v>
      </c>
      <c r="U50" s="427">
        <f t="shared" si="34"/>
        <v>6.9999999999999751</v>
      </c>
      <c r="V50" s="439">
        <f t="shared" si="33"/>
        <v>71.999999999999986</v>
      </c>
      <c r="W50" s="23"/>
      <c r="X50" s="23"/>
      <c r="Y50" s="26"/>
      <c r="Z50" s="26"/>
      <c r="AA50" s="627"/>
      <c r="AB50" s="628"/>
      <c r="AC50" s="25"/>
      <c r="AD50" s="25"/>
      <c r="AE50" s="19">
        <f t="shared" si="8"/>
        <v>-134.99999999999955</v>
      </c>
      <c r="AF50" s="430">
        <f t="shared" si="9"/>
        <v>0.95500000000000018</v>
      </c>
      <c r="AG50" s="644"/>
    </row>
    <row r="51" spans="1:33" ht="15.75" customHeight="1">
      <c r="A51" s="649" t="s">
        <v>71</v>
      </c>
      <c r="B51" s="42" t="s">
        <v>127</v>
      </c>
      <c r="C51" s="625" t="s">
        <v>131</v>
      </c>
      <c r="D51" s="626"/>
      <c r="E51" s="42">
        <v>34.35</v>
      </c>
      <c r="F51" s="440">
        <v>615</v>
      </c>
      <c r="G51" s="427">
        <f t="shared" si="31"/>
        <v>21125.25</v>
      </c>
      <c r="H51" s="37" t="s">
        <v>91</v>
      </c>
      <c r="I51" s="438">
        <v>8</v>
      </c>
      <c r="J51" s="39">
        <v>3000</v>
      </c>
      <c r="K51" s="17">
        <f t="shared" si="1"/>
        <v>375</v>
      </c>
      <c r="L51" s="438">
        <v>8</v>
      </c>
      <c r="M51" s="18">
        <f t="shared" si="32"/>
        <v>2838.4615384615313</v>
      </c>
      <c r="N51" s="18">
        <f t="shared" si="3"/>
        <v>354.80769230769141</v>
      </c>
      <c r="O51" s="19">
        <f t="shared" si="4"/>
        <v>0</v>
      </c>
      <c r="P51" s="20">
        <f t="shared" si="5"/>
        <v>-20.192307692308589</v>
      </c>
      <c r="Q51" s="430">
        <f t="shared" si="6"/>
        <v>0.94615384615384379</v>
      </c>
      <c r="R51" s="644"/>
      <c r="S51" s="40">
        <v>0.43819444444444439</v>
      </c>
      <c r="T51" s="40">
        <v>0.44722222222222219</v>
      </c>
      <c r="U51" s="427">
        <f t="shared" si="34"/>
        <v>5.9999999999999787</v>
      </c>
      <c r="V51" s="439">
        <f t="shared" si="33"/>
        <v>13.000000000000034</v>
      </c>
      <c r="W51" s="23"/>
      <c r="X51" s="23"/>
      <c r="Y51" s="26"/>
      <c r="Z51" s="26"/>
      <c r="AA51" s="627"/>
      <c r="AB51" s="628"/>
      <c r="AC51" s="25"/>
      <c r="AD51" s="25"/>
      <c r="AE51" s="19">
        <f t="shared" si="8"/>
        <v>-161.53846153846871</v>
      </c>
      <c r="AF51" s="430">
        <f t="shared" si="9"/>
        <v>0.94615384615384379</v>
      </c>
      <c r="AG51" s="644"/>
    </row>
    <row r="52" spans="1:33" ht="15.75" customHeight="1">
      <c r="A52" s="650" t="s">
        <v>2244</v>
      </c>
      <c r="B52" s="42" t="s">
        <v>2235</v>
      </c>
      <c r="C52" s="629"/>
      <c r="D52" s="630"/>
      <c r="E52" s="428"/>
      <c r="F52" s="440"/>
      <c r="G52" s="427"/>
      <c r="H52" s="440"/>
      <c r="I52" s="29">
        <v>9.5</v>
      </c>
      <c r="J52" s="39">
        <v>3000</v>
      </c>
      <c r="K52" s="17">
        <f t="shared" si="1"/>
        <v>315.78947368421052</v>
      </c>
      <c r="L52" s="29">
        <v>9.5</v>
      </c>
      <c r="M52" s="18">
        <f>AVERAGE(M48:M51)</f>
        <v>2854.5262237762222</v>
      </c>
      <c r="N52" s="17">
        <f t="shared" si="3"/>
        <v>300.47644460802337</v>
      </c>
      <c r="O52" s="19">
        <f t="shared" si="4"/>
        <v>0</v>
      </c>
      <c r="P52" s="20">
        <f t="shared" si="5"/>
        <v>-15.313029076187149</v>
      </c>
      <c r="Q52" s="430">
        <f t="shared" si="6"/>
        <v>0.95150874125874074</v>
      </c>
      <c r="R52" s="645"/>
      <c r="S52" s="40"/>
      <c r="T52" s="40"/>
      <c r="U52" s="427"/>
      <c r="V52" s="439"/>
      <c r="W52" s="23"/>
      <c r="X52" s="23"/>
      <c r="Y52" s="30">
        <f>SUM(Y48:Y51)</f>
        <v>0</v>
      </c>
      <c r="Z52" s="30">
        <f>SUM(Z48:Z51)</f>
        <v>0</v>
      </c>
      <c r="AA52" s="646"/>
      <c r="AB52" s="647"/>
      <c r="AC52" s="30">
        <v>4</v>
      </c>
      <c r="AD52" s="30">
        <f>SUM(AD48:AD51)</f>
        <v>0</v>
      </c>
      <c r="AE52" s="19">
        <f t="shared" si="8"/>
        <v>-145.4737762237778</v>
      </c>
      <c r="AF52" s="430">
        <f t="shared" si="9"/>
        <v>0.95150874125874074</v>
      </c>
      <c r="AG52" s="645"/>
    </row>
    <row r="53" spans="1:33" ht="15.75" customHeight="1">
      <c r="A53" s="641" t="s">
        <v>76</v>
      </c>
      <c r="B53" s="42" t="s">
        <v>92</v>
      </c>
      <c r="C53" s="633" t="s">
        <v>133</v>
      </c>
      <c r="D53" s="633"/>
      <c r="E53" s="42">
        <v>59.04</v>
      </c>
      <c r="F53" s="48">
        <v>1387</v>
      </c>
      <c r="G53" s="427">
        <f t="shared" ref="G53:G60" si="35">E53*F53</f>
        <v>81888.479999999996</v>
      </c>
      <c r="H53" s="37" t="s">
        <v>91</v>
      </c>
      <c r="I53" s="438">
        <v>19</v>
      </c>
      <c r="J53" s="39">
        <v>2000</v>
      </c>
      <c r="K53" s="17">
        <f t="shared" si="1"/>
        <v>105.26315789473684</v>
      </c>
      <c r="L53" s="438">
        <v>19</v>
      </c>
      <c r="M53" s="18">
        <f t="shared" ref="M53" si="36">F53/V53*60</f>
        <v>1935.3488372093018</v>
      </c>
      <c r="N53" s="18">
        <f t="shared" si="3"/>
        <v>101.86046511627904</v>
      </c>
      <c r="O53" s="19">
        <f t="shared" si="4"/>
        <v>0</v>
      </c>
      <c r="P53" s="20">
        <f t="shared" si="5"/>
        <v>-3.4026927784577907</v>
      </c>
      <c r="Q53" s="430">
        <f t="shared" si="6"/>
        <v>0.96767441860465098</v>
      </c>
      <c r="R53" s="637">
        <f>Q61</f>
        <v>0.96018750307438672</v>
      </c>
      <c r="S53" s="40">
        <v>0.20833333333333334</v>
      </c>
      <c r="T53" s="40">
        <v>0.23819444444444446</v>
      </c>
      <c r="U53" s="28"/>
      <c r="V53" s="439">
        <f t="shared" ref="V53:V60" si="37">(T53-S53)*24*60</f>
        <v>43.000000000000007</v>
      </c>
      <c r="W53" s="23"/>
      <c r="X53" s="23"/>
      <c r="Y53" s="28"/>
      <c r="Z53" s="28"/>
      <c r="AA53" s="632"/>
      <c r="AB53" s="632"/>
      <c r="AC53" s="25">
        <v>8</v>
      </c>
      <c r="AD53" s="25"/>
      <c r="AE53" s="19">
        <f t="shared" si="8"/>
        <v>-64.651162790698208</v>
      </c>
      <c r="AF53" s="430">
        <f t="shared" si="9"/>
        <v>0.96767441860465087</v>
      </c>
      <c r="AG53" s="637">
        <f>AF61</f>
        <v>0.96018750307438672</v>
      </c>
    </row>
    <row r="54" spans="1:33" ht="15.75" customHeight="1">
      <c r="A54" s="641" t="s">
        <v>76</v>
      </c>
      <c r="B54" s="42" t="s">
        <v>103</v>
      </c>
      <c r="C54" s="633" t="s">
        <v>132</v>
      </c>
      <c r="D54" s="633"/>
      <c r="E54" s="42">
        <v>51.44</v>
      </c>
      <c r="F54" s="48">
        <v>4457</v>
      </c>
      <c r="G54" s="427">
        <f t="shared" si="35"/>
        <v>229268.08</v>
      </c>
      <c r="H54" s="37" t="s">
        <v>91</v>
      </c>
      <c r="I54" s="438">
        <v>18</v>
      </c>
      <c r="J54" s="39">
        <v>2000</v>
      </c>
      <c r="K54" s="17">
        <f t="shared" si="1"/>
        <v>111.11111111111111</v>
      </c>
      <c r="L54" s="438">
        <v>18</v>
      </c>
      <c r="M54" s="18">
        <f>F54/V54*60</f>
        <v>1910.1428571428576</v>
      </c>
      <c r="N54" s="18">
        <f t="shared" si="3"/>
        <v>106.11904761904765</v>
      </c>
      <c r="O54" s="19">
        <f t="shared" si="4"/>
        <v>0</v>
      </c>
      <c r="P54" s="20">
        <f t="shared" si="5"/>
        <v>-4.9920634920634654</v>
      </c>
      <c r="Q54" s="430">
        <f t="shared" si="6"/>
        <v>0.95507142857142879</v>
      </c>
      <c r="R54" s="637"/>
      <c r="S54" s="40">
        <v>0.24236111111111114</v>
      </c>
      <c r="T54" s="40">
        <v>0.33958333333333335</v>
      </c>
      <c r="U54" s="427">
        <f t="shared" ref="U54:U60" si="38">IF(S54=TIME(17,0,0),"",(S54-T53)*24*60)</f>
        <v>6.0000000000000187</v>
      </c>
      <c r="V54" s="439">
        <f t="shared" si="37"/>
        <v>139.99999999999997</v>
      </c>
      <c r="W54" s="23"/>
      <c r="X54" s="23"/>
      <c r="Y54" s="23"/>
      <c r="Z54" s="23"/>
      <c r="AA54" s="632"/>
      <c r="AB54" s="632"/>
      <c r="AC54" s="25"/>
      <c r="AD54" s="25"/>
      <c r="AE54" s="19">
        <f t="shared" si="8"/>
        <v>-89.857142857142435</v>
      </c>
      <c r="AF54" s="430">
        <f t="shared" si="9"/>
        <v>0.95507142857142879</v>
      </c>
      <c r="AG54" s="637"/>
    </row>
    <row r="55" spans="1:33" ht="15.75" customHeight="1">
      <c r="A55" s="641" t="s">
        <v>76</v>
      </c>
      <c r="B55" s="42" t="s">
        <v>92</v>
      </c>
      <c r="C55" s="625" t="s">
        <v>135</v>
      </c>
      <c r="D55" s="626"/>
      <c r="E55" s="42">
        <v>51.44</v>
      </c>
      <c r="F55" s="48">
        <v>1816</v>
      </c>
      <c r="G55" s="427">
        <f t="shared" si="35"/>
        <v>93415.039999999994</v>
      </c>
      <c r="H55" s="37" t="s">
        <v>91</v>
      </c>
      <c r="I55" s="438">
        <v>25</v>
      </c>
      <c r="J55" s="39">
        <v>2000</v>
      </c>
      <c r="K55" s="17">
        <f t="shared" si="1"/>
        <v>80</v>
      </c>
      <c r="L55" s="438">
        <v>25</v>
      </c>
      <c r="M55" s="18">
        <f t="shared" ref="M55:M60" si="39">F55/V55*60</f>
        <v>1911.5789473684226</v>
      </c>
      <c r="N55" s="18">
        <f t="shared" si="3"/>
        <v>76.463157894736909</v>
      </c>
      <c r="O55" s="19">
        <f t="shared" si="4"/>
        <v>0</v>
      </c>
      <c r="P55" s="20">
        <f t="shared" si="5"/>
        <v>-3.5368421052630907</v>
      </c>
      <c r="Q55" s="430">
        <f t="shared" si="6"/>
        <v>0.95578947368421141</v>
      </c>
      <c r="R55" s="637"/>
      <c r="S55" s="40">
        <v>0.34375</v>
      </c>
      <c r="T55" s="40">
        <v>0.3833333333333333</v>
      </c>
      <c r="U55" s="427">
        <f t="shared" si="38"/>
        <v>5.9999999999999787</v>
      </c>
      <c r="V55" s="439">
        <f t="shared" si="37"/>
        <v>56.999999999999957</v>
      </c>
      <c r="W55" s="23"/>
      <c r="X55" s="23"/>
      <c r="Y55" s="26"/>
      <c r="Z55" s="26"/>
      <c r="AA55" s="632"/>
      <c r="AB55" s="632"/>
      <c r="AC55" s="25"/>
      <c r="AD55" s="25"/>
      <c r="AE55" s="19">
        <f t="shared" si="8"/>
        <v>-88.421052631577368</v>
      </c>
      <c r="AF55" s="430">
        <f t="shared" si="9"/>
        <v>0.9557894736842113</v>
      </c>
      <c r="AG55" s="637"/>
    </row>
    <row r="56" spans="1:33" ht="15.75" customHeight="1">
      <c r="A56" s="641" t="s">
        <v>76</v>
      </c>
      <c r="B56" s="42" t="s">
        <v>96</v>
      </c>
      <c r="C56" s="431" t="s">
        <v>136</v>
      </c>
      <c r="D56" s="432"/>
      <c r="E56" s="42">
        <v>46</v>
      </c>
      <c r="F56" s="48">
        <v>1553</v>
      </c>
      <c r="G56" s="427">
        <f t="shared" si="35"/>
        <v>71438</v>
      </c>
      <c r="H56" s="37" t="s">
        <v>91</v>
      </c>
      <c r="I56" s="438">
        <v>16</v>
      </c>
      <c r="J56" s="39">
        <v>2000</v>
      </c>
      <c r="K56" s="17">
        <f t="shared" si="1"/>
        <v>125</v>
      </c>
      <c r="L56" s="438">
        <v>16</v>
      </c>
      <c r="M56" s="18">
        <f t="shared" si="39"/>
        <v>1901.632653061225</v>
      </c>
      <c r="N56" s="18">
        <f t="shared" si="3"/>
        <v>118.85204081632656</v>
      </c>
      <c r="O56" s="19">
        <f t="shared" si="4"/>
        <v>0</v>
      </c>
      <c r="P56" s="20">
        <f t="shared" si="5"/>
        <v>-6.1479591836734357</v>
      </c>
      <c r="Q56" s="430">
        <f t="shared" si="6"/>
        <v>0.95081632653061254</v>
      </c>
      <c r="R56" s="637"/>
      <c r="S56" s="40">
        <v>0.3881944444444444</v>
      </c>
      <c r="T56" s="40">
        <v>0.42222222222222217</v>
      </c>
      <c r="U56" s="427">
        <f t="shared" si="38"/>
        <v>6.9999999999999751</v>
      </c>
      <c r="V56" s="439">
        <f t="shared" si="37"/>
        <v>48.999999999999986</v>
      </c>
      <c r="W56" s="23"/>
      <c r="X56" s="23"/>
      <c r="Y56" s="26"/>
      <c r="Z56" s="26"/>
      <c r="AA56" s="632"/>
      <c r="AB56" s="632"/>
      <c r="AC56" s="25"/>
      <c r="AD56" s="25"/>
      <c r="AE56" s="19">
        <f t="shared" si="8"/>
        <v>-98.367346938774972</v>
      </c>
      <c r="AF56" s="430">
        <f t="shared" si="9"/>
        <v>0.95081632653061254</v>
      </c>
      <c r="AG56" s="637"/>
    </row>
    <row r="57" spans="1:33" ht="15.75" customHeight="1">
      <c r="A57" s="641" t="s">
        <v>76</v>
      </c>
      <c r="B57" s="42" t="s">
        <v>96</v>
      </c>
      <c r="C57" s="431" t="s">
        <v>137</v>
      </c>
      <c r="D57" s="432"/>
      <c r="E57" s="42">
        <v>46</v>
      </c>
      <c r="F57" s="48">
        <v>1617</v>
      </c>
      <c r="G57" s="427">
        <f t="shared" si="35"/>
        <v>74382</v>
      </c>
      <c r="H57" s="37" t="s">
        <v>91</v>
      </c>
      <c r="I57" s="438">
        <v>17</v>
      </c>
      <c r="J57" s="39">
        <v>2000</v>
      </c>
      <c r="K57" s="17">
        <f t="shared" si="1"/>
        <v>117.64705882352941</v>
      </c>
      <c r="L57" s="438">
        <v>17</v>
      </c>
      <c r="M57" s="18">
        <f t="shared" si="39"/>
        <v>1940.4000000000005</v>
      </c>
      <c r="N57" s="18">
        <f t="shared" si="3"/>
        <v>114.14117647058826</v>
      </c>
      <c r="O57" s="19">
        <f t="shared" si="4"/>
        <v>0</v>
      </c>
      <c r="P57" s="20">
        <f t="shared" si="5"/>
        <v>-3.5058823529411427</v>
      </c>
      <c r="Q57" s="430">
        <f t="shared" si="6"/>
        <v>0.97020000000000028</v>
      </c>
      <c r="R57" s="637"/>
      <c r="S57" s="40">
        <v>0.42638888888888882</v>
      </c>
      <c r="T57" s="40">
        <v>0.46111111111111103</v>
      </c>
      <c r="U57" s="427">
        <f t="shared" si="38"/>
        <v>5.9999999999999787</v>
      </c>
      <c r="V57" s="439">
        <f t="shared" si="37"/>
        <v>49.999999999999986</v>
      </c>
      <c r="W57" s="23"/>
      <c r="X57" s="23"/>
      <c r="Y57" s="26"/>
      <c r="Z57" s="26"/>
      <c r="AA57" s="632"/>
      <c r="AB57" s="632"/>
      <c r="AC57" s="25"/>
      <c r="AD57" s="25"/>
      <c r="AE57" s="19">
        <f t="shared" si="8"/>
        <v>-59.599999999999454</v>
      </c>
      <c r="AF57" s="430">
        <f t="shared" si="9"/>
        <v>0.97020000000000028</v>
      </c>
      <c r="AG57" s="637"/>
    </row>
    <row r="58" spans="1:33" ht="15.75" customHeight="1">
      <c r="A58" s="641" t="s">
        <v>2245</v>
      </c>
      <c r="B58" s="42" t="s">
        <v>92</v>
      </c>
      <c r="C58" s="625" t="s">
        <v>138</v>
      </c>
      <c r="D58" s="626"/>
      <c r="E58" s="42">
        <v>55.56</v>
      </c>
      <c r="F58" s="48">
        <v>2888</v>
      </c>
      <c r="G58" s="427">
        <f t="shared" si="35"/>
        <v>160457.28</v>
      </c>
      <c r="H58" s="37" t="s">
        <v>91</v>
      </c>
      <c r="I58" s="438">
        <v>17</v>
      </c>
      <c r="J58" s="39">
        <v>2000</v>
      </c>
      <c r="K58" s="17">
        <f t="shared" si="1"/>
        <v>117.64705882352941</v>
      </c>
      <c r="L58" s="438">
        <v>17</v>
      </c>
      <c r="M58" s="18">
        <f t="shared" si="39"/>
        <v>1904.1758241758243</v>
      </c>
      <c r="N58" s="18">
        <f t="shared" si="3"/>
        <v>112.01034259857791</v>
      </c>
      <c r="O58" s="19">
        <f t="shared" si="4"/>
        <v>0</v>
      </c>
      <c r="P58" s="20">
        <f t="shared" si="5"/>
        <v>-5.636716224951499</v>
      </c>
      <c r="Q58" s="430">
        <f t="shared" si="6"/>
        <v>0.95208791208791221</v>
      </c>
      <c r="R58" s="637"/>
      <c r="S58" s="40">
        <v>0.70833333333333337</v>
      </c>
      <c r="T58" s="40">
        <v>0.77152777777777781</v>
      </c>
      <c r="U58" s="427" t="str">
        <f t="shared" si="38"/>
        <v/>
      </c>
      <c r="V58" s="439">
        <f t="shared" si="37"/>
        <v>91</v>
      </c>
      <c r="W58" s="23"/>
      <c r="X58" s="23"/>
      <c r="Y58" s="26"/>
      <c r="Z58" s="26"/>
      <c r="AA58" s="627"/>
      <c r="AB58" s="628"/>
      <c r="AC58" s="25"/>
      <c r="AD58" s="25"/>
      <c r="AE58" s="19">
        <f t="shared" si="8"/>
        <v>-95.824175824175654</v>
      </c>
      <c r="AF58" s="430">
        <f t="shared" si="9"/>
        <v>0.95208791208791221</v>
      </c>
      <c r="AG58" s="637"/>
    </row>
    <row r="59" spans="1:33" ht="15.75" customHeight="1">
      <c r="A59" s="641" t="s">
        <v>76</v>
      </c>
      <c r="B59" s="42" t="s">
        <v>92</v>
      </c>
      <c r="C59" s="625" t="s">
        <v>420</v>
      </c>
      <c r="D59" s="626"/>
      <c r="E59" s="42">
        <v>58.17</v>
      </c>
      <c r="F59" s="48">
        <v>2874</v>
      </c>
      <c r="G59" s="427">
        <f t="shared" si="35"/>
        <v>167180.58000000002</v>
      </c>
      <c r="H59" s="37" t="s">
        <v>91</v>
      </c>
      <c r="I59" s="438">
        <v>13</v>
      </c>
      <c r="J59" s="39">
        <v>2000</v>
      </c>
      <c r="K59" s="17">
        <f t="shared" si="1"/>
        <v>153.84615384615384</v>
      </c>
      <c r="L59" s="438">
        <v>13</v>
      </c>
      <c r="M59" s="18">
        <f t="shared" si="39"/>
        <v>1916</v>
      </c>
      <c r="N59" s="18">
        <f t="shared" si="3"/>
        <v>147.38461538461539</v>
      </c>
      <c r="O59" s="19">
        <f t="shared" si="4"/>
        <v>0</v>
      </c>
      <c r="P59" s="20">
        <f t="shared" si="5"/>
        <v>-6.4615384615384528</v>
      </c>
      <c r="Q59" s="430">
        <f t="shared" si="6"/>
        <v>0.95800000000000007</v>
      </c>
      <c r="R59" s="637"/>
      <c r="S59" s="40">
        <v>0.77500000000000002</v>
      </c>
      <c r="T59" s="40">
        <v>0.83750000000000002</v>
      </c>
      <c r="U59" s="427">
        <f t="shared" si="38"/>
        <v>4.9999999999999822</v>
      </c>
      <c r="V59" s="439">
        <f t="shared" si="37"/>
        <v>90</v>
      </c>
      <c r="W59" s="23">
        <f>T59</f>
        <v>0.83750000000000002</v>
      </c>
      <c r="X59" s="23">
        <f>S60</f>
        <v>0.87708333333333333</v>
      </c>
      <c r="Y59" s="26"/>
      <c r="Z59" s="26"/>
      <c r="AA59" s="627"/>
      <c r="AB59" s="628"/>
      <c r="AC59" s="25"/>
      <c r="AD59" s="25"/>
      <c r="AE59" s="19">
        <f t="shared" si="8"/>
        <v>-84</v>
      </c>
      <c r="AF59" s="430">
        <f t="shared" si="9"/>
        <v>0.95799999999999996</v>
      </c>
      <c r="AG59" s="637"/>
    </row>
    <row r="60" spans="1:33" ht="15.75" customHeight="1">
      <c r="A60" s="641" t="s">
        <v>2245</v>
      </c>
      <c r="B60" s="42" t="s">
        <v>92</v>
      </c>
      <c r="C60" s="625" t="s">
        <v>109</v>
      </c>
      <c r="D60" s="626"/>
      <c r="E60" s="42">
        <v>50.49</v>
      </c>
      <c r="F60" s="48">
        <v>1393</v>
      </c>
      <c r="G60" s="427">
        <f t="shared" si="35"/>
        <v>70332.570000000007</v>
      </c>
      <c r="H60" s="37" t="s">
        <v>91</v>
      </c>
      <c r="I60" s="438">
        <v>15</v>
      </c>
      <c r="J60" s="39">
        <v>2000</v>
      </c>
      <c r="K60" s="17">
        <f t="shared" si="1"/>
        <v>133.33333333333334</v>
      </c>
      <c r="L60" s="438">
        <v>15</v>
      </c>
      <c r="M60" s="18">
        <f t="shared" si="39"/>
        <v>1943.7209302325577</v>
      </c>
      <c r="N60" s="18">
        <f t="shared" si="3"/>
        <v>129.58139534883719</v>
      </c>
      <c r="O60" s="19">
        <f t="shared" si="4"/>
        <v>0</v>
      </c>
      <c r="P60" s="20">
        <f t="shared" si="5"/>
        <v>-3.751937984496152</v>
      </c>
      <c r="Q60" s="430">
        <f t="shared" si="6"/>
        <v>0.97186046511627888</v>
      </c>
      <c r="R60" s="637"/>
      <c r="S60" s="40">
        <v>0.87708333333333333</v>
      </c>
      <c r="T60" s="40">
        <v>0.90694444444444444</v>
      </c>
      <c r="U60" s="427">
        <f t="shared" si="38"/>
        <v>56.999999999999957</v>
      </c>
      <c r="V60" s="439">
        <f t="shared" si="37"/>
        <v>43.000000000000007</v>
      </c>
      <c r="W60" s="23"/>
      <c r="X60" s="23"/>
      <c r="Y60" s="26"/>
      <c r="Z60" s="26"/>
      <c r="AA60" s="627"/>
      <c r="AB60" s="628"/>
      <c r="AC60" s="25"/>
      <c r="AD60" s="25"/>
      <c r="AE60" s="19">
        <f t="shared" si="8"/>
        <v>-56.279069767442252</v>
      </c>
      <c r="AF60" s="430">
        <f t="shared" si="9"/>
        <v>0.97186046511627888</v>
      </c>
      <c r="AG60" s="637"/>
    </row>
    <row r="61" spans="1:33">
      <c r="A61" s="642" t="s">
        <v>76</v>
      </c>
      <c r="B61" s="42" t="s">
        <v>52</v>
      </c>
      <c r="C61" s="638"/>
      <c r="D61" s="638"/>
      <c r="E61" s="433"/>
      <c r="F61" s="44"/>
      <c r="G61" s="17"/>
      <c r="H61" s="440"/>
      <c r="I61" s="29">
        <v>17.5</v>
      </c>
      <c r="J61" s="39">
        <v>2000</v>
      </c>
      <c r="K61" s="17">
        <f t="shared" si="1"/>
        <v>114.28571428571429</v>
      </c>
      <c r="L61" s="29">
        <v>17.5</v>
      </c>
      <c r="M61" s="18">
        <f>AVERAGE(M53:M60)</f>
        <v>1920.3750061487735</v>
      </c>
      <c r="N61" s="17">
        <f t="shared" si="3"/>
        <v>109.73571463707277</v>
      </c>
      <c r="O61" s="19">
        <f t="shared" si="4"/>
        <v>0</v>
      </c>
      <c r="P61" s="20">
        <f t="shared" si="5"/>
        <v>-4.5499996486415171</v>
      </c>
      <c r="Q61" s="430">
        <f t="shared" si="6"/>
        <v>0.96018750307438672</v>
      </c>
      <c r="R61" s="637"/>
      <c r="S61" s="40"/>
      <c r="T61" s="40"/>
      <c r="U61" s="427"/>
      <c r="V61" s="439"/>
      <c r="W61" s="17"/>
      <c r="X61" s="17"/>
      <c r="Y61" s="30">
        <f>SUM(Y53:Y60)</f>
        <v>0</v>
      </c>
      <c r="Z61" s="30">
        <f>SUM(Z53:Z60)</f>
        <v>0</v>
      </c>
      <c r="AA61" s="631"/>
      <c r="AB61" s="631"/>
      <c r="AC61" s="30">
        <v>8</v>
      </c>
      <c r="AD61" s="30">
        <f>SUM(AD53:AD60)</f>
        <v>0</v>
      </c>
      <c r="AE61" s="19">
        <f>M61-J61</f>
        <v>-79.624993851226463</v>
      </c>
      <c r="AF61" s="430">
        <f t="shared" si="9"/>
        <v>0.96018750307438672</v>
      </c>
      <c r="AG61" s="637"/>
    </row>
    <row r="62" spans="1:33" ht="15.75" customHeight="1">
      <c r="A62" s="639" t="s">
        <v>83</v>
      </c>
      <c r="B62" s="440" t="s">
        <v>127</v>
      </c>
      <c r="C62" s="633" t="s">
        <v>141</v>
      </c>
      <c r="D62" s="633"/>
      <c r="E62" s="42">
        <v>35.119999999999997</v>
      </c>
      <c r="F62" s="48">
        <v>5052</v>
      </c>
      <c r="G62" s="427">
        <f t="shared" ref="G62:G66" si="40">E62*F62</f>
        <v>177426.24</v>
      </c>
      <c r="H62" s="37" t="s">
        <v>91</v>
      </c>
      <c r="I62" s="438">
        <v>10</v>
      </c>
      <c r="J62" s="39">
        <v>3000</v>
      </c>
      <c r="K62" s="17">
        <f t="shared" si="1"/>
        <v>300</v>
      </c>
      <c r="L62" s="438">
        <v>10</v>
      </c>
      <c r="M62" s="18">
        <f t="shared" ref="M62:M66" si="41">F62/V62*60</f>
        <v>2859.6226415094343</v>
      </c>
      <c r="N62" s="17">
        <f t="shared" si="3"/>
        <v>285.96226415094344</v>
      </c>
      <c r="O62" s="19">
        <f t="shared" si="4"/>
        <v>0</v>
      </c>
      <c r="P62" s="20">
        <f t="shared" si="5"/>
        <v>-14.03773584905656</v>
      </c>
      <c r="Q62" s="430">
        <f t="shared" si="6"/>
        <v>0.95320754716981149</v>
      </c>
      <c r="R62" s="637">
        <f>Q67</f>
        <v>0.96183234249576344</v>
      </c>
      <c r="S62" s="40">
        <v>0.20833333333333334</v>
      </c>
      <c r="T62" s="40">
        <v>0.28194444444444444</v>
      </c>
      <c r="U62" s="427"/>
      <c r="V62" s="439">
        <f t="shared" ref="V62:V66" si="42">(T62-S62)*24*60</f>
        <v>105.99999999999999</v>
      </c>
      <c r="W62" s="23"/>
      <c r="X62" s="23"/>
      <c r="Y62" s="28"/>
      <c r="Z62" s="28"/>
      <c r="AA62" s="632"/>
      <c r="AB62" s="632"/>
      <c r="AC62" s="25">
        <v>5</v>
      </c>
      <c r="AD62" s="25"/>
      <c r="AE62" s="19">
        <f t="shared" ref="AE62:AE76" si="43">M62-J62</f>
        <v>-140.37735849056571</v>
      </c>
      <c r="AF62" s="430">
        <f t="shared" si="9"/>
        <v>0.95320754716981138</v>
      </c>
      <c r="AG62" s="637">
        <f>AF67</f>
        <v>0.96183234249576344</v>
      </c>
    </row>
    <row r="63" spans="1:33" ht="15.75" customHeight="1">
      <c r="A63" s="639" t="s">
        <v>83</v>
      </c>
      <c r="B63" s="440" t="s">
        <v>127</v>
      </c>
      <c r="C63" s="633" t="s">
        <v>142</v>
      </c>
      <c r="D63" s="633"/>
      <c r="E63" s="42">
        <v>26.78</v>
      </c>
      <c r="F63" s="48">
        <v>2609</v>
      </c>
      <c r="G63" s="427">
        <f t="shared" si="40"/>
        <v>69869.02</v>
      </c>
      <c r="H63" s="37" t="s">
        <v>91</v>
      </c>
      <c r="I63" s="438">
        <v>10</v>
      </c>
      <c r="J63" s="39">
        <v>3000</v>
      </c>
      <c r="K63" s="17">
        <f t="shared" si="1"/>
        <v>300</v>
      </c>
      <c r="L63" s="438">
        <v>10</v>
      </c>
      <c r="M63" s="18">
        <f t="shared" si="41"/>
        <v>2898.8888888888905</v>
      </c>
      <c r="N63" s="17">
        <f t="shared" si="3"/>
        <v>289.88888888888903</v>
      </c>
      <c r="O63" s="19">
        <f t="shared" si="4"/>
        <v>0</v>
      </c>
      <c r="P63" s="20">
        <f t="shared" si="5"/>
        <v>-10.111111111110972</v>
      </c>
      <c r="Q63" s="430">
        <f t="shared" si="6"/>
        <v>0.96629629629629676</v>
      </c>
      <c r="R63" s="637"/>
      <c r="S63" s="40">
        <v>0.28541666666666665</v>
      </c>
      <c r="T63" s="40">
        <v>0.32291666666666663</v>
      </c>
      <c r="U63" s="427">
        <f t="shared" ref="U63:U66" si="44">(S63-T62)*24*60</f>
        <v>4.9999999999999822</v>
      </c>
      <c r="V63" s="439">
        <f t="shared" si="42"/>
        <v>53.999999999999972</v>
      </c>
      <c r="W63" s="427"/>
      <c r="X63" s="427"/>
      <c r="Y63" s="427"/>
      <c r="Z63" s="427"/>
      <c r="AA63" s="632"/>
      <c r="AB63" s="632"/>
      <c r="AC63" s="25"/>
      <c r="AD63" s="25"/>
      <c r="AE63" s="19">
        <f t="shared" si="43"/>
        <v>-101.11111111110949</v>
      </c>
      <c r="AF63" s="430">
        <f t="shared" si="9"/>
        <v>0.96629629629629687</v>
      </c>
      <c r="AG63" s="637"/>
    </row>
    <row r="64" spans="1:33" ht="15.75" customHeight="1">
      <c r="A64" s="639" t="s">
        <v>83</v>
      </c>
      <c r="B64" s="440" t="s">
        <v>127</v>
      </c>
      <c r="C64" s="633" t="s">
        <v>143</v>
      </c>
      <c r="D64" s="633"/>
      <c r="E64" s="42">
        <v>36.14</v>
      </c>
      <c r="F64" s="48">
        <v>955</v>
      </c>
      <c r="G64" s="427">
        <f t="shared" si="40"/>
        <v>34513.699999999997</v>
      </c>
      <c r="H64" s="37" t="s">
        <v>91</v>
      </c>
      <c r="I64" s="438">
        <v>11</v>
      </c>
      <c r="J64" s="39">
        <v>3000</v>
      </c>
      <c r="K64" s="17">
        <f t="shared" si="1"/>
        <v>272.72727272727275</v>
      </c>
      <c r="L64" s="438">
        <v>11</v>
      </c>
      <c r="M64" s="18">
        <f t="shared" si="41"/>
        <v>2864.9999999999991</v>
      </c>
      <c r="N64" s="17">
        <f t="shared" si="3"/>
        <v>260.45454545454538</v>
      </c>
      <c r="O64" s="19">
        <f t="shared" si="4"/>
        <v>0</v>
      </c>
      <c r="P64" s="20">
        <f t="shared" si="5"/>
        <v>-12.272727272727366</v>
      </c>
      <c r="Q64" s="430">
        <f t="shared" si="6"/>
        <v>0.95499999999999963</v>
      </c>
      <c r="R64" s="637"/>
      <c r="S64" s="40">
        <v>0.32708333333333328</v>
      </c>
      <c r="T64" s="40">
        <v>0.34097222222222218</v>
      </c>
      <c r="U64" s="427">
        <f t="shared" si="44"/>
        <v>5.9999999999999787</v>
      </c>
      <c r="V64" s="439">
        <f t="shared" si="42"/>
        <v>20.000000000000007</v>
      </c>
      <c r="W64" s="427"/>
      <c r="X64" s="427"/>
      <c r="Y64" s="427"/>
      <c r="Z64" s="427"/>
      <c r="AA64" s="632"/>
      <c r="AB64" s="632"/>
      <c r="AC64" s="25"/>
      <c r="AD64" s="25"/>
      <c r="AE64" s="19">
        <f t="shared" si="43"/>
        <v>-135.00000000000091</v>
      </c>
      <c r="AF64" s="430">
        <f t="shared" si="9"/>
        <v>0.95499999999999974</v>
      </c>
      <c r="AG64" s="637"/>
    </row>
    <row r="65" spans="1:33" ht="15.75" customHeight="1">
      <c r="A65" s="639" t="s">
        <v>2246</v>
      </c>
      <c r="B65" s="440" t="s">
        <v>127</v>
      </c>
      <c r="C65" s="633" t="s">
        <v>130</v>
      </c>
      <c r="D65" s="633"/>
      <c r="E65" s="42">
        <v>35.869999999999997</v>
      </c>
      <c r="F65" s="48">
        <v>1518</v>
      </c>
      <c r="G65" s="427">
        <f t="shared" si="40"/>
        <v>54450.659999999996</v>
      </c>
      <c r="H65" s="37" t="s">
        <v>91</v>
      </c>
      <c r="I65" s="438">
        <v>9</v>
      </c>
      <c r="J65" s="39">
        <v>3000</v>
      </c>
      <c r="K65" s="17">
        <f t="shared" si="1"/>
        <v>333.33333333333331</v>
      </c>
      <c r="L65" s="438">
        <v>9</v>
      </c>
      <c r="M65" s="18">
        <f t="shared" si="41"/>
        <v>2938.0645161290349</v>
      </c>
      <c r="N65" s="17">
        <f t="shared" si="3"/>
        <v>326.45161290322608</v>
      </c>
      <c r="O65" s="19">
        <f t="shared" si="4"/>
        <v>0</v>
      </c>
      <c r="P65" s="20">
        <f t="shared" si="5"/>
        <v>-6.8817204301072366</v>
      </c>
      <c r="Q65" s="430">
        <f t="shared" si="6"/>
        <v>0.97935483870967832</v>
      </c>
      <c r="R65" s="637"/>
      <c r="S65" s="40">
        <v>0.34513888888888883</v>
      </c>
      <c r="T65" s="40">
        <v>0.36666666666666659</v>
      </c>
      <c r="U65" s="427">
        <f t="shared" si="44"/>
        <v>5.9999999999999787</v>
      </c>
      <c r="V65" s="439">
        <f t="shared" si="42"/>
        <v>30.999999999999972</v>
      </c>
      <c r="W65" s="427"/>
      <c r="X65" s="427"/>
      <c r="Y65" s="427"/>
      <c r="Z65" s="427"/>
      <c r="AA65" s="632"/>
      <c r="AB65" s="632"/>
      <c r="AC65" s="25"/>
      <c r="AD65" s="25"/>
      <c r="AE65" s="19">
        <f t="shared" si="43"/>
        <v>-61.935483870965072</v>
      </c>
      <c r="AF65" s="430">
        <f t="shared" si="9"/>
        <v>0.97935483870967832</v>
      </c>
      <c r="AG65" s="637"/>
    </row>
    <row r="66" spans="1:33">
      <c r="A66" s="640" t="s">
        <v>2246</v>
      </c>
      <c r="B66" s="440" t="s">
        <v>127</v>
      </c>
      <c r="C66" s="633" t="s">
        <v>1857</v>
      </c>
      <c r="D66" s="633"/>
      <c r="E66" s="42">
        <v>33.770000000000003</v>
      </c>
      <c r="F66" s="48">
        <v>6305</v>
      </c>
      <c r="G66" s="427">
        <f t="shared" si="40"/>
        <v>212919.85</v>
      </c>
      <c r="H66" s="37" t="s">
        <v>91</v>
      </c>
      <c r="I66" s="438">
        <v>12</v>
      </c>
      <c r="J66" s="39">
        <v>3000</v>
      </c>
      <c r="K66" s="17">
        <f t="shared" si="1"/>
        <v>250</v>
      </c>
      <c r="L66" s="438">
        <v>12</v>
      </c>
      <c r="M66" s="18">
        <f t="shared" si="41"/>
        <v>2865.909090909091</v>
      </c>
      <c r="N66" s="17">
        <f t="shared" si="3"/>
        <v>238.82575757575759</v>
      </c>
      <c r="O66" s="19">
        <f t="shared" si="4"/>
        <v>0</v>
      </c>
      <c r="P66" s="20">
        <f t="shared" si="5"/>
        <v>-11.174242424242408</v>
      </c>
      <c r="Q66" s="430">
        <f t="shared" si="6"/>
        <v>0.95530303030303032</v>
      </c>
      <c r="R66" s="637"/>
      <c r="S66" s="40">
        <v>0.37222222222222212</v>
      </c>
      <c r="T66" s="40">
        <v>0.4638888888888888</v>
      </c>
      <c r="U66" s="427">
        <f t="shared" si="44"/>
        <v>7.9999999999999716</v>
      </c>
      <c r="V66" s="439">
        <f t="shared" si="42"/>
        <v>132</v>
      </c>
      <c r="W66" s="23"/>
      <c r="X66" s="23"/>
      <c r="Y66" s="23"/>
      <c r="Z66" s="23"/>
      <c r="AA66" s="632"/>
      <c r="AB66" s="632"/>
      <c r="AC66" s="25"/>
      <c r="AD66" s="25"/>
      <c r="AE66" s="19">
        <f t="shared" si="43"/>
        <v>-134.09090909090901</v>
      </c>
      <c r="AF66" s="430">
        <f t="shared" si="9"/>
        <v>0.95530303030303032</v>
      </c>
      <c r="AG66" s="637"/>
    </row>
    <row r="67" spans="1:33">
      <c r="A67" s="640" t="s">
        <v>2246</v>
      </c>
      <c r="B67" s="42" t="s">
        <v>52</v>
      </c>
      <c r="C67" s="638"/>
      <c r="D67" s="638"/>
      <c r="E67" s="433"/>
      <c r="F67" s="44"/>
      <c r="G67" s="17"/>
      <c r="H67" s="440"/>
      <c r="I67" s="29">
        <v>10.4</v>
      </c>
      <c r="J67" s="39">
        <v>3000</v>
      </c>
      <c r="K67" s="17">
        <f t="shared" si="1"/>
        <v>288.46153846153845</v>
      </c>
      <c r="L67" s="29">
        <v>10.4</v>
      </c>
      <c r="M67" s="18">
        <f>AVERAGE(M62:M66)</f>
        <v>2885.4970274872903</v>
      </c>
      <c r="N67" s="17">
        <f t="shared" si="3"/>
        <v>277.4516372583933</v>
      </c>
      <c r="O67" s="19">
        <f t="shared" si="4"/>
        <v>0</v>
      </c>
      <c r="P67" s="20">
        <f t="shared" si="5"/>
        <v>-11.009901203145148</v>
      </c>
      <c r="Q67" s="430">
        <f t="shared" si="6"/>
        <v>0.96183234249576344</v>
      </c>
      <c r="R67" s="637"/>
      <c r="S67" s="40"/>
      <c r="T67" s="40"/>
      <c r="U67" s="17"/>
      <c r="V67" s="439"/>
      <c r="W67" s="17"/>
      <c r="X67" s="17"/>
      <c r="Y67" s="30">
        <f>SUM(Y62:Y66)</f>
        <v>0</v>
      </c>
      <c r="Z67" s="30">
        <f>SUM(Z62:Z66)</f>
        <v>0</v>
      </c>
      <c r="AA67" s="631"/>
      <c r="AB67" s="631"/>
      <c r="AC67" s="30">
        <v>5</v>
      </c>
      <c r="AD67" s="30">
        <f>SUM(AD62:AD66)</f>
        <v>0</v>
      </c>
      <c r="AE67" s="19">
        <f t="shared" si="43"/>
        <v>-114.50297251270968</v>
      </c>
      <c r="AF67" s="430">
        <f t="shared" si="9"/>
        <v>0.96183234249576344</v>
      </c>
      <c r="AG67" s="637"/>
    </row>
    <row r="68" spans="1:33" ht="15.75" customHeight="1">
      <c r="A68" s="634" t="s">
        <v>2247</v>
      </c>
      <c r="B68" s="440" t="s">
        <v>116</v>
      </c>
      <c r="C68" s="633" t="s">
        <v>145</v>
      </c>
      <c r="D68" s="633"/>
      <c r="E68" s="42">
        <v>19.02</v>
      </c>
      <c r="F68" s="440">
        <v>6300</v>
      </c>
      <c r="G68" s="427">
        <f t="shared" ref="G68:G75" si="45">E68*F68</f>
        <v>119826</v>
      </c>
      <c r="H68" s="37">
        <v>2</v>
      </c>
      <c r="I68" s="438">
        <v>14</v>
      </c>
      <c r="J68" s="39">
        <v>2400</v>
      </c>
      <c r="K68" s="17">
        <f t="shared" si="1"/>
        <v>171.42857142857142</v>
      </c>
      <c r="L68" s="438">
        <v>14</v>
      </c>
      <c r="M68" s="18">
        <f t="shared" ref="M68:M75" si="46">F68/V68*60</f>
        <v>2290.909090909091</v>
      </c>
      <c r="N68" s="17">
        <f t="shared" si="3"/>
        <v>163.63636363636365</v>
      </c>
      <c r="O68" s="19">
        <f t="shared" si="4"/>
        <v>0</v>
      </c>
      <c r="P68" s="20">
        <f t="shared" si="5"/>
        <v>-7.7922077922077619</v>
      </c>
      <c r="Q68" s="430">
        <f t="shared" si="6"/>
        <v>0.9545454545454547</v>
      </c>
      <c r="R68" s="637">
        <f>Q76</f>
        <v>0.95588020226914194</v>
      </c>
      <c r="S68" s="40">
        <v>8.3333333333333329E-2</v>
      </c>
      <c r="T68" s="40">
        <v>0.19791666666666666</v>
      </c>
      <c r="U68" s="28"/>
      <c r="V68" s="439">
        <f t="shared" ref="V68:V75" si="47">(T68-S68)*24*60</f>
        <v>165</v>
      </c>
      <c r="W68" s="23">
        <f>T68</f>
        <v>0.19791666666666666</v>
      </c>
      <c r="X68" s="23">
        <f>S69</f>
        <v>0.21736111111111112</v>
      </c>
      <c r="Y68" s="23"/>
      <c r="Z68" s="23"/>
      <c r="AA68" s="632"/>
      <c r="AB68" s="632"/>
      <c r="AC68" s="25">
        <v>8</v>
      </c>
      <c r="AD68" s="25"/>
      <c r="AE68" s="19">
        <f t="shared" si="43"/>
        <v>-109.09090909090901</v>
      </c>
      <c r="AF68" s="430">
        <f t="shared" si="9"/>
        <v>0.95454545454545459</v>
      </c>
      <c r="AG68" s="637">
        <f>AF76</f>
        <v>0.95588020226914205</v>
      </c>
    </row>
    <row r="69" spans="1:33" ht="15.75" customHeight="1">
      <c r="A69" s="635" t="s">
        <v>2247</v>
      </c>
      <c r="B69" s="440" t="s">
        <v>116</v>
      </c>
      <c r="C69" s="633" t="s">
        <v>146</v>
      </c>
      <c r="D69" s="633"/>
      <c r="E69" s="42">
        <v>20.36</v>
      </c>
      <c r="F69" s="440">
        <v>4858</v>
      </c>
      <c r="G69" s="427">
        <f t="shared" si="45"/>
        <v>98908.87999999999</v>
      </c>
      <c r="H69" s="37" t="s">
        <v>91</v>
      </c>
      <c r="I69" s="438">
        <v>17</v>
      </c>
      <c r="J69" s="39">
        <v>2400</v>
      </c>
      <c r="K69" s="17">
        <f t="shared" ref="K69:K76" si="48">J69/I69</f>
        <v>141.1764705882353</v>
      </c>
      <c r="L69" s="438">
        <v>17</v>
      </c>
      <c r="M69" s="18">
        <f t="shared" si="46"/>
        <v>2295.1181102362202</v>
      </c>
      <c r="N69" s="17">
        <f t="shared" ref="N69:N76" si="49">M69/L69</f>
        <v>135.00694766095413</v>
      </c>
      <c r="O69" s="19">
        <f t="shared" ref="O69:O76" si="50">L69-I69</f>
        <v>0</v>
      </c>
      <c r="P69" s="20">
        <f t="shared" ref="P69:P76" si="51">N69-K69</f>
        <v>-6.1695229272811787</v>
      </c>
      <c r="Q69" s="430">
        <f t="shared" ref="Q69:Q76" si="52">N69/K69</f>
        <v>0.95629921259842499</v>
      </c>
      <c r="R69" s="637"/>
      <c r="S69" s="40">
        <v>0.21736111111111112</v>
      </c>
      <c r="T69" s="40">
        <v>0.30555555555555558</v>
      </c>
      <c r="U69" s="427">
        <f t="shared" ref="U69:U75" si="53">(S69-T68)*24*60</f>
        <v>28.000000000000021</v>
      </c>
      <c r="V69" s="439">
        <f t="shared" si="47"/>
        <v>127.00000000000003</v>
      </c>
      <c r="W69" s="23"/>
      <c r="X69" s="23"/>
      <c r="Y69" s="23"/>
      <c r="Z69" s="23"/>
      <c r="AA69" s="632"/>
      <c r="AB69" s="632"/>
      <c r="AC69" s="25"/>
      <c r="AD69" s="25"/>
      <c r="AE69" s="19">
        <f t="shared" si="43"/>
        <v>-104.88188976377978</v>
      </c>
      <c r="AF69" s="430">
        <f t="shared" ref="AF69:AF76" si="54">M69/J69</f>
        <v>0.9562992125984251</v>
      </c>
      <c r="AG69" s="637"/>
    </row>
    <row r="70" spans="1:33" ht="15.75" customHeight="1">
      <c r="A70" s="635" t="s">
        <v>86</v>
      </c>
      <c r="B70" s="440" t="s">
        <v>116</v>
      </c>
      <c r="C70" s="633" t="s">
        <v>120</v>
      </c>
      <c r="D70" s="633"/>
      <c r="E70" s="42">
        <v>25.99</v>
      </c>
      <c r="F70" s="440">
        <v>1341</v>
      </c>
      <c r="G70" s="427">
        <f t="shared" si="45"/>
        <v>34852.589999999997</v>
      </c>
      <c r="H70" s="37" t="s">
        <v>91</v>
      </c>
      <c r="I70" s="438">
        <v>18</v>
      </c>
      <c r="J70" s="39">
        <v>2400</v>
      </c>
      <c r="K70" s="17">
        <f t="shared" si="48"/>
        <v>133.33333333333334</v>
      </c>
      <c r="L70" s="438">
        <v>18</v>
      </c>
      <c r="M70" s="18">
        <f t="shared" si="46"/>
        <v>2298.8571428571404</v>
      </c>
      <c r="N70" s="17">
        <f t="shared" si="49"/>
        <v>127.71428571428558</v>
      </c>
      <c r="O70" s="19">
        <f t="shared" si="50"/>
        <v>0</v>
      </c>
      <c r="P70" s="20">
        <f t="shared" si="51"/>
        <v>-5.6190476190477625</v>
      </c>
      <c r="Q70" s="430">
        <f t="shared" si="52"/>
        <v>0.95785714285714174</v>
      </c>
      <c r="R70" s="637"/>
      <c r="S70" s="40">
        <v>0.30902777777777779</v>
      </c>
      <c r="T70" s="40">
        <v>0.33333333333333337</v>
      </c>
      <c r="U70" s="427">
        <f t="shared" si="53"/>
        <v>4.9999999999999822</v>
      </c>
      <c r="V70" s="439">
        <f t="shared" si="47"/>
        <v>35.000000000000036</v>
      </c>
      <c r="W70" s="23"/>
      <c r="X70" s="23"/>
      <c r="Y70" s="23"/>
      <c r="Z70" s="23"/>
      <c r="AA70" s="632"/>
      <c r="AB70" s="632"/>
      <c r="AC70" s="25"/>
      <c r="AD70" s="25"/>
      <c r="AE70" s="19">
        <f t="shared" si="43"/>
        <v>-101.14285714285961</v>
      </c>
      <c r="AF70" s="430">
        <f t="shared" si="54"/>
        <v>0.95785714285714185</v>
      </c>
      <c r="AG70" s="637"/>
    </row>
    <row r="71" spans="1:33" ht="15.75" customHeight="1">
      <c r="A71" s="635" t="s">
        <v>86</v>
      </c>
      <c r="B71" s="440" t="s">
        <v>116</v>
      </c>
      <c r="C71" s="633" t="s">
        <v>149</v>
      </c>
      <c r="D71" s="633"/>
      <c r="E71" s="42">
        <v>24.25</v>
      </c>
      <c r="F71" s="440">
        <v>3439</v>
      </c>
      <c r="G71" s="427">
        <f t="shared" si="45"/>
        <v>83395.75</v>
      </c>
      <c r="H71" s="37" t="s">
        <v>91</v>
      </c>
      <c r="I71" s="438">
        <v>16</v>
      </c>
      <c r="J71" s="39">
        <v>2400</v>
      </c>
      <c r="K71" s="17">
        <f t="shared" si="48"/>
        <v>150</v>
      </c>
      <c r="L71" s="438">
        <v>16</v>
      </c>
      <c r="M71" s="18">
        <f t="shared" si="46"/>
        <v>2292.6666666666665</v>
      </c>
      <c r="N71" s="17">
        <f t="shared" si="49"/>
        <v>143.29166666666666</v>
      </c>
      <c r="O71" s="19">
        <f t="shared" si="50"/>
        <v>0</v>
      </c>
      <c r="P71" s="20">
        <f t="shared" si="51"/>
        <v>-6.7083333333333428</v>
      </c>
      <c r="Q71" s="430">
        <f t="shared" si="52"/>
        <v>0.95527777777777767</v>
      </c>
      <c r="R71" s="637"/>
      <c r="S71" s="40">
        <v>0.33819444444444446</v>
      </c>
      <c r="T71" s="40">
        <v>0.40069444444444446</v>
      </c>
      <c r="U71" s="427">
        <f t="shared" si="53"/>
        <v>6.9999999999999751</v>
      </c>
      <c r="V71" s="439">
        <f t="shared" si="47"/>
        <v>90</v>
      </c>
      <c r="W71" s="23"/>
      <c r="X71" s="23"/>
      <c r="Y71" s="23"/>
      <c r="Z71" s="23"/>
      <c r="AA71" s="632"/>
      <c r="AB71" s="632"/>
      <c r="AC71" s="25"/>
      <c r="AD71" s="25"/>
      <c r="AE71" s="19">
        <f t="shared" si="43"/>
        <v>-107.33333333333348</v>
      </c>
      <c r="AF71" s="430">
        <f t="shared" si="54"/>
        <v>0.95527777777777767</v>
      </c>
      <c r="AG71" s="637"/>
    </row>
    <row r="72" spans="1:33" ht="15.75" customHeight="1">
      <c r="A72" s="635" t="s">
        <v>86</v>
      </c>
      <c r="B72" s="440" t="s">
        <v>116</v>
      </c>
      <c r="C72" s="633" t="s">
        <v>1859</v>
      </c>
      <c r="D72" s="633"/>
      <c r="E72" s="42">
        <v>25.98</v>
      </c>
      <c r="F72" s="440">
        <v>4500</v>
      </c>
      <c r="G72" s="427">
        <f t="shared" si="45"/>
        <v>116910</v>
      </c>
      <c r="H72" s="37">
        <v>2</v>
      </c>
      <c r="I72" s="438">
        <v>19</v>
      </c>
      <c r="J72" s="39">
        <v>2400</v>
      </c>
      <c r="K72" s="17">
        <f t="shared" si="48"/>
        <v>126.31578947368421</v>
      </c>
      <c r="L72" s="438">
        <v>19</v>
      </c>
      <c r="M72" s="18">
        <f t="shared" si="46"/>
        <v>2288.1355932203396</v>
      </c>
      <c r="N72" s="17">
        <f t="shared" si="49"/>
        <v>120.42818911685998</v>
      </c>
      <c r="O72" s="19">
        <f t="shared" si="50"/>
        <v>0</v>
      </c>
      <c r="P72" s="20">
        <f t="shared" si="51"/>
        <v>-5.8876003568242226</v>
      </c>
      <c r="Q72" s="430">
        <f t="shared" si="52"/>
        <v>0.95338983050847492</v>
      </c>
      <c r="R72" s="637"/>
      <c r="S72" s="40">
        <v>0.40416666666666667</v>
      </c>
      <c r="T72" s="40">
        <v>0.4861111111111111</v>
      </c>
      <c r="U72" s="427">
        <f t="shared" si="53"/>
        <v>4.9999999999999822</v>
      </c>
      <c r="V72" s="439">
        <f t="shared" si="47"/>
        <v>117.99999999999999</v>
      </c>
      <c r="W72" s="23">
        <f>T72</f>
        <v>0.4861111111111111</v>
      </c>
      <c r="X72" s="23">
        <f>S73</f>
        <v>0.52708333333333324</v>
      </c>
      <c r="Y72" s="23"/>
      <c r="Z72" s="23"/>
      <c r="AA72" s="632"/>
      <c r="AB72" s="632"/>
      <c r="AC72" s="25"/>
      <c r="AD72" s="25"/>
      <c r="AE72" s="19">
        <f t="shared" si="43"/>
        <v>-111.86440677966038</v>
      </c>
      <c r="AF72" s="430">
        <f t="shared" si="54"/>
        <v>0.95338983050847481</v>
      </c>
      <c r="AG72" s="637"/>
    </row>
    <row r="73" spans="1:33" ht="15.75" customHeight="1">
      <c r="A73" s="635" t="s">
        <v>2247</v>
      </c>
      <c r="B73" s="440" t="s">
        <v>116</v>
      </c>
      <c r="C73" s="633" t="s">
        <v>145</v>
      </c>
      <c r="D73" s="633"/>
      <c r="E73" s="42">
        <v>19.02</v>
      </c>
      <c r="F73" s="440">
        <v>5408</v>
      </c>
      <c r="G73" s="427">
        <f t="shared" si="45"/>
        <v>102860.16</v>
      </c>
      <c r="H73" s="37" t="s">
        <v>91</v>
      </c>
      <c r="I73" s="438">
        <v>14</v>
      </c>
      <c r="J73" s="39">
        <v>2400</v>
      </c>
      <c r="K73" s="17">
        <f t="shared" si="48"/>
        <v>171.42857142857142</v>
      </c>
      <c r="L73" s="438">
        <v>14</v>
      </c>
      <c r="M73" s="18">
        <f t="shared" si="46"/>
        <v>2285.0704225352115</v>
      </c>
      <c r="N73" s="17">
        <f t="shared" si="49"/>
        <v>163.21931589537226</v>
      </c>
      <c r="O73" s="19">
        <f t="shared" si="50"/>
        <v>0</v>
      </c>
      <c r="P73" s="20">
        <f t="shared" si="51"/>
        <v>-8.2092555331991548</v>
      </c>
      <c r="Q73" s="430">
        <f t="shared" si="52"/>
        <v>0.95211267605633831</v>
      </c>
      <c r="R73" s="637"/>
      <c r="S73" s="40">
        <v>0.52708333333333324</v>
      </c>
      <c r="T73" s="40">
        <v>0.62569444444444433</v>
      </c>
      <c r="U73" s="427">
        <f t="shared" si="53"/>
        <v>58.999999999999872</v>
      </c>
      <c r="V73" s="439">
        <f t="shared" si="47"/>
        <v>141.99999999999997</v>
      </c>
      <c r="W73" s="23"/>
      <c r="X73" s="23"/>
      <c r="Y73" s="23"/>
      <c r="Z73" s="23"/>
      <c r="AA73" s="632"/>
      <c r="AB73" s="632"/>
      <c r="AC73" s="25"/>
      <c r="AD73" s="25"/>
      <c r="AE73" s="19">
        <f t="shared" si="43"/>
        <v>-114.92957746478851</v>
      </c>
      <c r="AF73" s="430">
        <f t="shared" si="54"/>
        <v>0.95211267605633809</v>
      </c>
      <c r="AG73" s="637"/>
    </row>
    <row r="74" spans="1:33" ht="15.75" customHeight="1">
      <c r="A74" s="635" t="s">
        <v>2248</v>
      </c>
      <c r="B74" s="440" t="s">
        <v>116</v>
      </c>
      <c r="C74" s="625" t="s">
        <v>1859</v>
      </c>
      <c r="D74" s="626"/>
      <c r="E74" s="42">
        <v>25.98</v>
      </c>
      <c r="F74" s="440">
        <v>3230</v>
      </c>
      <c r="G74" s="427">
        <f t="shared" si="45"/>
        <v>83915.4</v>
      </c>
      <c r="H74" s="37" t="s">
        <v>91</v>
      </c>
      <c r="I74" s="438">
        <v>19</v>
      </c>
      <c r="J74" s="39">
        <v>2400</v>
      </c>
      <c r="K74" s="17">
        <f t="shared" si="48"/>
        <v>126.31578947368421</v>
      </c>
      <c r="L74" s="438">
        <v>19</v>
      </c>
      <c r="M74" s="18">
        <f t="shared" si="46"/>
        <v>2307.1428571428564</v>
      </c>
      <c r="N74" s="17">
        <f t="shared" si="49"/>
        <v>121.42857142857139</v>
      </c>
      <c r="O74" s="19">
        <f t="shared" si="50"/>
        <v>0</v>
      </c>
      <c r="P74" s="20">
        <f t="shared" si="51"/>
        <v>-4.8872180451128173</v>
      </c>
      <c r="Q74" s="430">
        <f t="shared" si="52"/>
        <v>0.9613095238095235</v>
      </c>
      <c r="R74" s="637"/>
      <c r="S74" s="40">
        <v>0.62916666666666654</v>
      </c>
      <c r="T74" s="40">
        <v>0.68749999999999989</v>
      </c>
      <c r="U74" s="427">
        <f t="shared" si="53"/>
        <v>4.9999999999999822</v>
      </c>
      <c r="V74" s="439">
        <f t="shared" si="47"/>
        <v>84.000000000000028</v>
      </c>
      <c r="W74" s="23"/>
      <c r="X74" s="23"/>
      <c r="Y74" s="26"/>
      <c r="Z74" s="26"/>
      <c r="AA74" s="627"/>
      <c r="AB74" s="628"/>
      <c r="AC74" s="25"/>
      <c r="AD74" s="25"/>
      <c r="AE74" s="19">
        <f t="shared" si="43"/>
        <v>-92.857142857143572</v>
      </c>
      <c r="AF74" s="430">
        <f t="shared" si="54"/>
        <v>0.9613095238095235</v>
      </c>
      <c r="AG74" s="637"/>
    </row>
    <row r="75" spans="1:33" ht="15.75" customHeight="1">
      <c r="A75" s="635" t="s">
        <v>2249</v>
      </c>
      <c r="B75" s="440" t="s">
        <v>116</v>
      </c>
      <c r="C75" s="625" t="s">
        <v>123</v>
      </c>
      <c r="D75" s="626"/>
      <c r="E75" s="42">
        <v>26.18</v>
      </c>
      <c r="F75" s="440">
        <v>3060</v>
      </c>
      <c r="G75" s="427">
        <f t="shared" si="45"/>
        <v>80110.8</v>
      </c>
      <c r="H75" s="37" t="s">
        <v>91</v>
      </c>
      <c r="I75" s="438">
        <v>20</v>
      </c>
      <c r="J75" s="39">
        <v>2400</v>
      </c>
      <c r="K75" s="17">
        <f t="shared" si="48"/>
        <v>120</v>
      </c>
      <c r="L75" s="438">
        <v>20</v>
      </c>
      <c r="M75" s="18">
        <f t="shared" si="46"/>
        <v>2294.9999999999991</v>
      </c>
      <c r="N75" s="17">
        <f t="shared" si="49"/>
        <v>114.74999999999996</v>
      </c>
      <c r="O75" s="19">
        <f t="shared" si="50"/>
        <v>0</v>
      </c>
      <c r="P75" s="20">
        <f t="shared" si="51"/>
        <v>-5.2500000000000426</v>
      </c>
      <c r="Q75" s="430">
        <f t="shared" si="52"/>
        <v>0.9562499999999996</v>
      </c>
      <c r="R75" s="637"/>
      <c r="S75" s="40">
        <v>0.69166666666666654</v>
      </c>
      <c r="T75" s="40">
        <v>0.74722222222222212</v>
      </c>
      <c r="U75" s="427">
        <f t="shared" si="53"/>
        <v>5.9999999999999787</v>
      </c>
      <c r="V75" s="439">
        <f t="shared" si="47"/>
        <v>80.000000000000028</v>
      </c>
      <c r="W75" s="23"/>
      <c r="X75" s="23"/>
      <c r="Y75" s="26"/>
      <c r="Z75" s="26"/>
      <c r="AA75" s="627"/>
      <c r="AB75" s="628"/>
      <c r="AC75" s="25"/>
      <c r="AD75" s="25"/>
      <c r="AE75" s="19">
        <f t="shared" si="43"/>
        <v>-105.00000000000091</v>
      </c>
      <c r="AF75" s="430">
        <f t="shared" si="54"/>
        <v>0.9562499999999996</v>
      </c>
      <c r="AG75" s="637"/>
    </row>
    <row r="76" spans="1:33" ht="16.5" customHeight="1">
      <c r="A76" s="636" t="s">
        <v>2247</v>
      </c>
      <c r="B76" s="42" t="s">
        <v>2235</v>
      </c>
      <c r="C76" s="629"/>
      <c r="D76" s="630"/>
      <c r="E76" s="433"/>
      <c r="F76" s="44"/>
      <c r="G76" s="17"/>
      <c r="H76" s="440"/>
      <c r="I76" s="29">
        <v>17.125</v>
      </c>
      <c r="J76" s="39">
        <v>2400</v>
      </c>
      <c r="K76" s="17">
        <f t="shared" si="48"/>
        <v>140.14598540145985</v>
      </c>
      <c r="L76" s="29">
        <v>17.125</v>
      </c>
      <c r="M76" s="18">
        <f>AVERAGE(M68:M75)</f>
        <v>2294.1124854459408</v>
      </c>
      <c r="N76" s="17">
        <f t="shared" si="49"/>
        <v>133.96277287275566</v>
      </c>
      <c r="O76" s="19">
        <f t="shared" si="50"/>
        <v>0</v>
      </c>
      <c r="P76" s="20">
        <f t="shared" si="51"/>
        <v>-6.183212528704189</v>
      </c>
      <c r="Q76" s="430">
        <f t="shared" si="52"/>
        <v>0.95588020226914194</v>
      </c>
      <c r="R76" s="637"/>
      <c r="S76" s="40"/>
      <c r="T76" s="40"/>
      <c r="U76" s="17"/>
      <c r="V76" s="439"/>
      <c r="W76" s="17"/>
      <c r="X76" s="17"/>
      <c r="Y76" s="30">
        <f>SUM(Y68:Y75)</f>
        <v>0</v>
      </c>
      <c r="Z76" s="30">
        <f>SUM(Z68:Z75)</f>
        <v>0</v>
      </c>
      <c r="AA76" s="631"/>
      <c r="AB76" s="631"/>
      <c r="AC76" s="30">
        <v>8</v>
      </c>
      <c r="AD76" s="30">
        <f>SUM(AD68:AD75)</f>
        <v>0</v>
      </c>
      <c r="AE76" s="19">
        <f t="shared" si="43"/>
        <v>-105.88751455405918</v>
      </c>
      <c r="AF76" s="430">
        <f t="shared" si="54"/>
        <v>0.95588020226914205</v>
      </c>
      <c r="AG76" s="637"/>
    </row>
    <row r="77" spans="1:33">
      <c r="D77" s="33"/>
      <c r="E77" s="33"/>
    </row>
  </sheetData>
  <mergeCells count="195">
    <mergeCell ref="A68:A76"/>
    <mergeCell ref="C68:D68"/>
    <mergeCell ref="R68:R76"/>
    <mergeCell ref="AA68:AB68"/>
    <mergeCell ref="AG68:AG76"/>
    <mergeCell ref="C69:D69"/>
    <mergeCell ref="AA69:AB69"/>
    <mergeCell ref="C70:D70"/>
    <mergeCell ref="AA70:AB70"/>
    <mergeCell ref="C71:D71"/>
    <mergeCell ref="C75:D75"/>
    <mergeCell ref="AA75:AB75"/>
    <mergeCell ref="C76:D76"/>
    <mergeCell ref="AA76:AB76"/>
    <mergeCell ref="AA71:AB71"/>
    <mergeCell ref="C72:D72"/>
    <mergeCell ref="AA72:AB72"/>
    <mergeCell ref="C73:D73"/>
    <mergeCell ref="AA73:AB73"/>
    <mergeCell ref="C74:D74"/>
    <mergeCell ref="AA74:AB74"/>
    <mergeCell ref="AG62:AG67"/>
    <mergeCell ref="C63:D63"/>
    <mergeCell ref="AA63:AB63"/>
    <mergeCell ref="C64:D64"/>
    <mergeCell ref="AA64:AB64"/>
    <mergeCell ref="C65:D65"/>
    <mergeCell ref="AA65:AB65"/>
    <mergeCell ref="C66:D66"/>
    <mergeCell ref="AA66:AB66"/>
    <mergeCell ref="C67:D67"/>
    <mergeCell ref="A62:A67"/>
    <mergeCell ref="C62:D62"/>
    <mergeCell ref="R62:R67"/>
    <mergeCell ref="AA62:AB62"/>
    <mergeCell ref="AA67:AB67"/>
    <mergeCell ref="AA57:AB57"/>
    <mergeCell ref="C58:D58"/>
    <mergeCell ref="AA58:AB58"/>
    <mergeCell ref="C59:D59"/>
    <mergeCell ref="AA59:AB59"/>
    <mergeCell ref="C60:D60"/>
    <mergeCell ref="AA60:AB60"/>
    <mergeCell ref="A53:A61"/>
    <mergeCell ref="C53:D53"/>
    <mergeCell ref="R53:R61"/>
    <mergeCell ref="AA53:AB53"/>
    <mergeCell ref="AG53:AG61"/>
    <mergeCell ref="C54:D54"/>
    <mergeCell ref="AA54:AB54"/>
    <mergeCell ref="C55:D55"/>
    <mergeCell ref="AA55:AB55"/>
    <mergeCell ref="AA56:AB56"/>
    <mergeCell ref="AG48:AG52"/>
    <mergeCell ref="C49:D49"/>
    <mergeCell ref="AA49:AB49"/>
    <mergeCell ref="C50:D50"/>
    <mergeCell ref="AA50:AB50"/>
    <mergeCell ref="C51:D51"/>
    <mergeCell ref="AA51:AB51"/>
    <mergeCell ref="C52:D52"/>
    <mergeCell ref="AA52:AB52"/>
    <mergeCell ref="C61:D61"/>
    <mergeCell ref="AA61:AB61"/>
    <mergeCell ref="A48:A52"/>
    <mergeCell ref="C48:D48"/>
    <mergeCell ref="R48:R52"/>
    <mergeCell ref="AA48:AB48"/>
    <mergeCell ref="AG40:AG47"/>
    <mergeCell ref="C41:D41"/>
    <mergeCell ref="AA41:AB41"/>
    <mergeCell ref="C42:D42"/>
    <mergeCell ref="AA42:AB42"/>
    <mergeCell ref="C43:D43"/>
    <mergeCell ref="AA43:AB43"/>
    <mergeCell ref="C44:D44"/>
    <mergeCell ref="AA44:AB44"/>
    <mergeCell ref="C45:D45"/>
    <mergeCell ref="A40:A47"/>
    <mergeCell ref="C40:D40"/>
    <mergeCell ref="R40:R47"/>
    <mergeCell ref="AA40:AB40"/>
    <mergeCell ref="AA45:AB45"/>
    <mergeCell ref="C46:D46"/>
    <mergeCell ref="AA46:AB46"/>
    <mergeCell ref="C47:D47"/>
    <mergeCell ref="AA47:AB47"/>
    <mergeCell ref="A31:A39"/>
    <mergeCell ref="C31:D31"/>
    <mergeCell ref="R31:R39"/>
    <mergeCell ref="AA31:AB31"/>
    <mergeCell ref="AA36:AB36"/>
    <mergeCell ref="C37:D37"/>
    <mergeCell ref="AG31:AG39"/>
    <mergeCell ref="C32:D32"/>
    <mergeCell ref="AA32:AB32"/>
    <mergeCell ref="C33:D33"/>
    <mergeCell ref="AA33:AB33"/>
    <mergeCell ref="C34:D34"/>
    <mergeCell ref="AA34:AB34"/>
    <mergeCell ref="C35:D35"/>
    <mergeCell ref="AA35:AB35"/>
    <mergeCell ref="C36:D36"/>
    <mergeCell ref="AA37:AB37"/>
    <mergeCell ref="C39:D39"/>
    <mergeCell ref="AA39:AB39"/>
    <mergeCell ref="AG22:AG30"/>
    <mergeCell ref="C23:D23"/>
    <mergeCell ref="AA23:AB23"/>
    <mergeCell ref="C24:D24"/>
    <mergeCell ref="AA24:AB24"/>
    <mergeCell ref="C25:D25"/>
    <mergeCell ref="AA25:AB25"/>
    <mergeCell ref="C26:D26"/>
    <mergeCell ref="AA26:AB26"/>
    <mergeCell ref="C27:D27"/>
    <mergeCell ref="C28:D28"/>
    <mergeCell ref="AA28:AB28"/>
    <mergeCell ref="C30:D30"/>
    <mergeCell ref="AA30:AB30"/>
    <mergeCell ref="A22:A30"/>
    <mergeCell ref="C22:D22"/>
    <mergeCell ref="R22:R30"/>
    <mergeCell ref="AA22:AB22"/>
    <mergeCell ref="AA27:AB27"/>
    <mergeCell ref="A13:A21"/>
    <mergeCell ref="C13:D13"/>
    <mergeCell ref="R13:R21"/>
    <mergeCell ref="AA13:AB13"/>
    <mergeCell ref="AG13:AG21"/>
    <mergeCell ref="C14:D14"/>
    <mergeCell ref="AA14:AB14"/>
    <mergeCell ref="C15:D15"/>
    <mergeCell ref="AA15:AB15"/>
    <mergeCell ref="C16:D16"/>
    <mergeCell ref="A10:A12"/>
    <mergeCell ref="C10:D10"/>
    <mergeCell ref="R10:R12"/>
    <mergeCell ref="AA10:AB10"/>
    <mergeCell ref="AG10:AG12"/>
    <mergeCell ref="C11:D11"/>
    <mergeCell ref="AA11:AB11"/>
    <mergeCell ref="C12:D12"/>
    <mergeCell ref="AA12:AB12"/>
    <mergeCell ref="AA16:AB16"/>
    <mergeCell ref="C17:D17"/>
    <mergeCell ref="AA17:AB17"/>
    <mergeCell ref="C21:D21"/>
    <mergeCell ref="AA21:AB21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</mergeCells>
  <phoneticPr fontId="3" type="noConversion"/>
  <conditionalFormatting sqref="O65:O73 O61:O62 O76 O5:O10 O12:O14 O21:O58">
    <cfRule type="cellIs" dxfId="1670" priority="69" operator="greaterThan">
      <formula>0</formula>
    </cfRule>
  </conditionalFormatting>
  <conditionalFormatting sqref="P5:P8 P65:P66 AE65:AE66 P68:P73 P31:P38 P62 P10 P12:P14 P22:P29 P53:P58 P40:P51 AE5:AE62 AE68:AE76">
    <cfRule type="cellIs" dxfId="1669" priority="73" operator="lessThan">
      <formula>0</formula>
    </cfRule>
  </conditionalFormatting>
  <conditionalFormatting sqref="AF65:AF66 Q65:Q73 Q61:Q62 Q76 Q5:Q10 Q12:Q14 Q21:Q58 AF5:AF62 AF68:AF76">
    <cfRule type="cellIs" dxfId="1668" priority="70" operator="greaterThan">
      <formula>1</formula>
    </cfRule>
    <cfRule type="cellIs" dxfId="1667" priority="71" operator="lessThan">
      <formula>0.8</formula>
    </cfRule>
  </conditionalFormatting>
  <conditionalFormatting sqref="AG13:AG14 R13:R14 AG65 R65:R73 R21:R27 AG21:AG27 AG61:AG62 R61:R62 R76 AG5:AG10 R5:R10 AG30:AG58 R30:R58">
    <cfRule type="cellIs" dxfId="1666" priority="75" operator="lessThan">
      <formula>0.8</formula>
    </cfRule>
  </conditionalFormatting>
  <conditionalFormatting sqref="AG48">
    <cfRule type="cellIs" dxfId="1665" priority="77" operator="lessThan">
      <formula>0.8</formula>
    </cfRule>
  </conditionalFormatting>
  <conditionalFormatting sqref="AG22:AG27">
    <cfRule type="cellIs" dxfId="1664" priority="74" operator="lessThan">
      <formula>0.8</formula>
    </cfRule>
  </conditionalFormatting>
  <conditionalFormatting sqref="AG31">
    <cfRule type="cellIs" dxfId="1663" priority="76" operator="lessThan">
      <formula>0.8</formula>
    </cfRule>
  </conditionalFormatting>
  <conditionalFormatting sqref="AG40:AG46">
    <cfRule type="cellIs" dxfId="1662" priority="72" operator="lessThan">
      <formula>0.8</formula>
    </cfRule>
  </conditionalFormatting>
  <conditionalFormatting sqref="AE67">
    <cfRule type="cellIs" dxfId="1661" priority="68" operator="lessThan">
      <formula>0</formula>
    </cfRule>
  </conditionalFormatting>
  <conditionalFormatting sqref="AF67">
    <cfRule type="cellIs" dxfId="1660" priority="66" operator="greaterThan">
      <formula>1</formula>
    </cfRule>
    <cfRule type="cellIs" dxfId="1659" priority="67" operator="lessThan">
      <formula>0.8</formula>
    </cfRule>
  </conditionalFormatting>
  <conditionalFormatting sqref="O15:O16">
    <cfRule type="cellIs" dxfId="1658" priority="61" operator="greaterThan">
      <formula>0</formula>
    </cfRule>
  </conditionalFormatting>
  <conditionalFormatting sqref="P15:P16">
    <cfRule type="cellIs" dxfId="1657" priority="64" operator="lessThan">
      <formula>0</formula>
    </cfRule>
  </conditionalFormatting>
  <conditionalFormatting sqref="Q15:Q16">
    <cfRule type="cellIs" dxfId="1656" priority="62" operator="greaterThan">
      <formula>1</formula>
    </cfRule>
    <cfRule type="cellIs" dxfId="1655" priority="63" operator="lessThan">
      <formula>0.8</formula>
    </cfRule>
  </conditionalFormatting>
  <conditionalFormatting sqref="R15:R16 AG15:AG16">
    <cfRule type="cellIs" dxfId="1654" priority="65" operator="lessThan">
      <formula>0.8</formula>
    </cfRule>
  </conditionalFormatting>
  <conditionalFormatting sqref="O11">
    <cfRule type="cellIs" dxfId="1653" priority="57" operator="greaterThan">
      <formula>0</formula>
    </cfRule>
  </conditionalFormatting>
  <conditionalFormatting sqref="P11">
    <cfRule type="cellIs" dxfId="1652" priority="60" operator="lessThan">
      <formula>0</formula>
    </cfRule>
  </conditionalFormatting>
  <conditionalFormatting sqref="Q11">
    <cfRule type="cellIs" dxfId="1651" priority="58" operator="greaterThan">
      <formula>1</formula>
    </cfRule>
    <cfRule type="cellIs" dxfId="1650" priority="59" operator="lessThan">
      <formula>0.8</formula>
    </cfRule>
  </conditionalFormatting>
  <conditionalFormatting sqref="O59">
    <cfRule type="cellIs" dxfId="1649" priority="52" operator="greaterThan">
      <formula>0</formula>
    </cfRule>
  </conditionalFormatting>
  <conditionalFormatting sqref="P59">
    <cfRule type="cellIs" dxfId="1648" priority="55" operator="lessThan">
      <formula>0</formula>
    </cfRule>
  </conditionalFormatting>
  <conditionalFormatting sqref="Q59">
    <cfRule type="cellIs" dxfId="1647" priority="53" operator="greaterThan">
      <formula>1</formula>
    </cfRule>
    <cfRule type="cellIs" dxfId="1646" priority="54" operator="lessThan">
      <formula>0.8</formula>
    </cfRule>
  </conditionalFormatting>
  <conditionalFormatting sqref="R59 AG59">
    <cfRule type="cellIs" dxfId="1645" priority="56" operator="lessThan">
      <formula>0.8</formula>
    </cfRule>
  </conditionalFormatting>
  <conditionalFormatting sqref="AG29 R29">
    <cfRule type="cellIs" dxfId="1644" priority="51" operator="lessThan">
      <formula>0.8</formula>
    </cfRule>
  </conditionalFormatting>
  <conditionalFormatting sqref="O64">
    <cfRule type="cellIs" dxfId="1643" priority="46" operator="greaterThan">
      <formula>0</formula>
    </cfRule>
  </conditionalFormatting>
  <conditionalFormatting sqref="P64 AE64">
    <cfRule type="cellIs" dxfId="1642" priority="49" operator="lessThan">
      <formula>0</formula>
    </cfRule>
  </conditionalFormatting>
  <conditionalFormatting sqref="Q64 AF64">
    <cfRule type="cellIs" dxfId="1641" priority="47" operator="greaterThan">
      <formula>1</formula>
    </cfRule>
    <cfRule type="cellIs" dxfId="1640" priority="48" operator="lessThan">
      <formula>0.8</formula>
    </cfRule>
  </conditionalFormatting>
  <conditionalFormatting sqref="R64 AG64">
    <cfRule type="cellIs" dxfId="1639" priority="50" operator="lessThan">
      <formula>0.8</formula>
    </cfRule>
  </conditionalFormatting>
  <conditionalFormatting sqref="O74">
    <cfRule type="cellIs" dxfId="1638" priority="41" operator="greaterThan">
      <formula>0</formula>
    </cfRule>
  </conditionalFormatting>
  <conditionalFormatting sqref="P74">
    <cfRule type="cellIs" dxfId="1637" priority="44" operator="lessThan">
      <formula>0</formula>
    </cfRule>
  </conditionalFormatting>
  <conditionalFormatting sqref="Q74">
    <cfRule type="cellIs" dxfId="1636" priority="42" operator="greaterThan">
      <formula>1</formula>
    </cfRule>
    <cfRule type="cellIs" dxfId="1635" priority="43" operator="lessThan">
      <formula>0.8</formula>
    </cfRule>
  </conditionalFormatting>
  <conditionalFormatting sqref="R74">
    <cfRule type="cellIs" dxfId="1634" priority="45" operator="lessThan">
      <formula>0.8</formula>
    </cfRule>
  </conditionalFormatting>
  <conditionalFormatting sqref="O17:O18">
    <cfRule type="cellIs" dxfId="1633" priority="36" operator="greaterThan">
      <formula>0</formula>
    </cfRule>
  </conditionalFormatting>
  <conditionalFormatting sqref="P17:P18">
    <cfRule type="cellIs" dxfId="1632" priority="39" operator="lessThan">
      <formula>0</formula>
    </cfRule>
  </conditionalFormatting>
  <conditionalFormatting sqref="Q17:Q18">
    <cfRule type="cellIs" dxfId="1631" priority="37" operator="greaterThan">
      <formula>1</formula>
    </cfRule>
    <cfRule type="cellIs" dxfId="1630" priority="38" operator="lessThan">
      <formula>0.8</formula>
    </cfRule>
  </conditionalFormatting>
  <conditionalFormatting sqref="R17:R18 AG17:AG18">
    <cfRule type="cellIs" dxfId="1629" priority="40" operator="lessThan">
      <formula>0.8</formula>
    </cfRule>
  </conditionalFormatting>
  <conditionalFormatting sqref="O60">
    <cfRule type="cellIs" dxfId="1628" priority="31" operator="greaterThan">
      <formula>0</formula>
    </cfRule>
  </conditionalFormatting>
  <conditionalFormatting sqref="P60">
    <cfRule type="cellIs" dxfId="1627" priority="34" operator="lessThan">
      <formula>0</formula>
    </cfRule>
  </conditionalFormatting>
  <conditionalFormatting sqref="Q60">
    <cfRule type="cellIs" dxfId="1626" priority="32" operator="greaterThan">
      <formula>1</formula>
    </cfRule>
    <cfRule type="cellIs" dxfId="1625" priority="33" operator="lessThan">
      <formula>0.8</formula>
    </cfRule>
  </conditionalFormatting>
  <conditionalFormatting sqref="AG60 R60">
    <cfRule type="cellIs" dxfId="1624" priority="35" operator="lessThan">
      <formula>0.8</formula>
    </cfRule>
  </conditionalFormatting>
  <conditionalFormatting sqref="R28 AG28">
    <cfRule type="cellIs" dxfId="1623" priority="30" operator="lessThan">
      <formula>0.8</formula>
    </cfRule>
  </conditionalFormatting>
  <conditionalFormatting sqref="AG28">
    <cfRule type="cellIs" dxfId="1622" priority="29" operator="lessThan">
      <formula>0.8</formula>
    </cfRule>
  </conditionalFormatting>
  <conditionalFormatting sqref="O63">
    <cfRule type="cellIs" dxfId="1621" priority="24" operator="greaterThan">
      <formula>0</formula>
    </cfRule>
  </conditionalFormatting>
  <conditionalFormatting sqref="P63 AE63">
    <cfRule type="cellIs" dxfId="1620" priority="27" operator="lessThan">
      <formula>0</formula>
    </cfRule>
  </conditionalFormatting>
  <conditionalFormatting sqref="Q63 AF63">
    <cfRule type="cellIs" dxfId="1619" priority="25" operator="greaterThan">
      <formula>1</formula>
    </cfRule>
    <cfRule type="cellIs" dxfId="1618" priority="26" operator="lessThan">
      <formula>0.8</formula>
    </cfRule>
  </conditionalFormatting>
  <conditionalFormatting sqref="R63 AG63">
    <cfRule type="cellIs" dxfId="1617" priority="28" operator="lessThan">
      <formula>0.8</formula>
    </cfRule>
  </conditionalFormatting>
  <conditionalFormatting sqref="O19">
    <cfRule type="cellIs" dxfId="1616" priority="19" operator="greaterThan">
      <formula>0</formula>
    </cfRule>
  </conditionalFormatting>
  <conditionalFormatting sqref="P19">
    <cfRule type="cellIs" dxfId="1615" priority="22" operator="lessThan">
      <formula>0</formula>
    </cfRule>
  </conditionalFormatting>
  <conditionalFormatting sqref="Q19">
    <cfRule type="cellIs" dxfId="1614" priority="20" operator="greaterThan">
      <formula>1</formula>
    </cfRule>
    <cfRule type="cellIs" dxfId="1613" priority="21" operator="lessThan">
      <formula>0.8</formula>
    </cfRule>
  </conditionalFormatting>
  <conditionalFormatting sqref="AG19 R19">
    <cfRule type="cellIs" dxfId="1612" priority="23" operator="lessThan">
      <formula>0.8</formula>
    </cfRule>
  </conditionalFormatting>
  <conditionalFormatting sqref="O20">
    <cfRule type="cellIs" dxfId="1611" priority="14" operator="greaterThan">
      <formula>0</formula>
    </cfRule>
  </conditionalFormatting>
  <conditionalFormatting sqref="P20">
    <cfRule type="cellIs" dxfId="1610" priority="17" operator="lessThan">
      <formula>0</formula>
    </cfRule>
  </conditionalFormatting>
  <conditionalFormatting sqref="Q20">
    <cfRule type="cellIs" dxfId="1609" priority="15" operator="greaterThan">
      <formula>1</formula>
    </cfRule>
    <cfRule type="cellIs" dxfId="1608" priority="16" operator="lessThan">
      <formula>0.8</formula>
    </cfRule>
  </conditionalFormatting>
  <conditionalFormatting sqref="AG20 R20">
    <cfRule type="cellIs" dxfId="1607" priority="18" operator="lessThan">
      <formula>0.8</formula>
    </cfRule>
  </conditionalFormatting>
  <conditionalFormatting sqref="P9">
    <cfRule type="cellIs" dxfId="1606" priority="13" operator="lessThan">
      <formula>0</formula>
    </cfRule>
  </conditionalFormatting>
  <conditionalFormatting sqref="P21">
    <cfRule type="cellIs" dxfId="1605" priority="12" operator="lessThan">
      <formula>0</formula>
    </cfRule>
  </conditionalFormatting>
  <conditionalFormatting sqref="P30">
    <cfRule type="cellIs" dxfId="1604" priority="11" operator="lessThan">
      <formula>0</formula>
    </cfRule>
  </conditionalFormatting>
  <conditionalFormatting sqref="P39">
    <cfRule type="cellIs" dxfId="1603" priority="10" operator="lessThan">
      <formula>0</formula>
    </cfRule>
  </conditionalFormatting>
  <conditionalFormatting sqref="P52">
    <cfRule type="cellIs" dxfId="1602" priority="9" operator="lessThan">
      <formula>0</formula>
    </cfRule>
  </conditionalFormatting>
  <conditionalFormatting sqref="P61">
    <cfRule type="cellIs" dxfId="1601" priority="8" operator="lessThan">
      <formula>0</formula>
    </cfRule>
  </conditionalFormatting>
  <conditionalFormatting sqref="P67">
    <cfRule type="cellIs" dxfId="1600" priority="7" operator="lessThan">
      <formula>0</formula>
    </cfRule>
  </conditionalFormatting>
  <conditionalFormatting sqref="P76">
    <cfRule type="cellIs" dxfId="1599" priority="6" operator="lessThan">
      <formula>0</formula>
    </cfRule>
  </conditionalFormatting>
  <conditionalFormatting sqref="O75">
    <cfRule type="cellIs" dxfId="1598" priority="1" operator="greaterThan">
      <formula>0</formula>
    </cfRule>
  </conditionalFormatting>
  <conditionalFormatting sqref="P75">
    <cfRule type="cellIs" dxfId="1597" priority="4" operator="lessThan">
      <formula>0</formula>
    </cfRule>
  </conditionalFormatting>
  <conditionalFormatting sqref="Q75">
    <cfRule type="cellIs" dxfId="1596" priority="2" operator="greaterThan">
      <formula>1</formula>
    </cfRule>
    <cfRule type="cellIs" dxfId="1595" priority="3" operator="lessThan">
      <formula>0.8</formula>
    </cfRule>
  </conditionalFormatting>
  <conditionalFormatting sqref="R75">
    <cfRule type="cellIs" dxfId="1594" priority="5" operator="lessThan">
      <formula>0.8</formula>
    </cfRule>
  </conditionalFormatting>
  <dataValidations count="1">
    <dataValidation type="list" allowBlank="1" showInputMessage="1" showErrorMessage="1" sqref="AB9 AA5:AB8 AB66 AA9:AA66 AB11:AB62 AA67:AB76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P6" sqref="P6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612" t="s">
        <v>2129</v>
      </c>
      <c r="C1" s="612"/>
      <c r="D1" s="612"/>
      <c r="E1" s="612"/>
      <c r="F1" s="612"/>
      <c r="G1" s="612"/>
      <c r="H1" s="612"/>
      <c r="I1" s="612"/>
      <c r="J1" s="612"/>
      <c r="K1" s="51"/>
      <c r="L1" s="51"/>
      <c r="M1" s="51"/>
      <c r="N1" s="51"/>
      <c r="O1" s="51"/>
      <c r="P1" s="51"/>
    </row>
    <row r="2" spans="2:17" ht="27.75" customHeight="1">
      <c r="B2" s="613"/>
      <c r="C2" s="613"/>
      <c r="D2" s="613"/>
      <c r="E2" s="613"/>
      <c r="F2" s="613"/>
      <c r="G2" s="613"/>
      <c r="H2" s="613"/>
      <c r="I2" s="613"/>
      <c r="J2" s="613"/>
      <c r="K2" s="53"/>
      <c r="L2" s="53"/>
      <c r="M2" s="53"/>
      <c r="N2" s="51"/>
      <c r="O2" s="51"/>
      <c r="P2" s="51"/>
    </row>
    <row r="3" spans="2:17" ht="46.5" customHeight="1">
      <c r="B3" s="54" t="s">
        <v>152</v>
      </c>
      <c r="C3" s="614" t="str">
        <f>TEXT('0822 4度C'!A2,"yyyy.mm.ddaaaa")</f>
        <v>2026.08.22星期六</v>
      </c>
      <c r="D3" s="615"/>
      <c r="E3" s="54" t="s">
        <v>317</v>
      </c>
      <c r="F3" s="616">
        <f>'0822 4度C'!D1</f>
        <v>146517</v>
      </c>
      <c r="G3" s="617"/>
      <c r="H3" s="54" t="s">
        <v>2130</v>
      </c>
      <c r="I3" s="618">
        <f>'0822 4度C'!F1</f>
        <v>5134559.96</v>
      </c>
      <c r="J3" s="619"/>
      <c r="K3" s="55"/>
      <c r="L3" s="56"/>
      <c r="M3" s="57"/>
      <c r="N3" s="57"/>
    </row>
    <row r="4" spans="2:17" ht="28.5" customHeight="1">
      <c r="B4" s="620" t="s">
        <v>319</v>
      </c>
      <c r="C4" s="606" t="s">
        <v>2131</v>
      </c>
      <c r="D4" s="607"/>
      <c r="E4" s="623" t="s">
        <v>2132</v>
      </c>
      <c r="F4" s="624"/>
      <c r="G4" s="623" t="s">
        <v>2133</v>
      </c>
      <c r="H4" s="624"/>
      <c r="I4" s="623" t="s">
        <v>323</v>
      </c>
      <c r="J4" s="624"/>
      <c r="K4" s="604" t="s">
        <v>324</v>
      </c>
      <c r="L4" s="605"/>
      <c r="M4" s="605" t="s">
        <v>161</v>
      </c>
      <c r="N4" s="605"/>
    </row>
    <row r="5" spans="2:17" ht="28.5" customHeight="1">
      <c r="B5" s="621"/>
      <c r="C5" s="606" t="s">
        <v>2134</v>
      </c>
      <c r="D5" s="607"/>
      <c r="E5" s="606" t="s">
        <v>2135</v>
      </c>
      <c r="F5" s="607"/>
      <c r="G5" s="608" t="s">
        <v>2136</v>
      </c>
      <c r="H5" s="609"/>
      <c r="I5" s="610" t="s">
        <v>2137</v>
      </c>
      <c r="J5" s="611"/>
      <c r="K5" s="58" t="s">
        <v>2138</v>
      </c>
      <c r="L5" s="59" t="s">
        <v>2139</v>
      </c>
      <c r="M5" s="58" t="s">
        <v>2138</v>
      </c>
      <c r="N5" s="59" t="s">
        <v>2140</v>
      </c>
    </row>
    <row r="6" spans="2:17" ht="28.5" customHeight="1">
      <c r="B6" s="621"/>
      <c r="C6" s="606" t="s">
        <v>169</v>
      </c>
      <c r="D6" s="607"/>
      <c r="E6" s="598">
        <f>AVERAGE(D13:M13)</f>
        <v>155.07332118111279</v>
      </c>
      <c r="F6" s="599">
        <f>AVERAGE(D31:O31,D13:J13)</f>
        <v>161.94346061339868</v>
      </c>
      <c r="G6" s="600">
        <f>AVERAGE(D13:J13)</f>
        <v>161.94346061339868</v>
      </c>
      <c r="H6" s="601"/>
      <c r="I6" s="600">
        <f>AVERAGE(K13:M13)</f>
        <v>139.04299583911234</v>
      </c>
      <c r="J6" s="601"/>
      <c r="K6" s="602">
        <f>'0822 4度C'!Y2</f>
        <v>0</v>
      </c>
      <c r="L6" s="587">
        <f>'0822 4度C'!Z2</f>
        <v>0</v>
      </c>
      <c r="M6" s="603">
        <f>'0822 4度C'!AC2</f>
        <v>53</v>
      </c>
      <c r="N6" s="587">
        <f>'0822 4度C'!AD2</f>
        <v>0</v>
      </c>
    </row>
    <row r="7" spans="2:17" ht="28.5" customHeight="1">
      <c r="B7" s="621"/>
      <c r="C7" s="588" t="s">
        <v>170</v>
      </c>
      <c r="D7" s="589"/>
      <c r="E7" s="590">
        <f>AVERAGE(D14:M14)</f>
        <v>148.50510276832819</v>
      </c>
      <c r="F7" s="591">
        <f>AVERAGE(D32:O32,D14:J14)</f>
        <v>155.11696373448146</v>
      </c>
      <c r="G7" s="592">
        <f>AVERAGE(D14:J14)</f>
        <v>155.11696373448146</v>
      </c>
      <c r="H7" s="593"/>
      <c r="I7" s="592">
        <f>AVERAGE(K14:M14)</f>
        <v>133.07742718063716</v>
      </c>
      <c r="J7" s="593"/>
      <c r="K7" s="602"/>
      <c r="L7" s="587"/>
      <c r="M7" s="603"/>
      <c r="N7" s="587"/>
    </row>
    <row r="8" spans="2:17" ht="28.5" customHeight="1">
      <c r="B8" s="622"/>
      <c r="C8" s="588" t="s">
        <v>171</v>
      </c>
      <c r="D8" s="589"/>
      <c r="E8" s="594">
        <f>AVERAGE(D15:M15)</f>
        <v>0.95786048726292106</v>
      </c>
      <c r="F8" s="595">
        <f>AVERAGE(D15:J15,D33:O33)</f>
        <v>0.95822360835456677</v>
      </c>
      <c r="G8" s="596">
        <f>AVERAGE(D15:J15)</f>
        <v>0.95822360835456677</v>
      </c>
      <c r="H8" s="597"/>
      <c r="I8" s="596">
        <f>AVERAGE(K15:M15)</f>
        <v>0.95701320471574791</v>
      </c>
      <c r="J8" s="597"/>
      <c r="K8" s="602"/>
      <c r="L8" s="587"/>
      <c r="M8" s="603"/>
      <c r="N8" s="587"/>
    </row>
    <row r="9" spans="2:17" ht="28.5" customHeight="1" thickBot="1">
      <c r="H9" s="61"/>
      <c r="K9" s="62" t="s">
        <v>172</v>
      </c>
      <c r="N9" s="57"/>
      <c r="O9" s="57"/>
      <c r="P9" s="57"/>
      <c r="Q9" s="57"/>
    </row>
    <row r="10" spans="2:17" ht="30" customHeight="1">
      <c r="B10" s="570" t="s">
        <v>2141</v>
      </c>
      <c r="C10" s="571"/>
      <c r="D10" s="572" t="s">
        <v>2142</v>
      </c>
      <c r="E10" s="573"/>
      <c r="F10" s="573"/>
      <c r="G10" s="573"/>
      <c r="H10" s="573"/>
      <c r="I10" s="573"/>
      <c r="J10" s="574"/>
      <c r="K10" s="575" t="s">
        <v>2143</v>
      </c>
      <c r="L10" s="576"/>
      <c r="M10" s="577"/>
      <c r="P10" s="63"/>
      <c r="Q10" s="63"/>
    </row>
    <row r="11" spans="2:17" ht="17.25" customHeight="1">
      <c r="B11" s="578" t="s">
        <v>2144</v>
      </c>
      <c r="C11" s="579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80"/>
      <c r="C12" s="581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582" t="s">
        <v>26</v>
      </c>
      <c r="C13" s="70" t="s">
        <v>240</v>
      </c>
      <c r="D13" s="71">
        <f>SUMIFS('0822 4度C'!$K:$K,'0822 4度C'!$A:$A,"新豐6線",'0822 4度C'!$B:$B,"平均")</f>
        <v>129.03225806451613</v>
      </c>
      <c r="E13" s="72">
        <f>SUMIFS('0822 4度C'!$K:$K,'0822 4度C'!$A:$A,"新豐2線",'0822 4度C'!$B:$B,"平均")</f>
        <v>83.333333333333329</v>
      </c>
      <c r="F13" s="73">
        <f>SUMIFS('0822 4度C'!$K:$K,'0822 4度C'!$A:$A,"新豐5線",'0822 4度C'!$B:$B,"平均")</f>
        <v>93.75</v>
      </c>
      <c r="G13" s="73">
        <f>SUMIFS('0822 4度C'!$K:$K,'0822 4度C'!$A:$A,"新豐7線",'0822 4度C'!$B:$B,"平均")</f>
        <v>123.89380530973452</v>
      </c>
      <c r="H13" s="73">
        <f>SUMIFS('0822 4度C'!$K:$K,'0822 4度C'!$A:$A,"新豐3線",'0822 4度C'!$B:$B,"平均")</f>
        <v>281.25</v>
      </c>
      <c r="I13" s="73">
        <f>SUMIFS('0822 4度C'!$K:$K,'0822 4度C'!$A:$A,"新豐1線",'0822 4度C'!$B:$B,"平均")</f>
        <v>112</v>
      </c>
      <c r="J13" s="74">
        <f>SUMIFS('0822 4度C'!$K:$K,'0822 4度C'!$A:$A,"新豐10線",'0822 4度C'!$B:$B,"平均")</f>
        <v>310.34482758620692</v>
      </c>
      <c r="K13" s="75">
        <f>SUMIFS('0822 4度C'!$K:$K,'0822 4度C'!$A:$A,"新豐8線",'0822 4度C'!$B:$B,"平均")</f>
        <v>150</v>
      </c>
      <c r="L13" s="76">
        <f>SUMIFS('0822 4度C'!$K:$K,'0822 4度C'!$A:$A,"新豐9線",'0822 4度C'!$B:$B,"平均")</f>
        <v>124.27184466019418</v>
      </c>
      <c r="M13" s="74">
        <f>SUMIFS('0822 4度C'!$K:$K,'0822 4度C'!$A:$A,"新豐4線",'0822 4度C'!$B:$B,"平均")</f>
        <v>142.85714285714286</v>
      </c>
    </row>
    <row r="14" spans="2:17" ht="39.6" customHeight="1">
      <c r="B14" s="583"/>
      <c r="C14" s="77" t="s">
        <v>2145</v>
      </c>
      <c r="D14" s="78">
        <f>SUMIFS('0822 4度C'!$N:$N,'0822 4度C'!$A:$A,"新豐6線",'0822 4度C'!$B:$B,"平均")</f>
        <v>124.15666188519093</v>
      </c>
      <c r="E14" s="79">
        <f>SUMIFS('0822 4度C'!$N:$N,'0822 4度C'!$A:$A,"新豐2線",'0822 4度C'!$B:$B,"平均")</f>
        <v>79.525637217944904</v>
      </c>
      <c r="F14" s="79">
        <f>SUMIFS('0822 4度C'!$N:$N,'0822 4度C'!$A:$A,"新豐5線",'0822 4度C'!$B:$B,"平均")</f>
        <v>89.633287978031916</v>
      </c>
      <c r="G14" s="79">
        <f>SUMIFS('0822 4度C'!$N:$N,'0822 4度C'!$A:$A,"新豐7線",'0822 4度C'!$B:$B,"平均")</f>
        <v>118.97958001010063</v>
      </c>
      <c r="H14" s="79">
        <f>SUMIFS('0822 4度C'!$N:$N,'0822 4度C'!$A:$A,"新豐3線",'0822 4度C'!$B:$B,"平均")</f>
        <v>269.64058208435659</v>
      </c>
      <c r="I14" s="79">
        <f>SUMIFS('0822 4度C'!$N:$N,'0822 4度C'!$A:$A,"新豐1線",'0822 4度C'!$B:$B,"平均")</f>
        <v>107.68654980483261</v>
      </c>
      <c r="J14" s="80">
        <f>SUMIFS('0822 4度C'!$N:$N,'0822 4度C'!$A:$A,"新豐10線",'0822 4度C'!$B:$B,"平均")</f>
        <v>296.19644716091267</v>
      </c>
      <c r="K14" s="81">
        <f>SUMIFS('0822 4度C'!$N:$N,'0822 4度C'!$A:$A,"新豐8線",'0822 4度C'!$B:$B,"平均")</f>
        <v>143.30706745841727</v>
      </c>
      <c r="L14" s="82">
        <f>SUMIFS('0822 4度C'!$N:$N,'0822 4度C'!$A:$A,"新豐9線",'0822 4度C'!$B:$B,"平均")</f>
        <v>118.62224796656949</v>
      </c>
      <c r="M14" s="80">
        <f>SUMIFS('0822 4度C'!$N:$N,'0822 4度C'!$A:$A,"新豐4線",'0822 4度C'!$B:$B,"平均")</f>
        <v>137.30296611692475</v>
      </c>
    </row>
    <row r="15" spans="2:17" ht="40.15" customHeight="1">
      <c r="B15" s="584"/>
      <c r="C15" s="83" t="s">
        <v>242</v>
      </c>
      <c r="D15" s="84">
        <f t="shared" ref="D15:M15" si="0">D14/D13</f>
        <v>0.96221412961022967</v>
      </c>
      <c r="E15" s="85">
        <f t="shared" si="0"/>
        <v>0.95430764661533896</v>
      </c>
      <c r="F15" s="85">
        <f t="shared" si="0"/>
        <v>0.95608840509900705</v>
      </c>
      <c r="G15" s="85">
        <f t="shared" si="0"/>
        <v>0.96033518151009789</v>
      </c>
      <c r="H15" s="85">
        <f t="shared" si="0"/>
        <v>0.95872206963326789</v>
      </c>
      <c r="I15" s="85">
        <f t="shared" si="0"/>
        <v>0.96148705182886263</v>
      </c>
      <c r="J15" s="86">
        <f t="shared" si="0"/>
        <v>0.95441077418516296</v>
      </c>
      <c r="K15" s="84">
        <f t="shared" si="0"/>
        <v>0.9553804497227818</v>
      </c>
      <c r="L15" s="85">
        <f t="shared" si="0"/>
        <v>0.9545384016059888</v>
      </c>
      <c r="M15" s="86">
        <f t="shared" si="0"/>
        <v>0.96112076281847325</v>
      </c>
    </row>
    <row r="16" spans="2:17" ht="17.25" customHeight="1">
      <c r="B16" s="585" t="s">
        <v>2146</v>
      </c>
      <c r="C16" s="87" t="s">
        <v>244</v>
      </c>
      <c r="D16" s="88">
        <f>VLOOKUP("新豐6線",'0822 4度C'!$A:$T,19,0)</f>
        <v>0.70833333333333337</v>
      </c>
      <c r="E16" s="89">
        <f>VLOOKUP("新豐2線",'0822 4度C'!$A:$T,19,0)</f>
        <v>8.3333333333333329E-2</v>
      </c>
      <c r="F16" s="89">
        <f>VLOOKUP("新豐5線",'0822 4度C'!$A:$T,19,0)</f>
        <v>0.20833333333333334</v>
      </c>
      <c r="G16" s="89">
        <f>VLOOKUP("新豐7線",'0822 4度C'!$A:$T,19,0)</f>
        <v>0.20833333333333334</v>
      </c>
      <c r="H16" s="89">
        <f>VLOOKUP("新豐3線",'0822 4度C'!$A:$T,19,0)</f>
        <v>0.20833333333333334</v>
      </c>
      <c r="I16" s="89">
        <f>VLOOKUP("新豐1線",'0822 4度C'!$A:$T,19,0)</f>
        <v>0.20833333333333334</v>
      </c>
      <c r="J16" s="90">
        <f>VLOOKUP("新豐10線",'0822 4度C'!$A:$T,19,0)</f>
        <v>0.20833333333333334</v>
      </c>
      <c r="K16" s="91">
        <f>VLOOKUP("新豐8線",'0822 4度C'!$A:$T,19,0)</f>
        <v>8.3333333333333329E-2</v>
      </c>
      <c r="L16" s="92">
        <f>VLOOKUP("新豐9線",'0822 4度C'!$A:$T,19,0)</f>
        <v>8.3333333333333329E-2</v>
      </c>
      <c r="M16" s="93">
        <f>VLOOKUP("新豐4線",'0822 4度C'!$A:$T,19,0)</f>
        <v>8.3333333333333329E-2</v>
      </c>
    </row>
    <row r="17" spans="2:13" ht="17.25" customHeight="1">
      <c r="B17" s="586"/>
      <c r="C17" s="87" t="s">
        <v>2147</v>
      </c>
      <c r="D17" s="91">
        <f>LOOKUP(2,1/(('0822 4度C'!$A:$A="新豐6線")*('0822 4度C'!$T:$T&lt;&gt;"")),'0822 4度C'!$T:$T)</f>
        <v>0.90416666666666667</v>
      </c>
      <c r="E17" s="89">
        <f>LOOKUP(2,1/(('0822 4度C'!$A:$A="新豐2線")*('0822 4度C'!$T:$T&lt;&gt;"")),'0822 4度C'!$T:$T)</f>
        <v>0.39930555555555558</v>
      </c>
      <c r="F17" s="89">
        <f>LOOKUP(2,1/(('0822 4度C'!$A:$A="新豐5線")*('0822 4度C'!$T:$T&lt;&gt;"")),'0822 4度C'!$T:$T)</f>
        <v>0.83958333333333335</v>
      </c>
      <c r="G17" s="89">
        <f>LOOKUP(2,1/(('0822 4度C'!$A:$A="新豐7線")*('0822 4度C'!$T:$T&lt;&gt;"")),'0822 4度C'!$T:$T)</f>
        <v>0.8354166666666667</v>
      </c>
      <c r="H17" s="89">
        <f>LOOKUP(2,1/(('0822 4度C'!$A:$A="新豐3線")*('0822 4度C'!$T:$T&lt;&gt;"")),'0822 4度C'!$T:$T)</f>
        <v>0.41111111111111109</v>
      </c>
      <c r="I17" s="89">
        <f>LOOKUP(2,1/(('0822 4度C'!$A:$A="新豐1線")*('0822 4度C'!$T:$T&lt;&gt;"")),'0822 4度C'!$T:$T)</f>
        <v>0.82013888888888897</v>
      </c>
      <c r="J17" s="90">
        <f>LOOKUP(2,1/(('0822 4度C'!$A:$A="新豐10線")*('0822 4度C'!$T:$T&lt;&gt;"")),'0822 4度C'!$T:$T)</f>
        <v>0.38263888888888881</v>
      </c>
      <c r="K17" s="88">
        <f>LOOKUP(2,1/(('0822 4度C'!$A:$A="新豐8線")*('0822 4度C'!$T:$T&lt;&gt;"")),'0822 4度C'!$T:$T)</f>
        <v>0.58472222222222214</v>
      </c>
      <c r="L17" s="89">
        <f>LOOKUP(2,1/(('0822 4度C'!$A:$A="新豐9線")*('0822 4度C'!$T:$T&lt;&gt;"")),'0822 4度C'!$T:$T)</f>
        <v>0.60555555555555551</v>
      </c>
      <c r="M17" s="90">
        <f>LOOKUP(2,1/(('0822 4度C'!$A:$A="新豐4線")*('0822 4度C'!$T:$T&lt;&gt;"")),'0822 4度C'!$T:$T)</f>
        <v>0.50763888888888886</v>
      </c>
    </row>
    <row r="18" spans="2:13" ht="17.25" customHeight="1">
      <c r="B18" s="564" t="s">
        <v>2148</v>
      </c>
      <c r="C18" s="94" t="s">
        <v>2149</v>
      </c>
      <c r="D18" s="95">
        <f>SUMIFS('0822 4度C'!$Y:$Y,'0822 4度C'!$A:$A,"新豐6線",'0822 4度C'!$B:$B,"平均")</f>
        <v>0</v>
      </c>
      <c r="E18" s="96">
        <f>SUMIFS('0822 4度C'!$Y:$Y,'0822 4度C'!$A:$A,"新豐2線",'0822 4度C'!$B:$B,"平均")</f>
        <v>0</v>
      </c>
      <c r="F18" s="96">
        <f>SUMIFS('0822 4度C'!$Y:$Y,'0822 4度C'!$A:$A,"新豐5線",'0822 4度C'!$B:$B,"平均")</f>
        <v>0</v>
      </c>
      <c r="G18" s="96">
        <f>SUMIFS('0822 4度C'!$Y:$Y,'0822 4度C'!$A:$A,"新豐7線",'0822 4度C'!$B:$B,"平均")</f>
        <v>0</v>
      </c>
      <c r="H18" s="96">
        <f>SUMIFS('0822 4度C'!$Y:$Y,'0822 4度C'!$A:$A,"新豐3線",'0822 4度C'!$B:$B,"平均")</f>
        <v>0</v>
      </c>
      <c r="I18" s="96">
        <f>SUMIFS('0822 4度C'!$Y:$Y,'0822 4度C'!$A:$A,"新豐1線",'0822 4度C'!$B:$B,"平均")</f>
        <v>0</v>
      </c>
      <c r="J18" s="97">
        <f>SUMIFS('0822 4度C'!$Y:$Y,'0822 4度C'!$A:$A,"新豐10線",'0822 4度C'!$B:$B,"平均")</f>
        <v>0</v>
      </c>
      <c r="K18" s="98">
        <f>SUMIFS('0822 4度C'!$Y:$Y,'0822 4度C'!$A:$A,"新豐8線",'0822 4度C'!$B:$B,"平均")</f>
        <v>0</v>
      </c>
      <c r="L18" s="96">
        <f>SUMIFS('0822 4度C'!$Y:$Y,'0822 4度C'!$A:$A,"新豐9線",'0822 4度C'!$B:$B,"平均")</f>
        <v>0</v>
      </c>
      <c r="M18" s="97">
        <f>SUMIFS('0822 4度C'!$Y:$Y,'0822 4度C'!$A:$A,"新豐4線",'0822 4度C'!$B:$B,"平均")</f>
        <v>0</v>
      </c>
    </row>
    <row r="19" spans="2:13" ht="17.25" customHeight="1">
      <c r="B19" s="565"/>
      <c r="C19" s="94" t="s">
        <v>2150</v>
      </c>
      <c r="D19" s="95">
        <f>SUMIFS('0822 4度C'!$Z:$Z,'0822 4度C'!$A:$A,"新豐6線",'0822 4度C'!$B:$B,"平均")</f>
        <v>0</v>
      </c>
      <c r="E19" s="96">
        <f>SUMIFS('0822 4度C'!$Z:$Z,'0822 4度C'!$A:$A,"新豐2線",'0822 4度C'!$B:$B,"平均")</f>
        <v>0</v>
      </c>
      <c r="F19" s="96">
        <f>SUMIFS('0822 4度C'!$Z:$Z,'0822 4度C'!$A:$A,"新豐5線",'0822 4度C'!$B:$B,"平均")</f>
        <v>0</v>
      </c>
      <c r="G19" s="96">
        <f>SUMIFS('0822 4度C'!$Z:$Z,'0822 4度C'!$A:$A,"新豐7線",'0822 4度C'!$B:$B,"平均")</f>
        <v>0</v>
      </c>
      <c r="H19" s="96">
        <f>SUMIFS('0822 4度C'!$Z:$Z,'0822 4度C'!$A:$A,"新豐3線",'0822 4度C'!$B:$B,"平均")</f>
        <v>0</v>
      </c>
      <c r="I19" s="96">
        <f>SUMIFS('0822 4度C'!$Z:$Z,'0822 4度C'!$A:$A,"新豐1線",'0822 4度C'!$B:$B,"平均")</f>
        <v>0</v>
      </c>
      <c r="J19" s="97">
        <f>SUMIFS('0822 4度C'!$Z:$Z,'0822 4度C'!$A:$A,"新豐10線",'0822 4度C'!$B:$B,"平均")</f>
        <v>0</v>
      </c>
      <c r="K19" s="98">
        <f>SUMIFS('0822 4度C'!$Z:$Z,'0822 4度C'!$A:$A,"新豐8線",'0822 4度C'!$B:$B,"平均")</f>
        <v>0</v>
      </c>
      <c r="L19" s="96">
        <f>SUMIFS('0822 4度C'!$Z:$Z,'0822 4度C'!$A:$A,"新豐9線",'0822 4度C'!$B:$B,"平均")</f>
        <v>0</v>
      </c>
      <c r="M19" s="97">
        <f>SUMIFS('0822 4度C'!$Z:$Z,'0822 4度C'!$A:$A,"新豐4線",'0822 4度C'!$B:$B,"平均")</f>
        <v>0</v>
      </c>
    </row>
    <row r="20" spans="2:13" ht="17.25" customHeight="1">
      <c r="B20" s="564" t="s">
        <v>249</v>
      </c>
      <c r="C20" s="94" t="s">
        <v>2151</v>
      </c>
      <c r="D20" s="95">
        <f>SUMIFS('0822 4度C'!$AC:$AC,'0822 4度C'!$A:$A,"新豐6線",'0822 4度C'!$B:$B,"平均")</f>
        <v>4</v>
      </c>
      <c r="E20" s="96">
        <f>SUMIFS('0822 4度C'!$AC:$AC,'0822 4度C'!$A:$A,"新豐2線",'0822 4度C'!$B:$B,"平均")</f>
        <v>2</v>
      </c>
      <c r="F20" s="96">
        <f>SUMIFS('0822 4度C'!$AC:$AC,'0822 4度C'!$A:$A,"新豐5線",'0822 4度C'!$B:$B,"平均")</f>
        <v>7</v>
      </c>
      <c r="G20" s="96">
        <f>SUMIFS('0822 4度C'!$AC:$AC,'0822 4度C'!$A:$A,"新豐7線",'0822 4度C'!$B:$B,"平均")</f>
        <v>7</v>
      </c>
      <c r="H20" s="96">
        <f>SUMIFS('0822 4度C'!$AC:$AC,'0822 4度C'!$A:$A,"新豐3線",'0822 4度C'!$B:$B,"平均")</f>
        <v>3</v>
      </c>
      <c r="I20" s="96">
        <f>SUMIFS('0822 4度C'!$AC:$AC,'0822 4度C'!$A:$A,"新豐1線",'0822 4度C'!$B:$B,"平均")</f>
        <v>7</v>
      </c>
      <c r="J20" s="97">
        <f>SUMIFS('0822 4度C'!$AC:$AC,'0822 4度C'!$A:$A,"新豐10線",'0822 4度C'!$B:$B,"平均")</f>
        <v>6</v>
      </c>
      <c r="K20" s="98">
        <f>SUMIFS('0822 4度C'!$AC:$AC,'0822 4度C'!$A:$A,"新豐8線",'0822 4度C'!$B:$B,"平均")</f>
        <v>6</v>
      </c>
      <c r="L20" s="96">
        <f>SUMIFS('0822 4度C'!$AC:$AC,'0822 4度C'!$A:$A,"新豐9線",'0822 4度C'!$B:$B,"平均")</f>
        <v>6</v>
      </c>
      <c r="M20" s="97">
        <f>SUMIFS('0822 4度C'!$AC:$AC,'0822 4度C'!$A:$A,"新豐4線",'0822 4度C'!$B:$B,"平均")</f>
        <v>5</v>
      </c>
    </row>
    <row r="21" spans="2:13" ht="17.25" customHeight="1">
      <c r="B21" s="565"/>
      <c r="C21" s="94" t="s">
        <v>2152</v>
      </c>
      <c r="D21" s="95">
        <f>SUMIFS('0822 4度C'!$AD:$AD,'0822 4度C'!$A:$A,"新豐6線",'0822 4度C'!$B:$B,"平均")</f>
        <v>0</v>
      </c>
      <c r="E21" s="96">
        <f>SUMIFS('0822 4度C'!$AD:$AD,'0822 4度C'!$A:$A,"新豐2線",'0822 4度C'!$B:$B,"平均")</f>
        <v>0</v>
      </c>
      <c r="F21" s="96">
        <f>SUMIFS('0822 4度C'!$AD:$AD,'0822 4度C'!$A:$A,"新豐5線",'0822 4度C'!$B:$B,"平均")</f>
        <v>0</v>
      </c>
      <c r="G21" s="96">
        <f>SUMIFS('0822 4度C'!$AD:$AD,'0822 4度C'!$A:$A,"新豐7線",'0822 4度C'!$B:$B,"平均")</f>
        <v>0</v>
      </c>
      <c r="H21" s="96">
        <f>SUMIFS('0822 4度C'!$AD:$AD,'0822 4度C'!$A:$A,"新豐3線",'0822 4度C'!$B:$B,"平均")</f>
        <v>0</v>
      </c>
      <c r="I21" s="96">
        <f>SUMIFS('0822 4度C'!$AD:$AD,'0822 4度C'!$A:$A,"新豐1線",'0822 4度C'!$B:$B,"平均")</f>
        <v>0</v>
      </c>
      <c r="J21" s="97">
        <f>SUMIFS('0822 4度C'!$AD:$AD,'0822 4度C'!$A:$A,"新豐10線",'0822 4度C'!$B:$B,"平均")</f>
        <v>0</v>
      </c>
      <c r="K21" s="98">
        <f>SUMIFS('0822 4度C'!$AD:$AD,'0822 4度C'!$A:$A,"新豐8線",'0822 4度C'!$B:$B,"平均")</f>
        <v>0</v>
      </c>
      <c r="L21" s="96">
        <f>SUMIFS('0822 4度C'!$AD:$AD,'0822 4度C'!$A:$A,"新豐9線",'0822 4度C'!$B:$B,"平均")</f>
        <v>0</v>
      </c>
      <c r="M21" s="97">
        <f>SUMIFS('0822 4度C'!$AD:$AD,'0822 4度C'!$A:$A,"新豐4線",'0822 4度C'!$B:$B,"平均")</f>
        <v>0</v>
      </c>
    </row>
    <row r="22" spans="2:13" ht="17.25" customHeight="1">
      <c r="B22" s="566" t="s">
        <v>2153</v>
      </c>
      <c r="C22" s="567"/>
      <c r="D22" s="99">
        <f>SUMIFS('0822 4度C'!$I:$I,'0822 4度C'!$A:$A,"新豐6線",'0822 4度C'!$B:$B,"平均")</f>
        <v>15.5</v>
      </c>
      <c r="E22" s="100">
        <f>SUMIFS('0822 4度C'!$I:$I,'0822 4度C'!$A:$A,"新豐2線",'0822 4度C'!$B:$B,"平均")</f>
        <v>18</v>
      </c>
      <c r="F22" s="100">
        <f>SUMIFS('0822 4度C'!$I:$I,'0822 4度C'!$A:$A,"新豐5線",'0822 4度C'!$B:$B,"平均")</f>
        <v>18.285714285714285</v>
      </c>
      <c r="G22" s="100">
        <f>SUMIFS('0822 4度C'!$I:$I,'0822 4度C'!$A:$A,"新豐7線",'0822 4度C'!$B:$B,"平均")</f>
        <v>16.142857142857142</v>
      </c>
      <c r="H22" s="100">
        <f>SUMIFS('0822 4度C'!$I:$I,'0822 4度C'!$A:$A,"新豐3線",'0822 4度C'!$B:$B,"平均")</f>
        <v>10.666666666666666</v>
      </c>
      <c r="I22" s="100">
        <f>SUMIFS('0822 4度C'!$I:$I,'0822 4度C'!$A:$A,"新豐1線",'0822 4度C'!$B:$B,"平均")</f>
        <v>17.857142857142858</v>
      </c>
      <c r="J22" s="101">
        <f>SUMIFS('0822 4度C'!$I:$I,'0822 4度C'!$A:$A,"新豐10線",'0822 4度C'!$B:$B,"平均")</f>
        <v>9.6666666666666661</v>
      </c>
      <c r="K22" s="99">
        <f>SUMIFS('0822 4度C'!$I:$I,'0822 4度C'!$A:$A,"新豐8線",'0822 4度C'!$B:$B,"平均")</f>
        <v>16</v>
      </c>
      <c r="L22" s="100">
        <f>SUMIFS('0822 4度C'!$I:$I,'0822 4度C'!$A:$A,"新豐9線",'0822 4度C'!$B:$B,"平均")</f>
        <v>17.166666666666668</v>
      </c>
      <c r="M22" s="101">
        <f>SUMIFS('0822 4度C'!$I:$I,'0822 4度C'!$A:$A,"新豐4線",'0822 4度C'!$B:$B,"平均")</f>
        <v>16.8</v>
      </c>
    </row>
    <row r="23" spans="2:13" ht="17.25" customHeight="1">
      <c r="B23" s="566" t="s">
        <v>2154</v>
      </c>
      <c r="C23" s="567"/>
      <c r="D23" s="102" t="s">
        <v>202</v>
      </c>
      <c r="E23" s="103" t="s">
        <v>203</v>
      </c>
      <c r="F23" s="103" t="s">
        <v>2155</v>
      </c>
      <c r="G23" s="103" t="s">
        <v>253</v>
      </c>
      <c r="H23" s="103" t="s">
        <v>205</v>
      </c>
      <c r="I23" s="103" t="s">
        <v>202</v>
      </c>
      <c r="J23" s="104" t="s">
        <v>205</v>
      </c>
      <c r="K23" s="102" t="s">
        <v>2156</v>
      </c>
      <c r="L23" s="103" t="s">
        <v>2156</v>
      </c>
      <c r="M23" s="104" t="s">
        <v>2156</v>
      </c>
    </row>
    <row r="24" spans="2:13" ht="17.25" customHeight="1">
      <c r="B24" s="566" t="s">
        <v>257</v>
      </c>
      <c r="C24" s="567"/>
      <c r="D24" s="102"/>
      <c r="E24" s="103"/>
      <c r="F24" s="103" t="s">
        <v>209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68" t="s">
        <v>2157</v>
      </c>
      <c r="C25" s="569"/>
      <c r="D25" s="105"/>
      <c r="E25" s="106" t="s">
        <v>2158</v>
      </c>
      <c r="F25" s="562" t="s">
        <v>2159</v>
      </c>
      <c r="G25" s="563"/>
      <c r="H25" s="106" t="s">
        <v>213</v>
      </c>
      <c r="I25" s="106" t="s">
        <v>214</v>
      </c>
      <c r="J25" s="107" t="s">
        <v>2160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59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68"/>
  <sheetViews>
    <sheetView zoomScale="80" zoomScaleNormal="80" workbookViewId="0">
      <pane ySplit="4" topLeftCell="A20" activePane="bottomLeft" state="frozen"/>
      <selection activeCell="P11" sqref="P11"/>
      <selection pane="bottomLeft" activeCell="P11" sqref="P11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41" customWidth="1"/>
    <col min="20" max="20" width="7.625" style="41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2161</v>
      </c>
      <c r="B1" s="1"/>
      <c r="C1" s="2" t="s">
        <v>2162</v>
      </c>
      <c r="D1" s="3">
        <f>SUM(F5:F67)</f>
        <v>146517</v>
      </c>
      <c r="E1" s="412" t="s">
        <v>2163</v>
      </c>
      <c r="F1" s="1">
        <f>SUM(G5:G67)</f>
        <v>5134559.96</v>
      </c>
      <c r="G1" s="1" t="s">
        <v>2164</v>
      </c>
      <c r="H1" s="5">
        <f>L9+L12+L46+L54+L20+L61+L35+L42+L28+L67</f>
        <v>156.08571428571429</v>
      </c>
      <c r="I1" s="676" t="s">
        <v>2165</v>
      </c>
      <c r="J1" s="676"/>
      <c r="K1" s="676"/>
      <c r="L1" s="676" t="s">
        <v>2166</v>
      </c>
      <c r="M1" s="676"/>
      <c r="N1" s="676"/>
      <c r="O1" s="676" t="s">
        <v>2167</v>
      </c>
      <c r="P1" s="676"/>
      <c r="Q1" s="676"/>
      <c r="R1" s="676"/>
      <c r="S1" s="676" t="s">
        <v>2168</v>
      </c>
      <c r="T1" s="676"/>
      <c r="U1" s="676"/>
      <c r="V1" s="676"/>
      <c r="W1" s="676"/>
      <c r="X1" s="676"/>
      <c r="Y1" s="6" t="s">
        <v>2169</v>
      </c>
      <c r="Z1" s="7" t="s">
        <v>2170</v>
      </c>
      <c r="AA1" s="677" t="s">
        <v>2171</v>
      </c>
      <c r="AB1" s="677"/>
      <c r="AC1" s="8" t="s">
        <v>2169</v>
      </c>
      <c r="AD1" s="7" t="s">
        <v>2172</v>
      </c>
      <c r="AE1" s="676" t="s">
        <v>2173</v>
      </c>
      <c r="AF1" s="678"/>
      <c r="AG1" s="678"/>
    </row>
    <row r="2" spans="1:33" ht="26.25" customHeight="1">
      <c r="A2" s="35">
        <v>46256</v>
      </c>
      <c r="B2" s="36" t="s">
        <v>90</v>
      </c>
      <c r="C2" s="2" t="s">
        <v>2174</v>
      </c>
      <c r="D2" s="10">
        <f>AVERAGE(N9,N12,N46,N54,N20,N61,N28,N35,N42,N67)</f>
        <v>148.50510276832819</v>
      </c>
      <c r="E2" s="11" t="s">
        <v>14</v>
      </c>
      <c r="F2" s="12">
        <f>F1/D1</f>
        <v>35.044124299569333</v>
      </c>
      <c r="G2" s="1" t="s">
        <v>2175</v>
      </c>
      <c r="H2" s="426">
        <f>COUNT(H5:H67)</f>
        <v>3</v>
      </c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14">
        <f>SUM(Y9+Y12+Y20+Y28+Y35+Y42+Y46+Y54+Y61+Y67)</f>
        <v>0</v>
      </c>
      <c r="Z2" s="14">
        <f>SUM(Z9+Z12+Z20+Z28+Z35+Z42+Z46+Z54+Z61+Z67)</f>
        <v>0</v>
      </c>
      <c r="AA2" s="677"/>
      <c r="AB2" s="677"/>
      <c r="AC2" s="14">
        <v>53</v>
      </c>
      <c r="AD2" s="14">
        <f>SUM(AD9+AD12+AD20+AD28+AD35+AD42+AD46+AD54+AD61+AD67)</f>
        <v>0</v>
      </c>
      <c r="AE2" s="678"/>
      <c r="AF2" s="678"/>
      <c r="AG2" s="678"/>
    </row>
    <row r="3" spans="1:33" ht="40.5" customHeight="1">
      <c r="A3" s="632" t="s">
        <v>2176</v>
      </c>
      <c r="B3" s="632" t="s">
        <v>2177</v>
      </c>
      <c r="C3" s="632" t="s">
        <v>2178</v>
      </c>
      <c r="D3" s="632"/>
      <c r="E3" s="674" t="s">
        <v>2179</v>
      </c>
      <c r="F3" s="632" t="s">
        <v>2180</v>
      </c>
      <c r="G3" s="674" t="s">
        <v>2181</v>
      </c>
      <c r="H3" s="667" t="s">
        <v>2182</v>
      </c>
      <c r="I3" s="665" t="s">
        <v>2183</v>
      </c>
      <c r="J3" s="662" t="s">
        <v>2184</v>
      </c>
      <c r="K3" s="672" t="s">
        <v>2174</v>
      </c>
      <c r="L3" s="665" t="s">
        <v>2183</v>
      </c>
      <c r="M3" s="662" t="s">
        <v>2184</v>
      </c>
      <c r="N3" s="672" t="s">
        <v>2174</v>
      </c>
      <c r="O3" s="665" t="s">
        <v>2183</v>
      </c>
      <c r="P3" s="672" t="s">
        <v>2174</v>
      </c>
      <c r="Q3" s="663" t="s">
        <v>2185</v>
      </c>
      <c r="R3" s="641" t="s">
        <v>2186</v>
      </c>
      <c r="S3" s="673" t="s">
        <v>29</v>
      </c>
      <c r="T3" s="673"/>
      <c r="U3" s="667" t="s">
        <v>30</v>
      </c>
      <c r="V3" s="667" t="s">
        <v>2187</v>
      </c>
      <c r="W3" s="632" t="s">
        <v>2188</v>
      </c>
      <c r="X3" s="632"/>
      <c r="Y3" s="668" t="s">
        <v>2189</v>
      </c>
      <c r="Z3" s="631"/>
      <c r="AA3" s="669" t="s">
        <v>2190</v>
      </c>
      <c r="AB3" s="670"/>
      <c r="AC3" s="668" t="s">
        <v>2191</v>
      </c>
      <c r="AD3" s="631"/>
      <c r="AE3" s="662" t="s">
        <v>2192</v>
      </c>
      <c r="AF3" s="663" t="s">
        <v>2193</v>
      </c>
      <c r="AG3" s="641" t="s">
        <v>2194</v>
      </c>
    </row>
    <row r="4" spans="1:33" ht="15.75" customHeight="1">
      <c r="A4" s="632"/>
      <c r="B4" s="632"/>
      <c r="C4" s="632"/>
      <c r="D4" s="632"/>
      <c r="E4" s="675"/>
      <c r="F4" s="632"/>
      <c r="G4" s="675"/>
      <c r="H4" s="667"/>
      <c r="I4" s="665"/>
      <c r="J4" s="662"/>
      <c r="K4" s="672"/>
      <c r="L4" s="665"/>
      <c r="M4" s="662"/>
      <c r="N4" s="672"/>
      <c r="O4" s="665"/>
      <c r="P4" s="672"/>
      <c r="Q4" s="663"/>
      <c r="R4" s="641"/>
      <c r="S4" s="425" t="s">
        <v>39</v>
      </c>
      <c r="T4" s="425" t="s">
        <v>40</v>
      </c>
      <c r="U4" s="667"/>
      <c r="V4" s="667"/>
      <c r="W4" s="412" t="s">
        <v>2195</v>
      </c>
      <c r="X4" s="412" t="s">
        <v>42</v>
      </c>
      <c r="Y4" s="414" t="s">
        <v>2196</v>
      </c>
      <c r="Z4" s="414" t="s">
        <v>2197</v>
      </c>
      <c r="AA4" s="671"/>
      <c r="AB4" s="670"/>
      <c r="AC4" s="414" t="s">
        <v>2198</v>
      </c>
      <c r="AD4" s="414" t="s">
        <v>2199</v>
      </c>
      <c r="AE4" s="662"/>
      <c r="AF4" s="663"/>
      <c r="AG4" s="641"/>
    </row>
    <row r="5" spans="1:33">
      <c r="A5" s="664" t="s">
        <v>2200</v>
      </c>
      <c r="B5" s="42" t="s">
        <v>92</v>
      </c>
      <c r="C5" s="666" t="s">
        <v>93</v>
      </c>
      <c r="D5" s="666"/>
      <c r="E5" s="42">
        <v>50.92</v>
      </c>
      <c r="F5" s="425">
        <v>2424</v>
      </c>
      <c r="G5" s="412">
        <f t="shared" ref="G5:G8" si="0">E5*F5</f>
        <v>123430.08</v>
      </c>
      <c r="H5" s="37" t="s">
        <v>91</v>
      </c>
      <c r="I5" s="423">
        <v>15</v>
      </c>
      <c r="J5" s="39">
        <v>2000</v>
      </c>
      <c r="K5" s="17">
        <f t="shared" ref="K5:K67" si="1">J5/I5</f>
        <v>133.33333333333334</v>
      </c>
      <c r="L5" s="423">
        <v>15</v>
      </c>
      <c r="M5" s="18">
        <f t="shared" ref="M5:M8" si="2">F5/V5*60</f>
        <v>1913.6842105263142</v>
      </c>
      <c r="N5" s="17">
        <f t="shared" ref="N5:N67" si="3">M5/L5</f>
        <v>127.57894736842096</v>
      </c>
      <c r="O5" s="19">
        <f t="shared" ref="O5:O67" si="4">L5-I5</f>
        <v>0</v>
      </c>
      <c r="P5" s="20">
        <f t="shared" ref="P5:P67" si="5">N5-K5</f>
        <v>-5.7543859649123874</v>
      </c>
      <c r="Q5" s="415">
        <f t="shared" ref="Q5:Q67" si="6">N5/K5</f>
        <v>0.95684210526315705</v>
      </c>
      <c r="R5" s="637">
        <f>Q9</f>
        <v>0.96221412961022967</v>
      </c>
      <c r="S5" s="40">
        <v>0.70833333333333337</v>
      </c>
      <c r="T5" s="40">
        <v>0.76111111111111118</v>
      </c>
      <c r="U5" s="412"/>
      <c r="V5" s="424">
        <f t="shared" ref="V5:V8" si="7">(T5-S5)*24*60</f>
        <v>76.000000000000057</v>
      </c>
      <c r="W5" s="23"/>
      <c r="X5" s="23"/>
      <c r="Y5" s="24"/>
      <c r="Z5" s="24"/>
      <c r="AA5" s="632"/>
      <c r="AB5" s="632"/>
      <c r="AC5" s="25">
        <v>4</v>
      </c>
      <c r="AD5" s="25"/>
      <c r="AE5" s="19">
        <f t="shared" ref="AE5:AE53" si="8">M5-J5</f>
        <v>-86.315789473685754</v>
      </c>
      <c r="AF5" s="415">
        <f t="shared" ref="AF5:AF67" si="9">M5/J5</f>
        <v>0.95684210526315716</v>
      </c>
      <c r="AG5" s="637">
        <f>AF9</f>
        <v>0.96221412961022978</v>
      </c>
    </row>
    <row r="6" spans="1:33">
      <c r="A6" s="665" t="s">
        <v>48</v>
      </c>
      <c r="B6" s="42" t="s">
        <v>92</v>
      </c>
      <c r="C6" s="666" t="s">
        <v>94</v>
      </c>
      <c r="D6" s="666"/>
      <c r="E6" s="42">
        <v>50.98</v>
      </c>
      <c r="F6" s="425">
        <v>1000</v>
      </c>
      <c r="G6" s="412">
        <f t="shared" si="0"/>
        <v>50980</v>
      </c>
      <c r="H6" s="37">
        <v>2</v>
      </c>
      <c r="I6" s="423">
        <v>16</v>
      </c>
      <c r="J6" s="39">
        <v>2000</v>
      </c>
      <c r="K6" s="17">
        <f t="shared" si="1"/>
        <v>125</v>
      </c>
      <c r="L6" s="423">
        <v>16</v>
      </c>
      <c r="M6" s="18">
        <f t="shared" si="2"/>
        <v>1935.483870967739</v>
      </c>
      <c r="N6" s="17">
        <f t="shared" si="3"/>
        <v>120.96774193548369</v>
      </c>
      <c r="O6" s="19">
        <f t="shared" si="4"/>
        <v>0</v>
      </c>
      <c r="P6" s="20">
        <f t="shared" si="5"/>
        <v>-4.0322580645163129</v>
      </c>
      <c r="Q6" s="415">
        <f t="shared" si="6"/>
        <v>0.96774193548386944</v>
      </c>
      <c r="R6" s="637"/>
      <c r="S6" s="40">
        <v>0.76458333333333339</v>
      </c>
      <c r="T6" s="40">
        <v>0.7861111111111112</v>
      </c>
      <c r="U6" s="412">
        <f t="shared" ref="U6:U8" si="10">IF(S6=TIME(17,0,0),"",(S6-T5)*24*60)</f>
        <v>4.9999999999999822</v>
      </c>
      <c r="V6" s="424">
        <f t="shared" si="7"/>
        <v>31.00000000000005</v>
      </c>
      <c r="W6" s="23"/>
      <c r="X6" s="23"/>
      <c r="Y6" s="23"/>
      <c r="Z6" s="23"/>
      <c r="AA6" s="632"/>
      <c r="AB6" s="632"/>
      <c r="AC6" s="25"/>
      <c r="AD6" s="25"/>
      <c r="AE6" s="19">
        <f t="shared" si="8"/>
        <v>-64.516129032261006</v>
      </c>
      <c r="AF6" s="415">
        <f t="shared" si="9"/>
        <v>0.96774193548386944</v>
      </c>
      <c r="AG6" s="637"/>
    </row>
    <row r="7" spans="1:33">
      <c r="A7" s="665" t="s">
        <v>48</v>
      </c>
      <c r="B7" s="42" t="s">
        <v>92</v>
      </c>
      <c r="C7" s="660" t="s">
        <v>109</v>
      </c>
      <c r="D7" s="661"/>
      <c r="E7" s="42">
        <v>50.49</v>
      </c>
      <c r="F7" s="425">
        <v>1977</v>
      </c>
      <c r="G7" s="412">
        <f t="shared" si="0"/>
        <v>99818.73000000001</v>
      </c>
      <c r="H7" s="37" t="s">
        <v>91</v>
      </c>
      <c r="I7" s="423">
        <v>15</v>
      </c>
      <c r="J7" s="39">
        <v>2000</v>
      </c>
      <c r="K7" s="17">
        <f t="shared" si="1"/>
        <v>133.33333333333334</v>
      </c>
      <c r="L7" s="423">
        <v>15</v>
      </c>
      <c r="M7" s="18">
        <f t="shared" si="2"/>
        <v>1913.2258064516145</v>
      </c>
      <c r="N7" s="17">
        <f t="shared" si="3"/>
        <v>127.54838709677431</v>
      </c>
      <c r="O7" s="19">
        <f t="shared" si="4"/>
        <v>0</v>
      </c>
      <c r="P7" s="20">
        <f t="shared" si="5"/>
        <v>-5.7849462365590369</v>
      </c>
      <c r="Q7" s="415">
        <f t="shared" si="6"/>
        <v>0.95661290322580728</v>
      </c>
      <c r="R7" s="637"/>
      <c r="S7" s="40">
        <v>0.78958333333333341</v>
      </c>
      <c r="T7" s="40">
        <v>0.83263888888888893</v>
      </c>
      <c r="U7" s="412">
        <f t="shared" si="10"/>
        <v>4.9999999999999822</v>
      </c>
      <c r="V7" s="424">
        <f t="shared" si="7"/>
        <v>61.999999999999943</v>
      </c>
      <c r="W7" s="23">
        <f>T7</f>
        <v>0.83263888888888893</v>
      </c>
      <c r="X7" s="23">
        <f>S8</f>
        <v>0.87152777777777779</v>
      </c>
      <c r="Y7" s="26"/>
      <c r="Z7" s="26"/>
      <c r="AA7" s="627"/>
      <c r="AB7" s="628"/>
      <c r="AC7" s="27"/>
      <c r="AD7" s="27"/>
      <c r="AE7" s="19">
        <f t="shared" si="8"/>
        <v>-86.774193548385483</v>
      </c>
      <c r="AF7" s="415">
        <f t="shared" si="9"/>
        <v>0.95661290322580728</v>
      </c>
      <c r="AG7" s="637"/>
    </row>
    <row r="8" spans="1:33">
      <c r="A8" s="665" t="s">
        <v>48</v>
      </c>
      <c r="B8" s="42" t="s">
        <v>92</v>
      </c>
      <c r="C8" s="660" t="s">
        <v>94</v>
      </c>
      <c r="D8" s="661"/>
      <c r="E8" s="42">
        <v>50.98</v>
      </c>
      <c r="F8" s="425">
        <v>1516</v>
      </c>
      <c r="G8" s="412">
        <f t="shared" si="0"/>
        <v>77285.679999999993</v>
      </c>
      <c r="H8" s="37" t="s">
        <v>91</v>
      </c>
      <c r="I8" s="423">
        <v>16</v>
      </c>
      <c r="J8" s="39">
        <v>2000</v>
      </c>
      <c r="K8" s="17">
        <f t="shared" si="1"/>
        <v>125</v>
      </c>
      <c r="L8" s="423">
        <v>16</v>
      </c>
      <c r="M8" s="18">
        <f t="shared" si="2"/>
        <v>1935.3191489361704</v>
      </c>
      <c r="N8" s="17">
        <f t="shared" si="3"/>
        <v>120.95744680851065</v>
      </c>
      <c r="O8" s="19">
        <f t="shared" si="4"/>
        <v>0</v>
      </c>
      <c r="P8" s="20">
        <f t="shared" si="5"/>
        <v>-4.0425531914893469</v>
      </c>
      <c r="Q8" s="415">
        <f t="shared" si="6"/>
        <v>0.96765957446808526</v>
      </c>
      <c r="R8" s="637"/>
      <c r="S8" s="40">
        <v>0.87152777777777779</v>
      </c>
      <c r="T8" s="40">
        <v>0.90416666666666667</v>
      </c>
      <c r="U8" s="412">
        <f t="shared" si="10"/>
        <v>55.999999999999957</v>
      </c>
      <c r="V8" s="424">
        <f t="shared" si="7"/>
        <v>46.999999999999993</v>
      </c>
      <c r="W8" s="28"/>
      <c r="X8" s="28"/>
      <c r="Y8" s="136"/>
      <c r="Z8" s="136"/>
      <c r="AA8" s="627"/>
      <c r="AB8" s="628"/>
      <c r="AC8" s="27"/>
      <c r="AD8" s="27"/>
      <c r="AE8" s="19">
        <f t="shared" si="8"/>
        <v>-64.68085106382955</v>
      </c>
      <c r="AF8" s="415">
        <f t="shared" si="9"/>
        <v>0.96765957446808526</v>
      </c>
      <c r="AG8" s="637"/>
    </row>
    <row r="9" spans="1:33">
      <c r="A9" s="665" t="s">
        <v>48</v>
      </c>
      <c r="B9" s="42" t="s">
        <v>49</v>
      </c>
      <c r="C9" s="638"/>
      <c r="D9" s="638"/>
      <c r="E9" s="418"/>
      <c r="F9" s="44"/>
      <c r="G9" s="17"/>
      <c r="H9" s="425"/>
      <c r="I9" s="29">
        <v>15.5</v>
      </c>
      <c r="J9" s="39">
        <v>2000</v>
      </c>
      <c r="K9" s="17">
        <f t="shared" si="1"/>
        <v>129.03225806451613</v>
      </c>
      <c r="L9" s="29">
        <v>15.5</v>
      </c>
      <c r="M9" s="18">
        <f>AVERAGE(M5:M8)</f>
        <v>1924.4282592204595</v>
      </c>
      <c r="N9" s="17">
        <f t="shared" si="3"/>
        <v>124.15666188519093</v>
      </c>
      <c r="O9" s="19">
        <f t="shared" si="4"/>
        <v>0</v>
      </c>
      <c r="P9" s="20">
        <f t="shared" si="5"/>
        <v>-4.8755961793251998</v>
      </c>
      <c r="Q9" s="415">
        <f t="shared" si="6"/>
        <v>0.96221412961022967</v>
      </c>
      <c r="R9" s="637"/>
      <c r="S9" s="40"/>
      <c r="T9" s="40"/>
      <c r="U9" s="412"/>
      <c r="V9" s="424"/>
      <c r="W9" s="17"/>
      <c r="X9" s="17"/>
      <c r="Y9" s="30">
        <f>SUM(Y5:Y8)</f>
        <v>0</v>
      </c>
      <c r="Z9" s="30">
        <f>SUM(Z5:Z8)</f>
        <v>0</v>
      </c>
      <c r="AA9" s="631"/>
      <c r="AB9" s="631"/>
      <c r="AC9" s="30">
        <v>4</v>
      </c>
      <c r="AD9" s="30">
        <f>SUM(AD5:AD8)</f>
        <v>0</v>
      </c>
      <c r="AE9" s="19">
        <f t="shared" si="8"/>
        <v>-75.571740779540505</v>
      </c>
      <c r="AF9" s="415">
        <f t="shared" si="9"/>
        <v>0.96221412961022978</v>
      </c>
      <c r="AG9" s="637"/>
    </row>
    <row r="10" spans="1:33" ht="15.75" customHeight="1">
      <c r="A10" s="659" t="s">
        <v>50</v>
      </c>
      <c r="B10" s="42" t="s">
        <v>96</v>
      </c>
      <c r="C10" s="660" t="s">
        <v>100</v>
      </c>
      <c r="D10" s="661"/>
      <c r="E10" s="42">
        <v>39.619999999999997</v>
      </c>
      <c r="F10" s="425">
        <v>4034</v>
      </c>
      <c r="G10" s="412">
        <f t="shared" ref="G10:G11" si="11">E10*F10</f>
        <v>159827.07999999999</v>
      </c>
      <c r="H10" s="37" t="s">
        <v>91</v>
      </c>
      <c r="I10" s="423">
        <v>19</v>
      </c>
      <c r="J10" s="39">
        <v>1500</v>
      </c>
      <c r="K10" s="17">
        <f t="shared" si="1"/>
        <v>78.94736842105263</v>
      </c>
      <c r="L10" s="423">
        <v>19</v>
      </c>
      <c r="M10" s="18">
        <f t="shared" ref="M10:M11" si="12">F10/V10*60</f>
        <v>1432.189349112426</v>
      </c>
      <c r="N10" s="17">
        <f t="shared" si="3"/>
        <v>75.378386795390838</v>
      </c>
      <c r="O10" s="19">
        <f t="shared" si="4"/>
        <v>0</v>
      </c>
      <c r="P10" s="20">
        <f t="shared" si="5"/>
        <v>-3.5689816256617917</v>
      </c>
      <c r="Q10" s="415">
        <f t="shared" si="6"/>
        <v>0.95479289940828393</v>
      </c>
      <c r="R10" s="637">
        <f>Q12</f>
        <v>0.95430764661533896</v>
      </c>
      <c r="S10" s="40">
        <v>8.3333333333333329E-2</v>
      </c>
      <c r="T10" s="40">
        <v>0.20069444444444445</v>
      </c>
      <c r="U10" s="412"/>
      <c r="V10" s="424">
        <f t="shared" ref="V10:V11" si="13">(T10-S10)*24*60</f>
        <v>169</v>
      </c>
      <c r="W10" s="23">
        <f>T10</f>
        <v>0.20069444444444445</v>
      </c>
      <c r="X10" s="23">
        <f>S11</f>
        <v>0.21944444444444444</v>
      </c>
      <c r="Y10" s="23"/>
      <c r="Z10" s="23"/>
      <c r="AA10" s="632"/>
      <c r="AB10" s="632"/>
      <c r="AC10" s="25">
        <v>2</v>
      </c>
      <c r="AD10" s="25"/>
      <c r="AE10" s="19">
        <f t="shared" si="8"/>
        <v>-67.810650887573956</v>
      </c>
      <c r="AF10" s="415">
        <f t="shared" si="9"/>
        <v>0.95479289940828405</v>
      </c>
      <c r="AG10" s="637">
        <f>AF12</f>
        <v>0.95430764661533884</v>
      </c>
    </row>
    <row r="11" spans="1:33" ht="15.75" customHeight="1">
      <c r="A11" s="659" t="s">
        <v>50</v>
      </c>
      <c r="B11" s="42" t="s">
        <v>96</v>
      </c>
      <c r="C11" s="660" t="s">
        <v>97</v>
      </c>
      <c r="D11" s="661"/>
      <c r="E11" s="42">
        <v>39.799999999999997</v>
      </c>
      <c r="F11" s="425">
        <v>6176</v>
      </c>
      <c r="G11" s="412">
        <f t="shared" si="11"/>
        <v>245804.79999999999</v>
      </c>
      <c r="H11" s="37" t="s">
        <v>91</v>
      </c>
      <c r="I11" s="423">
        <v>17</v>
      </c>
      <c r="J11" s="39">
        <v>1500</v>
      </c>
      <c r="K11" s="17">
        <f t="shared" si="1"/>
        <v>88.235294117647058</v>
      </c>
      <c r="L11" s="423">
        <v>17</v>
      </c>
      <c r="M11" s="18">
        <f t="shared" si="12"/>
        <v>1430.7335907335905</v>
      </c>
      <c r="N11" s="17">
        <f t="shared" si="3"/>
        <v>84.160799454917083</v>
      </c>
      <c r="O11" s="19">
        <f t="shared" si="4"/>
        <v>0</v>
      </c>
      <c r="P11" s="20">
        <f t="shared" si="5"/>
        <v>-4.0744946627299754</v>
      </c>
      <c r="Q11" s="415">
        <f t="shared" si="6"/>
        <v>0.95382239382239364</v>
      </c>
      <c r="R11" s="637"/>
      <c r="S11" s="40">
        <v>0.21944444444444444</v>
      </c>
      <c r="T11" s="40">
        <v>0.39930555555555558</v>
      </c>
      <c r="U11" s="412">
        <f t="shared" ref="U11" si="14">IF(S11=TIME(17,0,0),"",(S11-T10)*24*60)</f>
        <v>26.999999999999986</v>
      </c>
      <c r="V11" s="424">
        <f t="shared" si="13"/>
        <v>259.00000000000006</v>
      </c>
      <c r="W11" s="23"/>
      <c r="X11" s="23"/>
      <c r="Y11" s="23"/>
      <c r="Z11" s="23"/>
      <c r="AA11" s="632"/>
      <c r="AB11" s="632"/>
      <c r="AC11" s="25"/>
      <c r="AD11" s="25"/>
      <c r="AE11" s="19">
        <f t="shared" si="8"/>
        <v>-69.266409266409482</v>
      </c>
      <c r="AF11" s="415">
        <f t="shared" si="9"/>
        <v>0.95382239382239364</v>
      </c>
      <c r="AG11" s="637"/>
    </row>
    <row r="12" spans="1:33" ht="16.5" customHeight="1">
      <c r="A12" s="659" t="s">
        <v>50</v>
      </c>
      <c r="B12" s="42" t="s">
        <v>49</v>
      </c>
      <c r="C12" s="638"/>
      <c r="D12" s="638"/>
      <c r="E12" s="418"/>
      <c r="F12" s="39"/>
      <c r="G12" s="18"/>
      <c r="H12" s="425"/>
      <c r="I12" s="29">
        <v>18</v>
      </c>
      <c r="J12" s="39">
        <v>1500</v>
      </c>
      <c r="K12" s="17">
        <f t="shared" si="1"/>
        <v>83.333333333333329</v>
      </c>
      <c r="L12" s="29">
        <v>18</v>
      </c>
      <c r="M12" s="18">
        <f>AVERAGE(M10:M11)</f>
        <v>1431.4614699230083</v>
      </c>
      <c r="N12" s="17">
        <f t="shared" si="3"/>
        <v>79.525637217944904</v>
      </c>
      <c r="O12" s="19">
        <f t="shared" si="4"/>
        <v>0</v>
      </c>
      <c r="P12" s="20">
        <f t="shared" si="5"/>
        <v>-3.8076961153884241</v>
      </c>
      <c r="Q12" s="415">
        <f t="shared" si="6"/>
        <v>0.95430764661533896</v>
      </c>
      <c r="R12" s="637"/>
      <c r="S12" s="40"/>
      <c r="T12" s="40"/>
      <c r="U12" s="17"/>
      <c r="V12" s="424"/>
      <c r="W12" s="17"/>
      <c r="X12" s="17"/>
      <c r="Y12" s="30">
        <f>SUM(Y10:Y11)</f>
        <v>0</v>
      </c>
      <c r="Z12" s="30">
        <f>SUM(Z10:Z11)</f>
        <v>0</v>
      </c>
      <c r="AA12" s="631"/>
      <c r="AB12" s="631"/>
      <c r="AC12" s="30">
        <v>2</v>
      </c>
      <c r="AD12" s="30">
        <f>SUM(AD10:AD11)</f>
        <v>0</v>
      </c>
      <c r="AE12" s="19">
        <f t="shared" si="8"/>
        <v>-68.538530076991719</v>
      </c>
      <c r="AF12" s="415">
        <f t="shared" si="9"/>
        <v>0.95430764661533884</v>
      </c>
      <c r="AG12" s="637"/>
    </row>
    <row r="13" spans="1:33" ht="16.5" customHeight="1">
      <c r="A13" s="657" t="s">
        <v>53</v>
      </c>
      <c r="B13" s="425" t="s">
        <v>101</v>
      </c>
      <c r="C13" s="653" t="s">
        <v>102</v>
      </c>
      <c r="D13" s="653"/>
      <c r="E13" s="42">
        <v>31.11</v>
      </c>
      <c r="F13" s="425">
        <v>2928</v>
      </c>
      <c r="G13" s="412">
        <f t="shared" ref="G13:G19" si="15">E13*F13</f>
        <v>91090.08</v>
      </c>
      <c r="H13" s="37" t="s">
        <v>91</v>
      </c>
      <c r="I13" s="423">
        <v>14</v>
      </c>
      <c r="J13" s="39">
        <v>2000</v>
      </c>
      <c r="K13" s="17">
        <f t="shared" si="1"/>
        <v>142.85714285714286</v>
      </c>
      <c r="L13" s="423">
        <v>14</v>
      </c>
      <c r="M13" s="18">
        <f t="shared" ref="M13:M19" si="16">F13/V13*60</f>
        <v>1909.5652173913036</v>
      </c>
      <c r="N13" s="17">
        <f t="shared" si="3"/>
        <v>136.39751552795025</v>
      </c>
      <c r="O13" s="19">
        <f t="shared" si="4"/>
        <v>0</v>
      </c>
      <c r="P13" s="20">
        <f t="shared" si="5"/>
        <v>-6.4596273291926138</v>
      </c>
      <c r="Q13" s="415">
        <f t="shared" si="6"/>
        <v>0.95478260869565168</v>
      </c>
      <c r="R13" s="637">
        <f>Q20</f>
        <v>0.95608840509900705</v>
      </c>
      <c r="S13" s="40">
        <v>0.20833333333333334</v>
      </c>
      <c r="T13" s="40">
        <v>0.27222222222222225</v>
      </c>
      <c r="U13" s="412"/>
      <c r="V13" s="424">
        <f t="shared" ref="V13:V19" si="17">(T13-S13)*24*60</f>
        <v>92.000000000000028</v>
      </c>
      <c r="W13" s="23"/>
      <c r="X13" s="23"/>
      <c r="Y13" s="28"/>
      <c r="Z13" s="28"/>
      <c r="AA13" s="632"/>
      <c r="AB13" s="632"/>
      <c r="AC13" s="25">
        <v>7</v>
      </c>
      <c r="AD13" s="25"/>
      <c r="AE13" s="19">
        <f t="shared" si="8"/>
        <v>-90.434782608696423</v>
      </c>
      <c r="AF13" s="415">
        <f t="shared" si="9"/>
        <v>0.95478260869565179</v>
      </c>
      <c r="AG13" s="637">
        <f>AF20</f>
        <v>0.95608840509900717</v>
      </c>
    </row>
    <row r="14" spans="1:33" ht="16.5" customHeight="1">
      <c r="A14" s="658" t="s">
        <v>53</v>
      </c>
      <c r="B14" s="425" t="s">
        <v>103</v>
      </c>
      <c r="C14" s="653" t="s">
        <v>105</v>
      </c>
      <c r="D14" s="653"/>
      <c r="E14" s="42">
        <v>41</v>
      </c>
      <c r="F14" s="425">
        <v>1413</v>
      </c>
      <c r="G14" s="412">
        <f t="shared" si="15"/>
        <v>57933</v>
      </c>
      <c r="H14" s="37" t="s">
        <v>91</v>
      </c>
      <c r="I14" s="423">
        <v>26</v>
      </c>
      <c r="J14" s="39">
        <v>1500</v>
      </c>
      <c r="K14" s="17">
        <f t="shared" si="1"/>
        <v>57.692307692307693</v>
      </c>
      <c r="L14" s="423">
        <v>26</v>
      </c>
      <c r="M14" s="18">
        <f t="shared" si="16"/>
        <v>1436.9491525423721</v>
      </c>
      <c r="N14" s="17">
        <f t="shared" si="3"/>
        <v>55.267275097783539</v>
      </c>
      <c r="O14" s="19">
        <f t="shared" si="4"/>
        <v>0</v>
      </c>
      <c r="P14" s="20">
        <f t="shared" si="5"/>
        <v>-2.4250325945241542</v>
      </c>
      <c r="Q14" s="415">
        <f t="shared" si="6"/>
        <v>0.9579661016949147</v>
      </c>
      <c r="R14" s="637"/>
      <c r="S14" s="40">
        <v>0.27777777777777779</v>
      </c>
      <c r="T14" s="40">
        <v>0.31875000000000003</v>
      </c>
      <c r="U14" s="412">
        <f t="shared" ref="U14:U19" si="18">IF(S14=TIME(17,0,0),"",(S14-T13)*24*60)</f>
        <v>7.9999999999999716</v>
      </c>
      <c r="V14" s="424">
        <f t="shared" si="17"/>
        <v>59.000000000000028</v>
      </c>
      <c r="W14" s="23"/>
      <c r="X14" s="23"/>
      <c r="Y14" s="23"/>
      <c r="Z14" s="23"/>
      <c r="AA14" s="632"/>
      <c r="AB14" s="632"/>
      <c r="AC14" s="25"/>
      <c r="AD14" s="25"/>
      <c r="AE14" s="19">
        <f t="shared" si="8"/>
        <v>-63.050847457627924</v>
      </c>
      <c r="AF14" s="415">
        <f t="shared" si="9"/>
        <v>0.9579661016949147</v>
      </c>
      <c r="AG14" s="637"/>
    </row>
    <row r="15" spans="1:33" ht="16.5" customHeight="1">
      <c r="A15" s="658" t="s">
        <v>53</v>
      </c>
      <c r="B15" s="425" t="s">
        <v>96</v>
      </c>
      <c r="C15" s="653" t="s">
        <v>98</v>
      </c>
      <c r="D15" s="653"/>
      <c r="E15" s="42">
        <v>39.46</v>
      </c>
      <c r="F15" s="425">
        <v>1890</v>
      </c>
      <c r="G15" s="412">
        <f t="shared" si="15"/>
        <v>74579.400000000009</v>
      </c>
      <c r="H15" s="37" t="s">
        <v>91</v>
      </c>
      <c r="I15" s="423">
        <v>15</v>
      </c>
      <c r="J15" s="39">
        <v>1500</v>
      </c>
      <c r="K15" s="17">
        <f t="shared" si="1"/>
        <v>100</v>
      </c>
      <c r="L15" s="423">
        <v>15</v>
      </c>
      <c r="M15" s="18">
        <f t="shared" si="16"/>
        <v>1435.4430379746843</v>
      </c>
      <c r="N15" s="17">
        <f t="shared" si="3"/>
        <v>95.696202531645625</v>
      </c>
      <c r="O15" s="19">
        <f t="shared" si="4"/>
        <v>0</v>
      </c>
      <c r="P15" s="20">
        <f t="shared" si="5"/>
        <v>-4.3037974683543752</v>
      </c>
      <c r="Q15" s="415">
        <f t="shared" si="6"/>
        <v>0.95696202531645624</v>
      </c>
      <c r="R15" s="637"/>
      <c r="S15" s="40">
        <v>0.32361111111111113</v>
      </c>
      <c r="T15" s="40">
        <v>0.37847222222222221</v>
      </c>
      <c r="U15" s="412">
        <f t="shared" si="18"/>
        <v>6.9999999999999751</v>
      </c>
      <c r="V15" s="424">
        <f t="shared" si="17"/>
        <v>78.999999999999957</v>
      </c>
      <c r="W15" s="23"/>
      <c r="X15" s="23"/>
      <c r="Y15" s="23"/>
      <c r="Z15" s="23"/>
      <c r="AA15" s="632"/>
      <c r="AB15" s="632"/>
      <c r="AC15" s="25"/>
      <c r="AD15" s="25"/>
      <c r="AE15" s="19">
        <f t="shared" si="8"/>
        <v>-64.55696202531567</v>
      </c>
      <c r="AF15" s="415">
        <f t="shared" si="9"/>
        <v>0.95696202531645624</v>
      </c>
      <c r="AG15" s="637"/>
    </row>
    <row r="16" spans="1:33" ht="16.5" customHeight="1">
      <c r="A16" s="658" t="s">
        <v>53</v>
      </c>
      <c r="B16" s="425" t="s">
        <v>96</v>
      </c>
      <c r="C16" s="653" t="s">
        <v>99</v>
      </c>
      <c r="D16" s="653"/>
      <c r="E16" s="42">
        <v>39.520000000000003</v>
      </c>
      <c r="F16" s="425">
        <v>1836</v>
      </c>
      <c r="G16" s="412">
        <f t="shared" si="15"/>
        <v>72558.720000000001</v>
      </c>
      <c r="H16" s="37" t="s">
        <v>91</v>
      </c>
      <c r="I16" s="423">
        <v>19</v>
      </c>
      <c r="J16" s="39">
        <v>1500</v>
      </c>
      <c r="K16" s="17">
        <f t="shared" si="1"/>
        <v>78.94736842105263</v>
      </c>
      <c r="L16" s="423">
        <v>19</v>
      </c>
      <c r="M16" s="18">
        <f t="shared" si="16"/>
        <v>1430.64935064935</v>
      </c>
      <c r="N16" s="17">
        <f t="shared" si="3"/>
        <v>75.29733424470264</v>
      </c>
      <c r="O16" s="19">
        <f t="shared" si="4"/>
        <v>0</v>
      </c>
      <c r="P16" s="20">
        <f t="shared" si="5"/>
        <v>-3.6500341763499904</v>
      </c>
      <c r="Q16" s="415">
        <f t="shared" si="6"/>
        <v>0.95376623376623348</v>
      </c>
      <c r="R16" s="637"/>
      <c r="S16" s="40">
        <v>0.38402777777777775</v>
      </c>
      <c r="T16" s="40">
        <v>0.4375</v>
      </c>
      <c r="U16" s="412">
        <f t="shared" si="18"/>
        <v>7.9999999999999716</v>
      </c>
      <c r="V16" s="424">
        <f t="shared" si="17"/>
        <v>77.000000000000043</v>
      </c>
      <c r="W16" s="23"/>
      <c r="X16" s="23"/>
      <c r="Y16" s="23"/>
      <c r="Z16" s="23"/>
      <c r="AA16" s="632"/>
      <c r="AB16" s="632"/>
      <c r="AC16" s="25"/>
      <c r="AD16" s="25"/>
      <c r="AE16" s="19">
        <f t="shared" si="8"/>
        <v>-69.350649350649974</v>
      </c>
      <c r="AF16" s="415">
        <f t="shared" si="9"/>
        <v>0.95376623376623337</v>
      </c>
      <c r="AG16" s="637"/>
    </row>
    <row r="17" spans="1:33" ht="16.5" customHeight="1">
      <c r="A17" s="658" t="s">
        <v>53</v>
      </c>
      <c r="B17" s="425" t="s">
        <v>92</v>
      </c>
      <c r="C17" s="653" t="s">
        <v>108</v>
      </c>
      <c r="D17" s="653"/>
      <c r="E17" s="42">
        <v>54.5</v>
      </c>
      <c r="F17" s="425">
        <v>1263</v>
      </c>
      <c r="G17" s="412">
        <f t="shared" si="15"/>
        <v>68833.5</v>
      </c>
      <c r="H17" s="37" t="s">
        <v>91</v>
      </c>
      <c r="I17" s="423">
        <v>19</v>
      </c>
      <c r="J17" s="39">
        <v>1500</v>
      </c>
      <c r="K17" s="17">
        <f t="shared" si="1"/>
        <v>78.94736842105263</v>
      </c>
      <c r="L17" s="423">
        <v>19</v>
      </c>
      <c r="M17" s="18">
        <f t="shared" si="16"/>
        <v>1429.8113207547178</v>
      </c>
      <c r="N17" s="17">
        <f t="shared" si="3"/>
        <v>75.253227408143047</v>
      </c>
      <c r="O17" s="19">
        <f t="shared" si="4"/>
        <v>0</v>
      </c>
      <c r="P17" s="20">
        <f t="shared" si="5"/>
        <v>-3.6941410129095829</v>
      </c>
      <c r="Q17" s="415">
        <f t="shared" si="6"/>
        <v>0.95320754716981193</v>
      </c>
      <c r="R17" s="637"/>
      <c r="S17" s="40">
        <v>0.70833333333333337</v>
      </c>
      <c r="T17" s="40">
        <v>0.74513888888888891</v>
      </c>
      <c r="U17" s="412" t="str">
        <f t="shared" si="18"/>
        <v/>
      </c>
      <c r="V17" s="424">
        <f t="shared" si="17"/>
        <v>52.999999999999972</v>
      </c>
      <c r="W17" s="23"/>
      <c r="X17" s="23"/>
      <c r="Y17" s="23"/>
      <c r="Z17" s="23"/>
      <c r="AA17" s="632"/>
      <c r="AB17" s="632"/>
      <c r="AC17" s="25"/>
      <c r="AD17" s="25"/>
      <c r="AE17" s="19">
        <f t="shared" si="8"/>
        <v>-70.188679245282174</v>
      </c>
      <c r="AF17" s="415">
        <f t="shared" si="9"/>
        <v>0.95320754716981193</v>
      </c>
      <c r="AG17" s="637"/>
    </row>
    <row r="18" spans="1:33" ht="16.5" customHeight="1">
      <c r="A18" s="658" t="s">
        <v>53</v>
      </c>
      <c r="B18" s="425" t="s">
        <v>92</v>
      </c>
      <c r="C18" s="421" t="s">
        <v>107</v>
      </c>
      <c r="D18" s="422"/>
      <c r="E18" s="42">
        <v>50.67</v>
      </c>
      <c r="F18" s="425">
        <v>1668</v>
      </c>
      <c r="G18" s="412">
        <f t="shared" si="15"/>
        <v>84517.56</v>
      </c>
      <c r="H18" s="37" t="s">
        <v>91</v>
      </c>
      <c r="I18" s="423">
        <v>17</v>
      </c>
      <c r="J18" s="39">
        <v>2000</v>
      </c>
      <c r="K18" s="17">
        <f t="shared" si="1"/>
        <v>117.64705882352941</v>
      </c>
      <c r="L18" s="423">
        <v>17</v>
      </c>
      <c r="M18" s="18">
        <f t="shared" si="16"/>
        <v>1924.6153846153857</v>
      </c>
      <c r="N18" s="17">
        <f t="shared" si="3"/>
        <v>113.21266968325799</v>
      </c>
      <c r="O18" s="19">
        <f t="shared" si="4"/>
        <v>0</v>
      </c>
      <c r="P18" s="20">
        <f t="shared" si="5"/>
        <v>-4.4343891402714206</v>
      </c>
      <c r="Q18" s="415">
        <f t="shared" si="6"/>
        <v>0.96230769230769297</v>
      </c>
      <c r="R18" s="637"/>
      <c r="S18" s="40">
        <v>0.74930555555555556</v>
      </c>
      <c r="T18" s="40">
        <v>0.78541666666666665</v>
      </c>
      <c r="U18" s="412">
        <f t="shared" si="18"/>
        <v>5.9999999999999787</v>
      </c>
      <c r="V18" s="424">
        <f t="shared" si="17"/>
        <v>51.999999999999972</v>
      </c>
      <c r="W18" s="23"/>
      <c r="X18" s="23"/>
      <c r="Y18" s="26"/>
      <c r="Z18" s="26"/>
      <c r="AA18" s="419"/>
      <c r="AB18" s="420"/>
      <c r="AC18" s="25"/>
      <c r="AD18" s="25"/>
      <c r="AE18" s="19">
        <f t="shared" si="8"/>
        <v>-75.384615384614335</v>
      </c>
      <c r="AF18" s="415">
        <f t="shared" si="9"/>
        <v>0.96230769230769286</v>
      </c>
      <c r="AG18" s="637"/>
    </row>
    <row r="19" spans="1:33" ht="16.5" customHeight="1">
      <c r="A19" s="658" t="s">
        <v>53</v>
      </c>
      <c r="B19" s="425" t="s">
        <v>92</v>
      </c>
      <c r="C19" s="421" t="s">
        <v>114</v>
      </c>
      <c r="D19" s="422"/>
      <c r="E19" s="42">
        <v>54.09</v>
      </c>
      <c r="F19" s="425">
        <v>2319</v>
      </c>
      <c r="G19" s="412">
        <f t="shared" si="15"/>
        <v>125434.71</v>
      </c>
      <c r="H19" s="37" t="s">
        <v>91</v>
      </c>
      <c r="I19" s="423">
        <v>18</v>
      </c>
      <c r="J19" s="39">
        <v>2000</v>
      </c>
      <c r="K19" s="17">
        <f t="shared" si="1"/>
        <v>111.11111111111111</v>
      </c>
      <c r="L19" s="423">
        <v>18</v>
      </c>
      <c r="M19" s="18">
        <f t="shared" si="16"/>
        <v>1906.0273972602724</v>
      </c>
      <c r="N19" s="17">
        <f t="shared" si="3"/>
        <v>105.89041095890403</v>
      </c>
      <c r="O19" s="19">
        <f t="shared" si="4"/>
        <v>0</v>
      </c>
      <c r="P19" s="20">
        <f t="shared" si="5"/>
        <v>-5.2207001522070868</v>
      </c>
      <c r="Q19" s="415">
        <f t="shared" si="6"/>
        <v>0.95301369863013619</v>
      </c>
      <c r="R19" s="637"/>
      <c r="S19" s="40">
        <v>0.78888888888888886</v>
      </c>
      <c r="T19" s="40">
        <v>0.83958333333333335</v>
      </c>
      <c r="U19" s="412">
        <f t="shared" si="18"/>
        <v>4.9999999999999822</v>
      </c>
      <c r="V19" s="424">
        <f t="shared" si="17"/>
        <v>73.000000000000057</v>
      </c>
      <c r="W19" s="23"/>
      <c r="X19" s="23"/>
      <c r="Y19" s="26"/>
      <c r="Z19" s="26"/>
      <c r="AA19" s="419"/>
      <c r="AB19" s="420"/>
      <c r="AC19" s="25"/>
      <c r="AD19" s="25"/>
      <c r="AE19" s="19">
        <f t="shared" si="8"/>
        <v>-93.972602739727563</v>
      </c>
      <c r="AF19" s="415">
        <f t="shared" si="9"/>
        <v>0.95301369863013619</v>
      </c>
      <c r="AG19" s="637"/>
    </row>
    <row r="20" spans="1:33" ht="16.5" customHeight="1">
      <c r="A20" s="658" t="s">
        <v>53</v>
      </c>
      <c r="B20" s="42" t="s">
        <v>49</v>
      </c>
      <c r="C20" s="638"/>
      <c r="D20" s="638"/>
      <c r="E20" s="418"/>
      <c r="F20" s="44"/>
      <c r="G20" s="17"/>
      <c r="H20" s="425"/>
      <c r="I20" s="29">
        <v>18.285714285714285</v>
      </c>
      <c r="J20" s="39">
        <v>1714.2857142857142</v>
      </c>
      <c r="K20" s="17">
        <f t="shared" si="1"/>
        <v>93.75</v>
      </c>
      <c r="L20" s="29">
        <v>18.285714285714285</v>
      </c>
      <c r="M20" s="18">
        <f>AVERAGE(M13:M19)</f>
        <v>1639.0086944554407</v>
      </c>
      <c r="N20" s="17">
        <f t="shared" si="3"/>
        <v>89.633287978031916</v>
      </c>
      <c r="O20" s="19">
        <f t="shared" si="4"/>
        <v>0</v>
      </c>
      <c r="P20" s="20">
        <f t="shared" si="5"/>
        <v>-4.1167120219680839</v>
      </c>
      <c r="Q20" s="415">
        <f t="shared" si="6"/>
        <v>0.95608840509900705</v>
      </c>
      <c r="R20" s="637"/>
      <c r="S20" s="40"/>
      <c r="T20" s="40"/>
      <c r="U20" s="412"/>
      <c r="V20" s="424"/>
      <c r="W20" s="17"/>
      <c r="X20" s="17"/>
      <c r="Y20" s="30">
        <f>SUM(Y13:Y19)</f>
        <v>0</v>
      </c>
      <c r="Z20" s="30">
        <f>SUM(Z13:Z19)</f>
        <v>0</v>
      </c>
      <c r="AA20" s="631"/>
      <c r="AB20" s="631"/>
      <c r="AC20" s="30">
        <v>7</v>
      </c>
      <c r="AD20" s="30">
        <f>SUM(AD13:AD19)</f>
        <v>0</v>
      </c>
      <c r="AE20" s="19">
        <f t="shared" si="8"/>
        <v>-75.277019830273503</v>
      </c>
      <c r="AF20" s="415">
        <f t="shared" si="9"/>
        <v>0.95608840509900717</v>
      </c>
      <c r="AG20" s="637"/>
    </row>
    <row r="21" spans="1:33" ht="15.75" customHeight="1">
      <c r="A21" s="655" t="s">
        <v>58</v>
      </c>
      <c r="B21" s="42" t="s">
        <v>92</v>
      </c>
      <c r="C21" s="653" t="s">
        <v>110</v>
      </c>
      <c r="D21" s="653"/>
      <c r="E21" s="42">
        <v>50.67</v>
      </c>
      <c r="F21" s="425">
        <v>1357</v>
      </c>
      <c r="G21" s="412">
        <f t="shared" ref="G21:G27" si="19">E21*F21</f>
        <v>68759.19</v>
      </c>
      <c r="H21" s="37" t="s">
        <v>91</v>
      </c>
      <c r="I21" s="423">
        <v>17</v>
      </c>
      <c r="J21" s="39">
        <v>2000</v>
      </c>
      <c r="K21" s="17">
        <f t="shared" si="1"/>
        <v>117.64705882352941</v>
      </c>
      <c r="L21" s="423">
        <v>17</v>
      </c>
      <c r="M21" s="18">
        <f t="shared" ref="M21:M27" si="20">F21/V21*60</f>
        <v>1938.5714285714278</v>
      </c>
      <c r="N21" s="17">
        <f t="shared" si="3"/>
        <v>114.03361344537811</v>
      </c>
      <c r="O21" s="19">
        <f t="shared" si="4"/>
        <v>0</v>
      </c>
      <c r="P21" s="20">
        <f t="shared" si="5"/>
        <v>-3.6134453781512974</v>
      </c>
      <c r="Q21" s="415">
        <f t="shared" si="6"/>
        <v>0.96928571428571397</v>
      </c>
      <c r="R21" s="637">
        <f>Q28</f>
        <v>0.96033518151009789</v>
      </c>
      <c r="S21" s="40">
        <v>0.20833333333333334</v>
      </c>
      <c r="T21" s="40">
        <v>0.23750000000000002</v>
      </c>
      <c r="U21" s="412"/>
      <c r="V21" s="424">
        <f t="shared" ref="V21:V27" si="21">(T21-S21)*24*60</f>
        <v>42.000000000000014</v>
      </c>
      <c r="W21" s="23"/>
      <c r="X21" s="23"/>
      <c r="Y21" s="28"/>
      <c r="Z21" s="28"/>
      <c r="AA21" s="632"/>
      <c r="AB21" s="632"/>
      <c r="AC21" s="25">
        <v>7</v>
      </c>
      <c r="AD21" s="25"/>
      <c r="AE21" s="19">
        <f t="shared" si="8"/>
        <v>-61.428571428572241</v>
      </c>
      <c r="AF21" s="415">
        <f t="shared" si="9"/>
        <v>0.96928571428571386</v>
      </c>
      <c r="AG21" s="637">
        <f>AF28</f>
        <v>0.960335181510098</v>
      </c>
    </row>
    <row r="22" spans="1:33" ht="15.75" customHeight="1">
      <c r="A22" s="656" t="s">
        <v>58</v>
      </c>
      <c r="B22" s="42" t="s">
        <v>92</v>
      </c>
      <c r="C22" s="653" t="s">
        <v>111</v>
      </c>
      <c r="D22" s="653"/>
      <c r="E22" s="42">
        <v>57.73</v>
      </c>
      <c r="F22" s="425">
        <v>2165</v>
      </c>
      <c r="G22" s="412">
        <f t="shared" si="19"/>
        <v>124985.45</v>
      </c>
      <c r="H22" s="37" t="s">
        <v>91</v>
      </c>
      <c r="I22" s="423">
        <v>14</v>
      </c>
      <c r="J22" s="39">
        <v>2000</v>
      </c>
      <c r="K22" s="17">
        <f t="shared" si="1"/>
        <v>142.85714285714286</v>
      </c>
      <c r="L22" s="423">
        <v>14</v>
      </c>
      <c r="M22" s="18">
        <f t="shared" si="20"/>
        <v>1910.294117647059</v>
      </c>
      <c r="N22" s="17">
        <f t="shared" si="3"/>
        <v>136.44957983193279</v>
      </c>
      <c r="O22" s="19">
        <f t="shared" si="4"/>
        <v>0</v>
      </c>
      <c r="P22" s="20">
        <f t="shared" si="5"/>
        <v>-6.4075630252100666</v>
      </c>
      <c r="Q22" s="415">
        <f t="shared" si="6"/>
        <v>0.95514705882352957</v>
      </c>
      <c r="R22" s="637"/>
      <c r="S22" s="40">
        <v>0.24305555555555558</v>
      </c>
      <c r="T22" s="40">
        <v>0.2902777777777778</v>
      </c>
      <c r="U22" s="412">
        <f t="shared" ref="U22:U27" si="22">IF(S22=TIME(17,0,0),"",(S22-T21)*24*60)</f>
        <v>8.0000000000000107</v>
      </c>
      <c r="V22" s="424">
        <f t="shared" si="21"/>
        <v>68</v>
      </c>
      <c r="W22" s="23"/>
      <c r="X22" s="412"/>
      <c r="Y22" s="412"/>
      <c r="Z22" s="412"/>
      <c r="AA22" s="632"/>
      <c r="AB22" s="632"/>
      <c r="AC22" s="25"/>
      <c r="AD22" s="25"/>
      <c r="AE22" s="19">
        <f t="shared" si="8"/>
        <v>-89.705882352940989</v>
      </c>
      <c r="AF22" s="415">
        <f t="shared" si="9"/>
        <v>0.95514705882352946</v>
      </c>
      <c r="AG22" s="637"/>
    </row>
    <row r="23" spans="1:33" ht="15.75" customHeight="1">
      <c r="A23" s="656" t="s">
        <v>58</v>
      </c>
      <c r="B23" s="42" t="s">
        <v>92</v>
      </c>
      <c r="C23" s="653" t="s">
        <v>112</v>
      </c>
      <c r="D23" s="653"/>
      <c r="E23" s="42">
        <v>53.27</v>
      </c>
      <c r="F23" s="425">
        <v>1060</v>
      </c>
      <c r="G23" s="412">
        <f t="shared" si="19"/>
        <v>56466.200000000004</v>
      </c>
      <c r="H23" s="37" t="s">
        <v>91</v>
      </c>
      <c r="I23" s="423">
        <v>16</v>
      </c>
      <c r="J23" s="39">
        <v>2000</v>
      </c>
      <c r="K23" s="17">
        <f t="shared" si="1"/>
        <v>125</v>
      </c>
      <c r="L23" s="423">
        <v>16</v>
      </c>
      <c r="M23" s="18">
        <f t="shared" si="20"/>
        <v>1927.2727272727293</v>
      </c>
      <c r="N23" s="17">
        <f t="shared" si="3"/>
        <v>120.45454545454558</v>
      </c>
      <c r="O23" s="19">
        <f t="shared" si="4"/>
        <v>0</v>
      </c>
      <c r="P23" s="20">
        <f t="shared" si="5"/>
        <v>-4.5454545454544188</v>
      </c>
      <c r="Q23" s="415">
        <f t="shared" si="6"/>
        <v>0.96363636363636462</v>
      </c>
      <c r="R23" s="637"/>
      <c r="S23" s="40">
        <v>0.29444444444444445</v>
      </c>
      <c r="T23" s="40">
        <v>0.31736111111111109</v>
      </c>
      <c r="U23" s="412">
        <f t="shared" si="22"/>
        <v>5.9999999999999787</v>
      </c>
      <c r="V23" s="424">
        <f t="shared" si="21"/>
        <v>32.999999999999964</v>
      </c>
      <c r="W23" s="23"/>
      <c r="X23" s="412"/>
      <c r="Y23" s="412"/>
      <c r="Z23" s="412"/>
      <c r="AA23" s="632"/>
      <c r="AB23" s="632"/>
      <c r="AC23" s="25"/>
      <c r="AD23" s="25"/>
      <c r="AE23" s="19">
        <f t="shared" si="8"/>
        <v>-72.727272727270702</v>
      </c>
      <c r="AF23" s="415">
        <f t="shared" si="9"/>
        <v>0.96363636363636462</v>
      </c>
      <c r="AG23" s="637"/>
    </row>
    <row r="24" spans="1:33" ht="15.75" customHeight="1">
      <c r="A24" s="656" t="s">
        <v>58</v>
      </c>
      <c r="B24" s="42" t="s">
        <v>92</v>
      </c>
      <c r="C24" s="653" t="s">
        <v>1852</v>
      </c>
      <c r="D24" s="653"/>
      <c r="E24" s="42">
        <v>56.43</v>
      </c>
      <c r="F24" s="425">
        <v>2329</v>
      </c>
      <c r="G24" s="412">
        <f t="shared" si="19"/>
        <v>131425.47</v>
      </c>
      <c r="H24" s="37" t="s">
        <v>91</v>
      </c>
      <c r="I24" s="423">
        <v>25</v>
      </c>
      <c r="J24" s="39">
        <v>2000</v>
      </c>
      <c r="K24" s="17">
        <f t="shared" si="1"/>
        <v>80</v>
      </c>
      <c r="L24" s="423">
        <v>25</v>
      </c>
      <c r="M24" s="18">
        <f t="shared" si="20"/>
        <v>1914.246575342466</v>
      </c>
      <c r="N24" s="17">
        <f t="shared" si="3"/>
        <v>76.569863013698637</v>
      </c>
      <c r="O24" s="19">
        <f t="shared" si="4"/>
        <v>0</v>
      </c>
      <c r="P24" s="20">
        <f t="shared" si="5"/>
        <v>-3.4301369863013633</v>
      </c>
      <c r="Q24" s="415">
        <f t="shared" si="6"/>
        <v>0.957123287671233</v>
      </c>
      <c r="R24" s="637"/>
      <c r="S24" s="40">
        <v>0.3208333333333333</v>
      </c>
      <c r="T24" s="40">
        <v>0.37152777777777773</v>
      </c>
      <c r="U24" s="412">
        <f t="shared" si="22"/>
        <v>4.9999999999999822</v>
      </c>
      <c r="V24" s="424">
        <f t="shared" si="21"/>
        <v>72.999999999999986</v>
      </c>
      <c r="W24" s="23"/>
      <c r="X24" s="412"/>
      <c r="Y24" s="412"/>
      <c r="Z24" s="412"/>
      <c r="AA24" s="632"/>
      <c r="AB24" s="632"/>
      <c r="AC24" s="25"/>
      <c r="AD24" s="25"/>
      <c r="AE24" s="19">
        <f t="shared" si="8"/>
        <v>-85.753424657533969</v>
      </c>
      <c r="AF24" s="415">
        <f t="shared" si="9"/>
        <v>0.957123287671233</v>
      </c>
      <c r="AG24" s="637"/>
    </row>
    <row r="25" spans="1:33" ht="15.75" customHeight="1">
      <c r="A25" s="656" t="s">
        <v>58</v>
      </c>
      <c r="B25" s="42" t="s">
        <v>92</v>
      </c>
      <c r="C25" s="653" t="s">
        <v>113</v>
      </c>
      <c r="D25" s="653"/>
      <c r="E25" s="42">
        <v>56.43</v>
      </c>
      <c r="F25" s="425">
        <v>1256</v>
      </c>
      <c r="G25" s="412">
        <f t="shared" si="19"/>
        <v>70876.08</v>
      </c>
      <c r="H25" s="37" t="s">
        <v>91</v>
      </c>
      <c r="I25" s="423">
        <v>13</v>
      </c>
      <c r="J25" s="39">
        <v>2000</v>
      </c>
      <c r="K25" s="17">
        <f t="shared" si="1"/>
        <v>153.84615384615384</v>
      </c>
      <c r="L25" s="423">
        <v>13</v>
      </c>
      <c r="M25" s="18">
        <f t="shared" si="20"/>
        <v>1932.3076923076915</v>
      </c>
      <c r="N25" s="17">
        <f t="shared" si="3"/>
        <v>148.63905325443781</v>
      </c>
      <c r="O25" s="19">
        <f t="shared" si="4"/>
        <v>0</v>
      </c>
      <c r="P25" s="20">
        <f t="shared" si="5"/>
        <v>-5.2071005917160278</v>
      </c>
      <c r="Q25" s="415">
        <f t="shared" si="6"/>
        <v>0.96615384615384581</v>
      </c>
      <c r="R25" s="637"/>
      <c r="S25" s="40">
        <v>0.70833333333333337</v>
      </c>
      <c r="T25" s="40">
        <v>0.73541666666666672</v>
      </c>
      <c r="U25" s="412" t="str">
        <f t="shared" si="22"/>
        <v/>
      </c>
      <c r="V25" s="424">
        <f t="shared" si="21"/>
        <v>39.000000000000021</v>
      </c>
      <c r="W25" s="23"/>
      <c r="X25" s="23"/>
      <c r="Y25" s="412"/>
      <c r="Z25" s="412"/>
      <c r="AA25" s="632"/>
      <c r="AB25" s="632"/>
      <c r="AC25" s="25"/>
      <c r="AD25" s="25"/>
      <c r="AE25" s="19">
        <f t="shared" si="8"/>
        <v>-67.692307692308532</v>
      </c>
      <c r="AF25" s="415">
        <f t="shared" si="9"/>
        <v>0.9661538461538457</v>
      </c>
      <c r="AG25" s="637"/>
    </row>
    <row r="26" spans="1:33" ht="15.75" customHeight="1">
      <c r="A26" s="656" t="s">
        <v>58</v>
      </c>
      <c r="B26" s="42" t="s">
        <v>92</v>
      </c>
      <c r="C26" s="653" t="s">
        <v>140</v>
      </c>
      <c r="D26" s="653"/>
      <c r="E26" s="42">
        <v>51.06</v>
      </c>
      <c r="F26" s="425">
        <v>3019</v>
      </c>
      <c r="G26" s="412">
        <f t="shared" si="19"/>
        <v>154150.14000000001</v>
      </c>
      <c r="H26" s="37" t="s">
        <v>91</v>
      </c>
      <c r="I26" s="423">
        <v>13</v>
      </c>
      <c r="J26" s="39">
        <v>2000</v>
      </c>
      <c r="K26" s="17">
        <f t="shared" si="1"/>
        <v>153.84615384615384</v>
      </c>
      <c r="L26" s="423">
        <v>13</v>
      </c>
      <c r="M26" s="18">
        <f t="shared" si="20"/>
        <v>1906.7368421052633</v>
      </c>
      <c r="N26" s="17">
        <f t="shared" si="3"/>
        <v>146.67206477732796</v>
      </c>
      <c r="O26" s="19">
        <f t="shared" si="4"/>
        <v>0</v>
      </c>
      <c r="P26" s="20">
        <f t="shared" si="5"/>
        <v>-7.1740890688258787</v>
      </c>
      <c r="Q26" s="415">
        <f t="shared" si="6"/>
        <v>0.95336842105263175</v>
      </c>
      <c r="R26" s="637"/>
      <c r="S26" s="40">
        <v>0.73958333333333337</v>
      </c>
      <c r="T26" s="40">
        <v>0.80555555555555558</v>
      </c>
      <c r="U26" s="412">
        <f t="shared" si="22"/>
        <v>5.9999999999999787</v>
      </c>
      <c r="V26" s="424">
        <f t="shared" si="21"/>
        <v>94.999999999999986</v>
      </c>
      <c r="W26" s="23"/>
      <c r="X26" s="28"/>
      <c r="Y26" s="28"/>
      <c r="Z26" s="28"/>
      <c r="AA26" s="632"/>
      <c r="AB26" s="632"/>
      <c r="AC26" s="25"/>
      <c r="AD26" s="25"/>
      <c r="AE26" s="19">
        <f t="shared" si="8"/>
        <v>-93.263157894736651</v>
      </c>
      <c r="AF26" s="415">
        <f t="shared" si="9"/>
        <v>0.95336842105263164</v>
      </c>
      <c r="AG26" s="637"/>
    </row>
    <row r="27" spans="1:33" ht="15.75" customHeight="1">
      <c r="A27" s="656" t="s">
        <v>58</v>
      </c>
      <c r="B27" s="42" t="s">
        <v>92</v>
      </c>
      <c r="C27" s="679" t="s">
        <v>95</v>
      </c>
      <c r="D27" s="680"/>
      <c r="E27" s="42">
        <v>50.67</v>
      </c>
      <c r="F27" s="425">
        <v>1213</v>
      </c>
      <c r="G27" s="412">
        <f t="shared" si="19"/>
        <v>61462.71</v>
      </c>
      <c r="H27" s="37" t="s">
        <v>91</v>
      </c>
      <c r="I27" s="423">
        <v>15</v>
      </c>
      <c r="J27" s="39">
        <v>2000</v>
      </c>
      <c r="K27" s="17">
        <f t="shared" si="1"/>
        <v>133.33333333333334</v>
      </c>
      <c r="L27" s="423">
        <v>15</v>
      </c>
      <c r="M27" s="18">
        <f t="shared" si="20"/>
        <v>1915.2631578947355</v>
      </c>
      <c r="N27" s="17">
        <f t="shared" si="3"/>
        <v>127.6842105263157</v>
      </c>
      <c r="O27" s="19">
        <f t="shared" si="4"/>
        <v>0</v>
      </c>
      <c r="P27" s="20">
        <f t="shared" si="5"/>
        <v>-5.6491228070176476</v>
      </c>
      <c r="Q27" s="415">
        <f t="shared" si="6"/>
        <v>0.95763157894736761</v>
      </c>
      <c r="R27" s="637"/>
      <c r="S27" s="40">
        <v>0.80902777777777779</v>
      </c>
      <c r="T27" s="40">
        <v>0.8354166666666667</v>
      </c>
      <c r="U27" s="412">
        <f t="shared" si="22"/>
        <v>4.9999999999999822</v>
      </c>
      <c r="V27" s="424">
        <f t="shared" si="21"/>
        <v>38.000000000000028</v>
      </c>
      <c r="W27" s="23"/>
      <c r="X27" s="28"/>
      <c r="Y27" s="136"/>
      <c r="Z27" s="136"/>
      <c r="AA27" s="627"/>
      <c r="AB27" s="628"/>
      <c r="AC27" s="25"/>
      <c r="AD27" s="25"/>
      <c r="AE27" s="19">
        <f t="shared" si="8"/>
        <v>-84.736842105264486</v>
      </c>
      <c r="AF27" s="415">
        <f t="shared" si="9"/>
        <v>0.95763157894736772</v>
      </c>
      <c r="AG27" s="637"/>
    </row>
    <row r="28" spans="1:33" ht="15.75" customHeight="1">
      <c r="A28" s="656" t="s">
        <v>58</v>
      </c>
      <c r="B28" s="42" t="s">
        <v>49</v>
      </c>
      <c r="C28" s="638"/>
      <c r="D28" s="638"/>
      <c r="E28" s="418"/>
      <c r="F28" s="425"/>
      <c r="G28" s="412"/>
      <c r="H28" s="425"/>
      <c r="I28" s="29">
        <v>16.142857142857142</v>
      </c>
      <c r="J28" s="39">
        <v>2000</v>
      </c>
      <c r="K28" s="17">
        <f t="shared" si="1"/>
        <v>123.89380530973452</v>
      </c>
      <c r="L28" s="29">
        <v>16.142857142857142</v>
      </c>
      <c r="M28" s="18">
        <f>AVERAGE(M21:M27)</f>
        <v>1920.670363020196</v>
      </c>
      <c r="N28" s="17">
        <f t="shared" si="3"/>
        <v>118.97958001010063</v>
      </c>
      <c r="O28" s="19">
        <f t="shared" si="4"/>
        <v>0</v>
      </c>
      <c r="P28" s="20">
        <f t="shared" si="5"/>
        <v>-4.914225299633884</v>
      </c>
      <c r="Q28" s="415">
        <f t="shared" si="6"/>
        <v>0.96033518151009789</v>
      </c>
      <c r="R28" s="637"/>
      <c r="S28" s="40"/>
      <c r="T28" s="40"/>
      <c r="U28" s="17"/>
      <c r="V28" s="424"/>
      <c r="W28" s="17"/>
      <c r="X28" s="17"/>
      <c r="Y28" s="30">
        <f>SUM(Y21:Y27)</f>
        <v>0</v>
      </c>
      <c r="Z28" s="30">
        <f>SUM(Z21:Z27)</f>
        <v>0</v>
      </c>
      <c r="AA28" s="631"/>
      <c r="AB28" s="631"/>
      <c r="AC28" s="30">
        <v>7</v>
      </c>
      <c r="AD28" s="30">
        <f>SUM(AD21:AD27)</f>
        <v>0</v>
      </c>
      <c r="AE28" s="19">
        <f t="shared" si="8"/>
        <v>-79.329636979804036</v>
      </c>
      <c r="AF28" s="415">
        <f t="shared" si="9"/>
        <v>0.960335181510098</v>
      </c>
      <c r="AG28" s="637"/>
    </row>
    <row r="29" spans="1:33" ht="15.75" customHeight="1">
      <c r="A29" s="654" t="s">
        <v>62</v>
      </c>
      <c r="B29" s="42" t="s">
        <v>116</v>
      </c>
      <c r="C29" s="653" t="s">
        <v>117</v>
      </c>
      <c r="D29" s="653"/>
      <c r="E29" s="42">
        <v>31.29</v>
      </c>
      <c r="F29" s="425">
        <v>8030</v>
      </c>
      <c r="G29" s="412">
        <f t="shared" ref="G29:G34" si="23">E29*F29</f>
        <v>251258.69999999998</v>
      </c>
      <c r="H29" s="37" t="s">
        <v>91</v>
      </c>
      <c r="I29" s="423">
        <v>18</v>
      </c>
      <c r="J29" s="39">
        <v>2400</v>
      </c>
      <c r="K29" s="17">
        <f t="shared" si="1"/>
        <v>133.33333333333334</v>
      </c>
      <c r="L29" s="423">
        <v>18</v>
      </c>
      <c r="M29" s="18">
        <f t="shared" ref="M29:M34" si="24">F29/V29*60</f>
        <v>2283.4123222748808</v>
      </c>
      <c r="N29" s="17">
        <f t="shared" si="3"/>
        <v>126.85624012638226</v>
      </c>
      <c r="O29" s="19">
        <f t="shared" si="4"/>
        <v>0</v>
      </c>
      <c r="P29" s="20">
        <f t="shared" si="5"/>
        <v>-6.477093206951082</v>
      </c>
      <c r="Q29" s="415">
        <f t="shared" si="6"/>
        <v>0.95142180094786688</v>
      </c>
      <c r="R29" s="637">
        <f>Q35</f>
        <v>0.9553804497227818</v>
      </c>
      <c r="S29" s="40">
        <v>8.3333333333333329E-2</v>
      </c>
      <c r="T29" s="40">
        <v>0.22986111111111113</v>
      </c>
      <c r="U29" s="412"/>
      <c r="V29" s="424">
        <f t="shared" ref="V29:V34" si="25">(T29-S29)*24*60</f>
        <v>211.00000000000006</v>
      </c>
      <c r="W29" s="23">
        <f>T29</f>
        <v>0.22986111111111113</v>
      </c>
      <c r="X29" s="23">
        <f>S30</f>
        <v>0.24930555555555556</v>
      </c>
      <c r="Y29" s="23"/>
      <c r="Z29" s="23"/>
      <c r="AA29" s="632"/>
      <c r="AB29" s="632"/>
      <c r="AC29" s="25">
        <v>6</v>
      </c>
      <c r="AD29" s="25"/>
      <c r="AE29" s="19">
        <f t="shared" si="8"/>
        <v>-116.58767772511919</v>
      </c>
      <c r="AF29" s="415">
        <f t="shared" si="9"/>
        <v>0.95142180094786699</v>
      </c>
      <c r="AG29" s="637">
        <f>AF35</f>
        <v>0.9553804497227818</v>
      </c>
    </row>
    <row r="30" spans="1:33" ht="15.75" customHeight="1">
      <c r="A30" s="654" t="s">
        <v>62</v>
      </c>
      <c r="B30" s="42" t="s">
        <v>116</v>
      </c>
      <c r="C30" s="653" t="s">
        <v>118</v>
      </c>
      <c r="D30" s="653"/>
      <c r="E30" s="42">
        <v>26.37</v>
      </c>
      <c r="F30" s="425">
        <v>5167</v>
      </c>
      <c r="G30" s="412">
        <f t="shared" si="23"/>
        <v>136253.79</v>
      </c>
      <c r="H30" s="37" t="s">
        <v>91</v>
      </c>
      <c r="I30" s="423">
        <v>18</v>
      </c>
      <c r="J30" s="39">
        <v>2400</v>
      </c>
      <c r="K30" s="17">
        <f t="shared" si="1"/>
        <v>133.33333333333334</v>
      </c>
      <c r="L30" s="423">
        <v>18</v>
      </c>
      <c r="M30" s="18">
        <f t="shared" si="24"/>
        <v>2296.4444444444443</v>
      </c>
      <c r="N30" s="17">
        <f t="shared" si="3"/>
        <v>127.58024691358024</v>
      </c>
      <c r="O30" s="19">
        <f t="shared" si="4"/>
        <v>0</v>
      </c>
      <c r="P30" s="20">
        <f t="shared" si="5"/>
        <v>-5.7530864197531031</v>
      </c>
      <c r="Q30" s="415">
        <f t="shared" si="6"/>
        <v>0.95685185185185173</v>
      </c>
      <c r="R30" s="637"/>
      <c r="S30" s="40">
        <v>0.24930555555555556</v>
      </c>
      <c r="T30" s="40">
        <v>0.34305555555555556</v>
      </c>
      <c r="U30" s="412">
        <f t="shared" ref="U30:U34" si="26">(S30-T29)*24*60</f>
        <v>27.999999999999979</v>
      </c>
      <c r="V30" s="424">
        <f t="shared" si="25"/>
        <v>135</v>
      </c>
      <c r="W30" s="23"/>
      <c r="X30" s="23"/>
      <c r="Y30" s="23"/>
      <c r="Z30" s="23"/>
      <c r="AA30" s="632"/>
      <c r="AB30" s="632"/>
      <c r="AC30" s="25"/>
      <c r="AD30" s="25"/>
      <c r="AE30" s="19">
        <f t="shared" si="8"/>
        <v>-103.55555555555566</v>
      </c>
      <c r="AF30" s="415">
        <f t="shared" si="9"/>
        <v>0.95685185185185184</v>
      </c>
      <c r="AG30" s="637"/>
    </row>
    <row r="31" spans="1:33" ht="15.75" customHeight="1">
      <c r="A31" s="654" t="s">
        <v>62</v>
      </c>
      <c r="B31" s="42" t="s">
        <v>116</v>
      </c>
      <c r="C31" s="653" t="s">
        <v>124</v>
      </c>
      <c r="D31" s="653"/>
      <c r="E31" s="42">
        <v>24.43</v>
      </c>
      <c r="F31" s="425">
        <v>3400</v>
      </c>
      <c r="G31" s="412">
        <f t="shared" si="23"/>
        <v>83062</v>
      </c>
      <c r="H31" s="37">
        <v>2</v>
      </c>
      <c r="I31" s="423">
        <v>14</v>
      </c>
      <c r="J31" s="39">
        <v>2400</v>
      </c>
      <c r="K31" s="17">
        <f t="shared" si="1"/>
        <v>171.42857142857142</v>
      </c>
      <c r="L31" s="423">
        <v>14</v>
      </c>
      <c r="M31" s="18">
        <f t="shared" si="24"/>
        <v>2292.1348314606744</v>
      </c>
      <c r="N31" s="17">
        <f t="shared" si="3"/>
        <v>163.72391653290532</v>
      </c>
      <c r="O31" s="19">
        <f t="shared" si="4"/>
        <v>0</v>
      </c>
      <c r="P31" s="20">
        <f t="shared" si="5"/>
        <v>-7.7046548956660956</v>
      </c>
      <c r="Q31" s="415">
        <f t="shared" si="6"/>
        <v>0.95505617977528112</v>
      </c>
      <c r="R31" s="637"/>
      <c r="S31" s="40">
        <v>0.34791666666666665</v>
      </c>
      <c r="T31" s="40">
        <v>0.40972222222222221</v>
      </c>
      <c r="U31" s="412">
        <f t="shared" si="26"/>
        <v>6.9999999999999751</v>
      </c>
      <c r="V31" s="424">
        <f t="shared" si="25"/>
        <v>89</v>
      </c>
      <c r="W31" s="23"/>
      <c r="X31" s="23"/>
      <c r="Y31" s="23"/>
      <c r="Z31" s="23"/>
      <c r="AA31" s="632"/>
      <c r="AB31" s="632"/>
      <c r="AC31" s="25"/>
      <c r="AD31" s="25"/>
      <c r="AE31" s="19">
        <f t="shared" si="8"/>
        <v>-107.86516853932562</v>
      </c>
      <c r="AF31" s="415">
        <f t="shared" si="9"/>
        <v>0.95505617977528101</v>
      </c>
      <c r="AG31" s="637"/>
    </row>
    <row r="32" spans="1:33" ht="15.75" customHeight="1">
      <c r="A32" s="654" t="s">
        <v>62</v>
      </c>
      <c r="B32" s="42" t="s">
        <v>116</v>
      </c>
      <c r="C32" s="653" t="s">
        <v>148</v>
      </c>
      <c r="D32" s="653"/>
      <c r="E32" s="42">
        <v>28.29</v>
      </c>
      <c r="F32" s="425">
        <v>2857</v>
      </c>
      <c r="G32" s="412">
        <f t="shared" si="23"/>
        <v>80824.53</v>
      </c>
      <c r="H32" s="37" t="s">
        <v>91</v>
      </c>
      <c r="I32" s="423">
        <v>19</v>
      </c>
      <c r="J32" s="39">
        <v>2400</v>
      </c>
      <c r="K32" s="17">
        <f t="shared" si="1"/>
        <v>126.31578947368421</v>
      </c>
      <c r="L32" s="423">
        <v>19</v>
      </c>
      <c r="M32" s="18">
        <f t="shared" si="24"/>
        <v>2285.6000000000008</v>
      </c>
      <c r="N32" s="17">
        <f t="shared" si="3"/>
        <v>120.29473684210531</v>
      </c>
      <c r="O32" s="19">
        <f t="shared" si="4"/>
        <v>0</v>
      </c>
      <c r="P32" s="20">
        <f t="shared" si="5"/>
        <v>-6.0210526315788968</v>
      </c>
      <c r="Q32" s="415">
        <f t="shared" si="6"/>
        <v>0.9523333333333337</v>
      </c>
      <c r="R32" s="637"/>
      <c r="S32" s="40">
        <v>0.41388888888888886</v>
      </c>
      <c r="T32" s="40">
        <v>0.46597222222222218</v>
      </c>
      <c r="U32" s="412">
        <f t="shared" si="26"/>
        <v>5.9999999999999787</v>
      </c>
      <c r="V32" s="424">
        <f t="shared" si="25"/>
        <v>74.999999999999972</v>
      </c>
      <c r="W32" s="23"/>
      <c r="X32" s="23"/>
      <c r="Y32" s="23"/>
      <c r="Z32" s="23"/>
      <c r="AA32" s="632"/>
      <c r="AB32" s="632"/>
      <c r="AC32" s="25"/>
      <c r="AD32" s="25"/>
      <c r="AE32" s="19">
        <f t="shared" si="8"/>
        <v>-114.39999999999918</v>
      </c>
      <c r="AF32" s="415">
        <f t="shared" si="9"/>
        <v>0.9523333333333337</v>
      </c>
      <c r="AG32" s="637"/>
    </row>
    <row r="33" spans="1:33" ht="15.75" customHeight="1">
      <c r="A33" s="654" t="s">
        <v>62</v>
      </c>
      <c r="B33" s="42" t="s">
        <v>116</v>
      </c>
      <c r="C33" s="653" t="s">
        <v>150</v>
      </c>
      <c r="D33" s="653"/>
      <c r="E33" s="42">
        <v>23.89</v>
      </c>
      <c r="F33" s="425">
        <v>1489</v>
      </c>
      <c r="G33" s="412">
        <f t="shared" si="23"/>
        <v>35572.21</v>
      </c>
      <c r="H33" s="37" t="s">
        <v>91</v>
      </c>
      <c r="I33" s="423">
        <v>13</v>
      </c>
      <c r="J33" s="39">
        <v>2400</v>
      </c>
      <c r="K33" s="17">
        <f t="shared" si="1"/>
        <v>184.61538461538461</v>
      </c>
      <c r="L33" s="423">
        <v>13</v>
      </c>
      <c r="M33" s="18">
        <f t="shared" si="24"/>
        <v>2290.7692307692296</v>
      </c>
      <c r="N33" s="17">
        <f t="shared" si="3"/>
        <v>176.21301775147919</v>
      </c>
      <c r="O33" s="19">
        <f t="shared" si="4"/>
        <v>0</v>
      </c>
      <c r="P33" s="20">
        <f t="shared" si="5"/>
        <v>-8.4023668639054279</v>
      </c>
      <c r="Q33" s="415">
        <f t="shared" si="6"/>
        <v>0.95448717948717898</v>
      </c>
      <c r="R33" s="637"/>
      <c r="S33" s="40">
        <v>0.47013888888888883</v>
      </c>
      <c r="T33" s="40">
        <v>0.49722222222222218</v>
      </c>
      <c r="U33" s="412">
        <f t="shared" si="26"/>
        <v>5.9999999999999787</v>
      </c>
      <c r="V33" s="424">
        <f t="shared" si="25"/>
        <v>39.000000000000021</v>
      </c>
      <c r="W33" s="23">
        <f>T33</f>
        <v>0.49722222222222218</v>
      </c>
      <c r="X33" s="23">
        <f>S34</f>
        <v>0.53749999999999998</v>
      </c>
      <c r="Y33" s="23"/>
      <c r="Z33" s="23"/>
      <c r="AA33" s="632"/>
      <c r="AB33" s="632"/>
      <c r="AC33" s="25"/>
      <c r="AD33" s="25"/>
      <c r="AE33" s="19">
        <f t="shared" si="8"/>
        <v>-109.23076923077042</v>
      </c>
      <c r="AF33" s="415">
        <f t="shared" si="9"/>
        <v>0.95448717948717898</v>
      </c>
      <c r="AG33" s="637"/>
    </row>
    <row r="34" spans="1:33" ht="15.75" customHeight="1">
      <c r="A34" s="654" t="s">
        <v>62</v>
      </c>
      <c r="B34" s="42" t="s">
        <v>116</v>
      </c>
      <c r="C34" s="653" t="s">
        <v>124</v>
      </c>
      <c r="D34" s="653"/>
      <c r="E34" s="42">
        <v>24.43</v>
      </c>
      <c r="F34" s="425">
        <v>2617</v>
      </c>
      <c r="G34" s="412">
        <f t="shared" si="23"/>
        <v>63933.31</v>
      </c>
      <c r="H34" s="37" t="s">
        <v>91</v>
      </c>
      <c r="I34" s="423">
        <v>14</v>
      </c>
      <c r="J34" s="39">
        <v>2400</v>
      </c>
      <c r="K34" s="17">
        <f t="shared" si="1"/>
        <v>171.42857142857142</v>
      </c>
      <c r="L34" s="423">
        <v>14</v>
      </c>
      <c r="M34" s="18">
        <f t="shared" si="24"/>
        <v>2309.1176470588266</v>
      </c>
      <c r="N34" s="17">
        <f t="shared" si="3"/>
        <v>164.93697478991618</v>
      </c>
      <c r="O34" s="19">
        <f t="shared" si="4"/>
        <v>0</v>
      </c>
      <c r="P34" s="20">
        <f t="shared" si="5"/>
        <v>-6.4915966386552384</v>
      </c>
      <c r="Q34" s="415">
        <f t="shared" si="6"/>
        <v>0.96213235294117783</v>
      </c>
      <c r="R34" s="637"/>
      <c r="S34" s="40">
        <v>0.53749999999999998</v>
      </c>
      <c r="T34" s="40">
        <v>0.58472222222222214</v>
      </c>
      <c r="U34" s="412">
        <f t="shared" si="26"/>
        <v>58.000000000000036</v>
      </c>
      <c r="V34" s="424">
        <f t="shared" si="25"/>
        <v>67.999999999999915</v>
      </c>
      <c r="W34" s="23"/>
      <c r="X34" s="23"/>
      <c r="Y34" s="23"/>
      <c r="Z34" s="23"/>
      <c r="AA34" s="632"/>
      <c r="AB34" s="632"/>
      <c r="AC34" s="25"/>
      <c r="AD34" s="25"/>
      <c r="AE34" s="19">
        <f t="shared" si="8"/>
        <v>-90.882352941173394</v>
      </c>
      <c r="AF34" s="415">
        <f t="shared" si="9"/>
        <v>0.96213235294117772</v>
      </c>
      <c r="AG34" s="637"/>
    </row>
    <row r="35" spans="1:33" ht="15.75" customHeight="1">
      <c r="A35" s="654" t="s">
        <v>62</v>
      </c>
      <c r="B35" s="42" t="s">
        <v>49</v>
      </c>
      <c r="C35" s="638"/>
      <c r="D35" s="638"/>
      <c r="E35" s="418"/>
      <c r="F35" s="425"/>
      <c r="G35" s="412"/>
      <c r="H35" s="425"/>
      <c r="I35" s="29">
        <v>16</v>
      </c>
      <c r="J35" s="39">
        <v>2400</v>
      </c>
      <c r="K35" s="17">
        <f t="shared" si="1"/>
        <v>150</v>
      </c>
      <c r="L35" s="29">
        <v>16</v>
      </c>
      <c r="M35" s="18">
        <f>AVERAGE(M29:M34)</f>
        <v>2292.9130793346762</v>
      </c>
      <c r="N35" s="17">
        <f t="shared" si="3"/>
        <v>143.30706745841727</v>
      </c>
      <c r="O35" s="19">
        <f t="shared" si="4"/>
        <v>0</v>
      </c>
      <c r="P35" s="20">
        <f t="shared" si="5"/>
        <v>-6.692932541582735</v>
      </c>
      <c r="Q35" s="415">
        <f t="shared" si="6"/>
        <v>0.9553804497227818</v>
      </c>
      <c r="R35" s="637"/>
      <c r="S35" s="40"/>
      <c r="T35" s="40"/>
      <c r="U35" s="412"/>
      <c r="V35" s="424"/>
      <c r="W35" s="412"/>
      <c r="X35" s="412"/>
      <c r="Y35" s="30">
        <f>SUM(Y29:Y34)</f>
        <v>0</v>
      </c>
      <c r="Z35" s="30">
        <f>SUM(Z29:Z34)</f>
        <v>0</v>
      </c>
      <c r="AA35" s="631"/>
      <c r="AB35" s="631"/>
      <c r="AC35" s="30">
        <v>6</v>
      </c>
      <c r="AD35" s="30">
        <f>SUM(AD29:AD34)</f>
        <v>0</v>
      </c>
      <c r="AE35" s="19">
        <f t="shared" si="8"/>
        <v>-107.08692066532376</v>
      </c>
      <c r="AF35" s="415">
        <f t="shared" si="9"/>
        <v>0.9553804497227818</v>
      </c>
      <c r="AG35" s="637"/>
    </row>
    <row r="36" spans="1:33" ht="15.75" customHeight="1">
      <c r="A36" s="651" t="s">
        <v>66</v>
      </c>
      <c r="B36" s="42" t="s">
        <v>116</v>
      </c>
      <c r="C36" s="633" t="s">
        <v>123</v>
      </c>
      <c r="D36" s="633"/>
      <c r="E36" s="42">
        <v>26.18</v>
      </c>
      <c r="F36" s="425">
        <v>4921</v>
      </c>
      <c r="G36" s="412">
        <f t="shared" ref="G36:G41" si="27">E36*F36</f>
        <v>128831.78</v>
      </c>
      <c r="H36" s="37" t="s">
        <v>91</v>
      </c>
      <c r="I36" s="423">
        <v>20</v>
      </c>
      <c r="J36" s="39">
        <v>2400</v>
      </c>
      <c r="K36" s="17">
        <f t="shared" si="1"/>
        <v>120</v>
      </c>
      <c r="L36" s="423">
        <v>20</v>
      </c>
      <c r="M36" s="18">
        <f t="shared" ref="M36:M41" si="28">F36/V36*60</f>
        <v>2288.8372093023258</v>
      </c>
      <c r="N36" s="17">
        <f t="shared" si="3"/>
        <v>114.44186046511629</v>
      </c>
      <c r="O36" s="19">
        <f t="shared" si="4"/>
        <v>0</v>
      </c>
      <c r="P36" s="20">
        <f t="shared" si="5"/>
        <v>-5.5581395348837077</v>
      </c>
      <c r="Q36" s="415">
        <f t="shared" si="6"/>
        <v>0.95368217054263582</v>
      </c>
      <c r="R36" s="637">
        <f>Q42</f>
        <v>0.9545384016059888</v>
      </c>
      <c r="S36" s="40">
        <v>8.3333333333333329E-2</v>
      </c>
      <c r="T36" s="40">
        <v>0.17291666666666666</v>
      </c>
      <c r="U36" s="412"/>
      <c r="V36" s="424">
        <f t="shared" ref="V36:V41" si="29">(T36-S36)*24*60</f>
        <v>129</v>
      </c>
      <c r="W36" s="28">
        <f>T36</f>
        <v>0.17291666666666666</v>
      </c>
      <c r="X36" s="28">
        <f>S37</f>
        <v>0.19236111111111109</v>
      </c>
      <c r="Y36" s="28"/>
      <c r="Z36" s="28"/>
      <c r="AA36" s="632"/>
      <c r="AB36" s="632"/>
      <c r="AC36" s="25">
        <v>6</v>
      </c>
      <c r="AD36" s="25"/>
      <c r="AE36" s="19">
        <f t="shared" si="8"/>
        <v>-111.16279069767415</v>
      </c>
      <c r="AF36" s="415">
        <f t="shared" si="9"/>
        <v>0.95368217054263582</v>
      </c>
      <c r="AG36" s="637">
        <f>AF42</f>
        <v>0.95453840160598891</v>
      </c>
    </row>
    <row r="37" spans="1:33" ht="15.75" customHeight="1">
      <c r="A37" s="651" t="s">
        <v>66</v>
      </c>
      <c r="B37" s="42" t="s">
        <v>116</v>
      </c>
      <c r="C37" s="633" t="s">
        <v>147</v>
      </c>
      <c r="D37" s="633"/>
      <c r="E37" s="42">
        <v>25.98</v>
      </c>
      <c r="F37" s="425">
        <v>1723</v>
      </c>
      <c r="G37" s="412">
        <f t="shared" si="27"/>
        <v>44763.54</v>
      </c>
      <c r="H37" s="37" t="s">
        <v>91</v>
      </c>
      <c r="I37" s="423">
        <v>17</v>
      </c>
      <c r="J37" s="39">
        <v>2400</v>
      </c>
      <c r="K37" s="17">
        <f t="shared" si="1"/>
        <v>141.1764705882353</v>
      </c>
      <c r="L37" s="423">
        <v>17</v>
      </c>
      <c r="M37" s="18">
        <f t="shared" si="28"/>
        <v>2297.3333333333335</v>
      </c>
      <c r="N37" s="17">
        <f t="shared" si="3"/>
        <v>135.1372549019608</v>
      </c>
      <c r="O37" s="19">
        <f t="shared" si="4"/>
        <v>0</v>
      </c>
      <c r="P37" s="20">
        <f t="shared" si="5"/>
        <v>-6.0392156862745026</v>
      </c>
      <c r="Q37" s="415">
        <f t="shared" si="6"/>
        <v>0.95722222222222231</v>
      </c>
      <c r="R37" s="637"/>
      <c r="S37" s="40">
        <v>0.19236111111111109</v>
      </c>
      <c r="T37" s="40">
        <v>0.22361111111111109</v>
      </c>
      <c r="U37" s="412">
        <f t="shared" ref="U37:U41" si="30">(S37-T36)*24*60</f>
        <v>27.999999999999979</v>
      </c>
      <c r="V37" s="424">
        <f t="shared" si="29"/>
        <v>45</v>
      </c>
      <c r="W37" s="412"/>
      <c r="X37" s="412"/>
      <c r="Y37" s="412"/>
      <c r="Z37" s="412"/>
      <c r="AA37" s="632"/>
      <c r="AB37" s="632"/>
      <c r="AC37" s="25"/>
      <c r="AD37" s="25"/>
      <c r="AE37" s="19">
        <f t="shared" si="8"/>
        <v>-102.66666666666652</v>
      </c>
      <c r="AF37" s="415">
        <f t="shared" si="9"/>
        <v>0.95722222222222231</v>
      </c>
      <c r="AG37" s="637"/>
    </row>
    <row r="38" spans="1:33">
      <c r="A38" s="652" t="s">
        <v>66</v>
      </c>
      <c r="B38" s="42" t="s">
        <v>116</v>
      </c>
      <c r="C38" s="633" t="s">
        <v>119</v>
      </c>
      <c r="D38" s="633"/>
      <c r="E38" s="42">
        <v>26.18</v>
      </c>
      <c r="F38" s="425">
        <v>7053</v>
      </c>
      <c r="G38" s="412">
        <f t="shared" si="27"/>
        <v>184647.54</v>
      </c>
      <c r="H38" s="37" t="s">
        <v>91</v>
      </c>
      <c r="I38" s="423">
        <v>18</v>
      </c>
      <c r="J38" s="39">
        <v>2400</v>
      </c>
      <c r="K38" s="17">
        <f t="shared" si="1"/>
        <v>133.33333333333334</v>
      </c>
      <c r="L38" s="423">
        <v>18</v>
      </c>
      <c r="M38" s="18">
        <f t="shared" si="28"/>
        <v>2287.4594594594591</v>
      </c>
      <c r="N38" s="17">
        <f t="shared" si="3"/>
        <v>127.08108108108107</v>
      </c>
      <c r="O38" s="19">
        <f t="shared" si="4"/>
        <v>0</v>
      </c>
      <c r="P38" s="20">
        <f t="shared" si="5"/>
        <v>-6.2522522522522763</v>
      </c>
      <c r="Q38" s="415">
        <f t="shared" si="6"/>
        <v>0.95310810810810798</v>
      </c>
      <c r="R38" s="637"/>
      <c r="S38" s="40">
        <v>0.22847222222222222</v>
      </c>
      <c r="T38" s="40">
        <v>0.35694444444444445</v>
      </c>
      <c r="U38" s="412">
        <f t="shared" si="30"/>
        <v>7.0000000000000151</v>
      </c>
      <c r="V38" s="424">
        <f t="shared" si="29"/>
        <v>185.00000000000003</v>
      </c>
      <c r="W38" s="412"/>
      <c r="X38" s="412"/>
      <c r="Y38" s="412"/>
      <c r="Z38" s="412"/>
      <c r="AA38" s="632"/>
      <c r="AB38" s="632"/>
      <c r="AC38" s="25"/>
      <c r="AD38" s="25"/>
      <c r="AE38" s="19">
        <f t="shared" si="8"/>
        <v>-112.54054054054086</v>
      </c>
      <c r="AF38" s="415">
        <f t="shared" si="9"/>
        <v>0.95310810810810798</v>
      </c>
      <c r="AG38" s="637"/>
    </row>
    <row r="39" spans="1:33">
      <c r="A39" s="652" t="s">
        <v>66</v>
      </c>
      <c r="B39" s="42" t="s">
        <v>116</v>
      </c>
      <c r="C39" s="633" t="s">
        <v>121</v>
      </c>
      <c r="D39" s="633"/>
      <c r="E39" s="42">
        <v>25.99</v>
      </c>
      <c r="F39" s="425">
        <v>2975</v>
      </c>
      <c r="G39" s="412">
        <f t="shared" si="27"/>
        <v>77320.25</v>
      </c>
      <c r="H39" s="37" t="s">
        <v>91</v>
      </c>
      <c r="I39" s="423">
        <v>14</v>
      </c>
      <c r="J39" s="39">
        <v>2400</v>
      </c>
      <c r="K39" s="17">
        <f t="shared" si="1"/>
        <v>171.42857142857142</v>
      </c>
      <c r="L39" s="423">
        <v>14</v>
      </c>
      <c r="M39" s="18">
        <f t="shared" si="28"/>
        <v>2288.4615384615399</v>
      </c>
      <c r="N39" s="17">
        <f t="shared" si="3"/>
        <v>163.46153846153857</v>
      </c>
      <c r="O39" s="19">
        <f t="shared" si="4"/>
        <v>0</v>
      </c>
      <c r="P39" s="20">
        <f t="shared" si="5"/>
        <v>-7.9670329670328499</v>
      </c>
      <c r="Q39" s="415">
        <f t="shared" si="6"/>
        <v>0.95352564102564175</v>
      </c>
      <c r="R39" s="637"/>
      <c r="S39" s="40">
        <v>0.3611111111111111</v>
      </c>
      <c r="T39" s="40">
        <v>0.41527777777777775</v>
      </c>
      <c r="U39" s="412">
        <f t="shared" si="30"/>
        <v>5.9999999999999787</v>
      </c>
      <c r="V39" s="424">
        <f t="shared" si="29"/>
        <v>77.999999999999957</v>
      </c>
      <c r="W39" s="23"/>
      <c r="X39" s="23"/>
      <c r="Y39" s="23"/>
      <c r="Z39" s="23"/>
      <c r="AA39" s="632"/>
      <c r="AB39" s="632"/>
      <c r="AC39" s="25"/>
      <c r="AD39" s="25"/>
      <c r="AE39" s="19">
        <f t="shared" si="8"/>
        <v>-111.53846153846007</v>
      </c>
      <c r="AF39" s="415">
        <f t="shared" si="9"/>
        <v>0.95352564102564163</v>
      </c>
      <c r="AG39" s="637"/>
    </row>
    <row r="40" spans="1:33">
      <c r="A40" s="652" t="s">
        <v>66</v>
      </c>
      <c r="B40" s="42" t="s">
        <v>116</v>
      </c>
      <c r="C40" s="633" t="s">
        <v>126</v>
      </c>
      <c r="D40" s="633"/>
      <c r="E40" s="42">
        <v>34.1</v>
      </c>
      <c r="F40" s="425">
        <v>2900</v>
      </c>
      <c r="G40" s="412">
        <f t="shared" si="27"/>
        <v>98890</v>
      </c>
      <c r="H40" s="37">
        <v>2</v>
      </c>
      <c r="I40" s="423">
        <v>17</v>
      </c>
      <c r="J40" s="39">
        <v>1600</v>
      </c>
      <c r="K40" s="17">
        <f t="shared" si="1"/>
        <v>94.117647058823536</v>
      </c>
      <c r="L40" s="423">
        <v>17</v>
      </c>
      <c r="M40" s="18">
        <f t="shared" si="28"/>
        <v>1526.3157894736842</v>
      </c>
      <c r="N40" s="17">
        <f t="shared" si="3"/>
        <v>89.783281733746122</v>
      </c>
      <c r="O40" s="19">
        <f t="shared" si="4"/>
        <v>0</v>
      </c>
      <c r="P40" s="20">
        <f t="shared" si="5"/>
        <v>-4.3343653250774139</v>
      </c>
      <c r="Q40" s="415">
        <f t="shared" si="6"/>
        <v>0.95394736842105243</v>
      </c>
      <c r="R40" s="637"/>
      <c r="S40" s="40">
        <v>0.4194444444444444</v>
      </c>
      <c r="T40" s="40">
        <v>0.49861111111111106</v>
      </c>
      <c r="U40" s="412">
        <f t="shared" si="30"/>
        <v>5.9999999999999787</v>
      </c>
      <c r="V40" s="424">
        <f t="shared" si="29"/>
        <v>114</v>
      </c>
      <c r="W40" s="23">
        <f>T40</f>
        <v>0.49861111111111106</v>
      </c>
      <c r="X40" s="23">
        <f>S41</f>
        <v>0.5395833333333333</v>
      </c>
      <c r="Y40" s="23"/>
      <c r="Z40" s="23"/>
      <c r="AA40" s="632"/>
      <c r="AB40" s="632"/>
      <c r="AC40" s="25"/>
      <c r="AD40" s="25"/>
      <c r="AE40" s="19">
        <f t="shared" si="8"/>
        <v>-73.684210526315837</v>
      </c>
      <c r="AF40" s="415">
        <f t="shared" si="9"/>
        <v>0.95394736842105265</v>
      </c>
      <c r="AG40" s="637"/>
    </row>
    <row r="41" spans="1:33">
      <c r="A41" s="652" t="s">
        <v>66</v>
      </c>
      <c r="B41" s="42" t="s">
        <v>116</v>
      </c>
      <c r="C41" s="633" t="s">
        <v>126</v>
      </c>
      <c r="D41" s="633"/>
      <c r="E41" s="42">
        <v>34.1</v>
      </c>
      <c r="F41" s="425">
        <v>2422</v>
      </c>
      <c r="G41" s="412">
        <f t="shared" si="27"/>
        <v>82590.2</v>
      </c>
      <c r="H41" s="37" t="s">
        <v>91</v>
      </c>
      <c r="I41" s="423">
        <v>17</v>
      </c>
      <c r="J41" s="39">
        <v>1600</v>
      </c>
      <c r="K41" s="17">
        <f t="shared" si="1"/>
        <v>94.117647058823536</v>
      </c>
      <c r="L41" s="423">
        <v>17</v>
      </c>
      <c r="M41" s="18">
        <f t="shared" si="28"/>
        <v>1529.6842105263161</v>
      </c>
      <c r="N41" s="17">
        <f t="shared" si="3"/>
        <v>89.981424148606834</v>
      </c>
      <c r="O41" s="19">
        <f t="shared" si="4"/>
        <v>0</v>
      </c>
      <c r="P41" s="20">
        <f t="shared" si="5"/>
        <v>-4.1362229102167021</v>
      </c>
      <c r="Q41" s="415">
        <f t="shared" si="6"/>
        <v>0.9560526315789476</v>
      </c>
      <c r="R41" s="637"/>
      <c r="S41" s="40">
        <v>0.5395833333333333</v>
      </c>
      <c r="T41" s="40">
        <v>0.60555555555555551</v>
      </c>
      <c r="U41" s="412">
        <f t="shared" si="30"/>
        <v>59.000000000000028</v>
      </c>
      <c r="V41" s="424">
        <f t="shared" si="29"/>
        <v>94.999999999999986</v>
      </c>
      <c r="W41" s="23"/>
      <c r="X41" s="23"/>
      <c r="Y41" s="23"/>
      <c r="Z41" s="23"/>
      <c r="AA41" s="632"/>
      <c r="AB41" s="632"/>
      <c r="AC41" s="25"/>
      <c r="AD41" s="25"/>
      <c r="AE41" s="19">
        <f t="shared" si="8"/>
        <v>-70.315789473683935</v>
      </c>
      <c r="AF41" s="415">
        <f t="shared" si="9"/>
        <v>0.95605263157894749</v>
      </c>
      <c r="AG41" s="637"/>
    </row>
    <row r="42" spans="1:33">
      <c r="A42" s="652" t="s">
        <v>66</v>
      </c>
      <c r="B42" s="44" t="s">
        <v>49</v>
      </c>
      <c r="C42" s="638"/>
      <c r="D42" s="638"/>
      <c r="E42" s="418"/>
      <c r="F42" s="44"/>
      <c r="G42" s="17"/>
      <c r="H42" s="425"/>
      <c r="I42" s="29">
        <v>17.166666666666668</v>
      </c>
      <c r="J42" s="39">
        <v>2133.3333333333335</v>
      </c>
      <c r="K42" s="17">
        <f t="shared" si="1"/>
        <v>124.27184466019418</v>
      </c>
      <c r="L42" s="29">
        <v>17.166666666666668</v>
      </c>
      <c r="M42" s="18">
        <f>AVERAGE(M36:M41)</f>
        <v>2036.3485900927765</v>
      </c>
      <c r="N42" s="17">
        <f t="shared" si="3"/>
        <v>118.62224796656949</v>
      </c>
      <c r="O42" s="19">
        <f t="shared" si="4"/>
        <v>0</v>
      </c>
      <c r="P42" s="20">
        <f t="shared" si="5"/>
        <v>-5.6495966936246873</v>
      </c>
      <c r="Q42" s="415">
        <f t="shared" si="6"/>
        <v>0.9545384016059888</v>
      </c>
      <c r="R42" s="637"/>
      <c r="S42" s="40"/>
      <c r="T42" s="40"/>
      <c r="U42" s="17"/>
      <c r="V42" s="424"/>
      <c r="W42" s="17"/>
      <c r="X42" s="17"/>
      <c r="Y42" s="30">
        <f>SUM(Y36:Y41)</f>
        <v>0</v>
      </c>
      <c r="Z42" s="30">
        <f>SUM(Z36:Z41)</f>
        <v>0</v>
      </c>
      <c r="AA42" s="631"/>
      <c r="AB42" s="631"/>
      <c r="AC42" s="30">
        <v>6</v>
      </c>
      <c r="AD42" s="30">
        <f>SUM(AD36:AD41)</f>
        <v>0</v>
      </c>
      <c r="AE42" s="19">
        <f t="shared" si="8"/>
        <v>-96.984743240557009</v>
      </c>
      <c r="AF42" s="415">
        <f t="shared" si="9"/>
        <v>0.95453840160598891</v>
      </c>
      <c r="AG42" s="637"/>
    </row>
    <row r="43" spans="1:33" ht="15.75" customHeight="1">
      <c r="A43" s="648" t="s">
        <v>70</v>
      </c>
      <c r="B43" s="42" t="s">
        <v>127</v>
      </c>
      <c r="C43" s="625" t="s">
        <v>128</v>
      </c>
      <c r="D43" s="626"/>
      <c r="E43" s="42">
        <v>21.13</v>
      </c>
      <c r="F43" s="425">
        <v>4925</v>
      </c>
      <c r="G43" s="412">
        <f t="shared" ref="G43:G45" si="31">E43*F43</f>
        <v>104065.25</v>
      </c>
      <c r="H43" s="37" t="s">
        <v>91</v>
      </c>
      <c r="I43" s="423">
        <v>10</v>
      </c>
      <c r="J43" s="39">
        <v>3000</v>
      </c>
      <c r="K43" s="17">
        <f t="shared" si="1"/>
        <v>300</v>
      </c>
      <c r="L43" s="423">
        <v>10</v>
      </c>
      <c r="M43" s="18">
        <f t="shared" ref="M43:M45" si="32">F43/V43*60</f>
        <v>2868.9320388349515</v>
      </c>
      <c r="N43" s="18">
        <f t="shared" si="3"/>
        <v>286.89320388349518</v>
      </c>
      <c r="O43" s="19">
        <f t="shared" si="4"/>
        <v>0</v>
      </c>
      <c r="P43" s="20">
        <f t="shared" si="5"/>
        <v>-13.106796116504825</v>
      </c>
      <c r="Q43" s="415">
        <f t="shared" si="6"/>
        <v>0.95631067961165062</v>
      </c>
      <c r="R43" s="643">
        <f>Q46</f>
        <v>0.95872206963326789</v>
      </c>
      <c r="S43" s="40">
        <v>0.20833333333333334</v>
      </c>
      <c r="T43" s="40">
        <v>0.27986111111111112</v>
      </c>
      <c r="U43" s="28"/>
      <c r="V43" s="424">
        <f t="shared" ref="V43:V45" si="33">(T43-S43)*24*60</f>
        <v>103</v>
      </c>
      <c r="W43" s="23"/>
      <c r="X43" s="23"/>
      <c r="Y43" s="26"/>
      <c r="Z43" s="26"/>
      <c r="AA43" s="627"/>
      <c r="AB43" s="628"/>
      <c r="AC43" s="25">
        <v>3</v>
      </c>
      <c r="AD43" s="25"/>
      <c r="AE43" s="19">
        <f t="shared" si="8"/>
        <v>-131.06796116504847</v>
      </c>
      <c r="AF43" s="415">
        <f t="shared" si="9"/>
        <v>0.9563106796116505</v>
      </c>
      <c r="AG43" s="643">
        <f>AF46</f>
        <v>0.95872206963326789</v>
      </c>
    </row>
    <row r="44" spans="1:33" ht="15.75" customHeight="1">
      <c r="A44" s="649" t="s">
        <v>70</v>
      </c>
      <c r="B44" s="42" t="s">
        <v>127</v>
      </c>
      <c r="C44" s="625" t="s">
        <v>129</v>
      </c>
      <c r="D44" s="626"/>
      <c r="E44" s="42">
        <v>27.17</v>
      </c>
      <c r="F44" s="425">
        <v>3890</v>
      </c>
      <c r="G44" s="412">
        <f t="shared" si="31"/>
        <v>105691.3</v>
      </c>
      <c r="H44" s="37" t="s">
        <v>91</v>
      </c>
      <c r="I44" s="423">
        <v>10</v>
      </c>
      <c r="J44" s="39">
        <v>3000</v>
      </c>
      <c r="K44" s="17">
        <f t="shared" si="1"/>
        <v>300</v>
      </c>
      <c r="L44" s="423">
        <v>10</v>
      </c>
      <c r="M44" s="18">
        <f t="shared" si="32"/>
        <v>2881.4814814814804</v>
      </c>
      <c r="N44" s="18">
        <f t="shared" si="3"/>
        <v>288.14814814814804</v>
      </c>
      <c r="O44" s="19">
        <f t="shared" si="4"/>
        <v>0</v>
      </c>
      <c r="P44" s="20">
        <f t="shared" si="5"/>
        <v>-11.851851851851961</v>
      </c>
      <c r="Q44" s="415">
        <f t="shared" si="6"/>
        <v>0.96049382716049347</v>
      </c>
      <c r="R44" s="644"/>
      <c r="S44" s="40">
        <v>0.28541666666666665</v>
      </c>
      <c r="T44" s="40">
        <v>0.34166666666666667</v>
      </c>
      <c r="U44" s="412">
        <f t="shared" ref="U44:U45" si="34">(S44-T43)*24*60</f>
        <v>7.9999999999999716</v>
      </c>
      <c r="V44" s="424">
        <f t="shared" si="33"/>
        <v>81.000000000000028</v>
      </c>
      <c r="W44" s="23"/>
      <c r="X44" s="23"/>
      <c r="Y44" s="26"/>
      <c r="Z44" s="26"/>
      <c r="AA44" s="627"/>
      <c r="AB44" s="628"/>
      <c r="AC44" s="25"/>
      <c r="AD44" s="25"/>
      <c r="AE44" s="19">
        <f t="shared" si="8"/>
        <v>-118.51851851851961</v>
      </c>
      <c r="AF44" s="415">
        <f t="shared" si="9"/>
        <v>0.96049382716049347</v>
      </c>
      <c r="AG44" s="644"/>
    </row>
    <row r="45" spans="1:33" ht="15.75" customHeight="1">
      <c r="A45" s="649" t="s">
        <v>70</v>
      </c>
      <c r="B45" s="42" t="s">
        <v>127</v>
      </c>
      <c r="C45" s="625" t="s">
        <v>1857</v>
      </c>
      <c r="D45" s="626"/>
      <c r="E45" s="42">
        <v>33.770000000000003</v>
      </c>
      <c r="F45" s="425">
        <v>4509</v>
      </c>
      <c r="G45" s="412">
        <f t="shared" si="31"/>
        <v>152268.93000000002</v>
      </c>
      <c r="H45" s="37" t="s">
        <v>91</v>
      </c>
      <c r="I45" s="423">
        <v>12</v>
      </c>
      <c r="J45" s="39">
        <v>3000</v>
      </c>
      <c r="K45" s="17">
        <f t="shared" si="1"/>
        <v>250</v>
      </c>
      <c r="L45" s="423">
        <v>12</v>
      </c>
      <c r="M45" s="18">
        <f t="shared" si="32"/>
        <v>2878.0851063829791</v>
      </c>
      <c r="N45" s="18">
        <f t="shared" si="3"/>
        <v>239.84042553191492</v>
      </c>
      <c r="O45" s="19">
        <f t="shared" si="4"/>
        <v>0</v>
      </c>
      <c r="P45" s="20">
        <f t="shared" si="5"/>
        <v>-10.159574468085083</v>
      </c>
      <c r="Q45" s="415">
        <f t="shared" si="6"/>
        <v>0.9593617021276597</v>
      </c>
      <c r="R45" s="644"/>
      <c r="S45" s="40">
        <v>0.34583333333333333</v>
      </c>
      <c r="T45" s="40">
        <v>0.41111111111111109</v>
      </c>
      <c r="U45" s="412">
        <f t="shared" si="34"/>
        <v>5.9999999999999787</v>
      </c>
      <c r="V45" s="424">
        <f t="shared" si="33"/>
        <v>93.999999999999986</v>
      </c>
      <c r="W45" s="23"/>
      <c r="X45" s="23"/>
      <c r="Y45" s="26"/>
      <c r="Z45" s="26"/>
      <c r="AA45" s="627"/>
      <c r="AB45" s="628"/>
      <c r="AC45" s="25"/>
      <c r="AD45" s="25"/>
      <c r="AE45" s="19">
        <f t="shared" si="8"/>
        <v>-121.91489361702088</v>
      </c>
      <c r="AF45" s="415">
        <f t="shared" si="9"/>
        <v>0.9593617021276597</v>
      </c>
      <c r="AG45" s="644"/>
    </row>
    <row r="46" spans="1:33" ht="15.75" customHeight="1">
      <c r="A46" s="650" t="s">
        <v>70</v>
      </c>
      <c r="B46" s="42" t="s">
        <v>49</v>
      </c>
      <c r="C46" s="629"/>
      <c r="D46" s="630"/>
      <c r="E46" s="413"/>
      <c r="F46" s="425"/>
      <c r="G46" s="412"/>
      <c r="H46" s="425"/>
      <c r="I46" s="29">
        <v>10.666666666666666</v>
      </c>
      <c r="J46" s="39">
        <v>3000</v>
      </c>
      <c r="K46" s="17">
        <f t="shared" si="1"/>
        <v>281.25</v>
      </c>
      <c r="L46" s="29">
        <v>10.666666666666666</v>
      </c>
      <c r="M46" s="18">
        <f>AVERAGE(M43:M45)</f>
        <v>2876.1662088998037</v>
      </c>
      <c r="N46" s="17">
        <f t="shared" si="3"/>
        <v>269.64058208435659</v>
      </c>
      <c r="O46" s="19">
        <f t="shared" si="4"/>
        <v>0</v>
      </c>
      <c r="P46" s="20">
        <f t="shared" si="5"/>
        <v>-11.609417915643405</v>
      </c>
      <c r="Q46" s="415">
        <f t="shared" si="6"/>
        <v>0.95872206963326789</v>
      </c>
      <c r="R46" s="645"/>
      <c r="S46" s="40"/>
      <c r="T46" s="40"/>
      <c r="U46" s="412"/>
      <c r="V46" s="424"/>
      <c r="W46" s="23"/>
      <c r="X46" s="23"/>
      <c r="Y46" s="30">
        <f>SUM(Y43:Y45)</f>
        <v>0</v>
      </c>
      <c r="Z46" s="30">
        <f>SUM(Z43:Z45)</f>
        <v>0</v>
      </c>
      <c r="AA46" s="646"/>
      <c r="AB46" s="647"/>
      <c r="AC46" s="30">
        <v>3</v>
      </c>
      <c r="AD46" s="30">
        <f>SUM(AD43:AD45)</f>
        <v>0</v>
      </c>
      <c r="AE46" s="19">
        <f t="shared" si="8"/>
        <v>-123.83379110019632</v>
      </c>
      <c r="AF46" s="415">
        <f t="shared" si="9"/>
        <v>0.95872206963326789</v>
      </c>
      <c r="AG46" s="645"/>
    </row>
    <row r="47" spans="1:33" ht="15.75" customHeight="1">
      <c r="A47" s="641" t="s">
        <v>79</v>
      </c>
      <c r="B47" s="42" t="s">
        <v>92</v>
      </c>
      <c r="C47" s="633" t="s">
        <v>133</v>
      </c>
      <c r="D47" s="633"/>
      <c r="E47" s="42">
        <v>59.04</v>
      </c>
      <c r="F47" s="48">
        <v>916</v>
      </c>
      <c r="G47" s="412">
        <f t="shared" ref="G47:G53" si="35">E47*F47</f>
        <v>54080.639999999999</v>
      </c>
      <c r="H47" s="37" t="s">
        <v>91</v>
      </c>
      <c r="I47" s="423">
        <v>19</v>
      </c>
      <c r="J47" s="39">
        <v>2000</v>
      </c>
      <c r="K47" s="17">
        <f t="shared" si="1"/>
        <v>105.26315789473684</v>
      </c>
      <c r="L47" s="423">
        <v>19</v>
      </c>
      <c r="M47" s="18">
        <f t="shared" ref="M47" si="36">F47/V47*60</f>
        <v>1962.8571428571413</v>
      </c>
      <c r="N47" s="18">
        <f t="shared" si="3"/>
        <v>103.30827067669165</v>
      </c>
      <c r="O47" s="19">
        <f t="shared" si="4"/>
        <v>0</v>
      </c>
      <c r="P47" s="20">
        <f t="shared" si="5"/>
        <v>-1.9548872180451866</v>
      </c>
      <c r="Q47" s="415">
        <f t="shared" si="6"/>
        <v>0.98142857142857076</v>
      </c>
      <c r="R47" s="637">
        <f>Q54</f>
        <v>0.96148705182886263</v>
      </c>
      <c r="S47" s="40">
        <v>0.20833333333333334</v>
      </c>
      <c r="T47" s="40">
        <v>0.2277777777777778</v>
      </c>
      <c r="U47" s="28"/>
      <c r="V47" s="424">
        <f t="shared" ref="V47:V53" si="37">(T47-S47)*24*60</f>
        <v>28.000000000000021</v>
      </c>
      <c r="W47" s="23"/>
      <c r="X47" s="23"/>
      <c r="Y47" s="28"/>
      <c r="Z47" s="28"/>
      <c r="AA47" s="632"/>
      <c r="AB47" s="632"/>
      <c r="AC47" s="25">
        <v>7</v>
      </c>
      <c r="AD47" s="25"/>
      <c r="AE47" s="19">
        <f t="shared" si="8"/>
        <v>-37.142857142858702</v>
      </c>
      <c r="AF47" s="415">
        <f t="shared" si="9"/>
        <v>0.98142857142857065</v>
      </c>
      <c r="AG47" s="637">
        <f>AF54</f>
        <v>0.96148705182886263</v>
      </c>
    </row>
    <row r="48" spans="1:33" ht="15.75" customHeight="1">
      <c r="A48" s="641" t="s">
        <v>79</v>
      </c>
      <c r="B48" s="42" t="s">
        <v>103</v>
      </c>
      <c r="C48" s="633" t="s">
        <v>132</v>
      </c>
      <c r="D48" s="633"/>
      <c r="E48" s="42">
        <v>51.44</v>
      </c>
      <c r="F48" s="48">
        <v>3463</v>
      </c>
      <c r="G48" s="412">
        <f t="shared" si="35"/>
        <v>178136.72</v>
      </c>
      <c r="H48" s="37" t="s">
        <v>91</v>
      </c>
      <c r="I48" s="423">
        <v>18</v>
      </c>
      <c r="J48" s="39">
        <v>2000</v>
      </c>
      <c r="K48" s="17">
        <f t="shared" si="1"/>
        <v>111.11111111111111</v>
      </c>
      <c r="L48" s="423">
        <v>18</v>
      </c>
      <c r="M48" s="18">
        <f>F48/V48*60</f>
        <v>1906.2385321100924</v>
      </c>
      <c r="N48" s="18">
        <f t="shared" si="3"/>
        <v>105.90214067278291</v>
      </c>
      <c r="O48" s="19">
        <f t="shared" si="4"/>
        <v>0</v>
      </c>
      <c r="P48" s="20">
        <f t="shared" si="5"/>
        <v>-5.2089704383282083</v>
      </c>
      <c r="Q48" s="415">
        <f t="shared" si="6"/>
        <v>0.95311926605504615</v>
      </c>
      <c r="R48" s="637"/>
      <c r="S48" s="40">
        <v>0.23333333333333336</v>
      </c>
      <c r="T48" s="40">
        <v>0.30902777777777779</v>
      </c>
      <c r="U48" s="412">
        <f t="shared" ref="U48:U53" si="38">IF(S48=TIME(17,0,0),"",(S48-T47)*24*60)</f>
        <v>8.0000000000000107</v>
      </c>
      <c r="V48" s="424">
        <f t="shared" si="37"/>
        <v>108.99999999999997</v>
      </c>
      <c r="W48" s="23"/>
      <c r="X48" s="23"/>
      <c r="Y48" s="23"/>
      <c r="Z48" s="23"/>
      <c r="AA48" s="632"/>
      <c r="AB48" s="632"/>
      <c r="AC48" s="25"/>
      <c r="AD48" s="25"/>
      <c r="AE48" s="19">
        <f t="shared" si="8"/>
        <v>-93.761467889907635</v>
      </c>
      <c r="AF48" s="415">
        <f t="shared" si="9"/>
        <v>0.95311926605504615</v>
      </c>
      <c r="AG48" s="637"/>
    </row>
    <row r="49" spans="1:33" ht="15.75" customHeight="1">
      <c r="A49" s="641" t="s">
        <v>79</v>
      </c>
      <c r="B49" s="42" t="s">
        <v>92</v>
      </c>
      <c r="C49" s="625" t="s">
        <v>135</v>
      </c>
      <c r="D49" s="626"/>
      <c r="E49" s="42">
        <v>51.44</v>
      </c>
      <c r="F49" s="48">
        <v>1205</v>
      </c>
      <c r="G49" s="412">
        <f t="shared" si="35"/>
        <v>61985.2</v>
      </c>
      <c r="H49" s="37" t="s">
        <v>91</v>
      </c>
      <c r="I49" s="423">
        <v>25</v>
      </c>
      <c r="J49" s="39">
        <v>2000</v>
      </c>
      <c r="K49" s="17">
        <f t="shared" si="1"/>
        <v>80</v>
      </c>
      <c r="L49" s="423">
        <v>25</v>
      </c>
      <c r="M49" s="18">
        <f t="shared" ref="M49:M53" si="39">F49/V49*60</f>
        <v>1954.0540540540526</v>
      </c>
      <c r="N49" s="18">
        <f t="shared" si="3"/>
        <v>78.162162162162105</v>
      </c>
      <c r="O49" s="19">
        <f t="shared" si="4"/>
        <v>0</v>
      </c>
      <c r="P49" s="20">
        <f t="shared" si="5"/>
        <v>-1.8378378378378954</v>
      </c>
      <c r="Q49" s="415">
        <f t="shared" si="6"/>
        <v>0.97702702702702626</v>
      </c>
      <c r="R49" s="637"/>
      <c r="S49" s="40">
        <v>0.31319444444444444</v>
      </c>
      <c r="T49" s="40">
        <v>0.33888888888888891</v>
      </c>
      <c r="U49" s="412">
        <f t="shared" si="38"/>
        <v>5.9999999999999787</v>
      </c>
      <c r="V49" s="424">
        <f t="shared" si="37"/>
        <v>37.000000000000028</v>
      </c>
      <c r="W49" s="23"/>
      <c r="X49" s="23"/>
      <c r="Y49" s="26"/>
      <c r="Z49" s="26"/>
      <c r="AA49" s="632"/>
      <c r="AB49" s="632"/>
      <c r="AC49" s="25"/>
      <c r="AD49" s="25"/>
      <c r="AE49" s="19">
        <f t="shared" si="8"/>
        <v>-45.945945945947415</v>
      </c>
      <c r="AF49" s="415">
        <f t="shared" si="9"/>
        <v>0.97702702702702626</v>
      </c>
      <c r="AG49" s="637"/>
    </row>
    <row r="50" spans="1:33" ht="15.75" customHeight="1">
      <c r="A50" s="641" t="s">
        <v>79</v>
      </c>
      <c r="B50" s="42" t="s">
        <v>96</v>
      </c>
      <c r="C50" s="416" t="s">
        <v>136</v>
      </c>
      <c r="D50" s="417"/>
      <c r="E50" s="42">
        <v>46</v>
      </c>
      <c r="F50" s="48">
        <v>920</v>
      </c>
      <c r="G50" s="412">
        <f t="shared" si="35"/>
        <v>42320</v>
      </c>
      <c r="H50" s="37" t="s">
        <v>91</v>
      </c>
      <c r="I50" s="423">
        <v>16</v>
      </c>
      <c r="J50" s="39">
        <v>2000</v>
      </c>
      <c r="K50" s="17">
        <f t="shared" si="1"/>
        <v>125</v>
      </c>
      <c r="L50" s="423">
        <v>16</v>
      </c>
      <c r="M50" s="18">
        <f t="shared" si="39"/>
        <v>1903.4482758620702</v>
      </c>
      <c r="N50" s="18">
        <f t="shared" si="3"/>
        <v>118.96551724137939</v>
      </c>
      <c r="O50" s="19">
        <f t="shared" si="4"/>
        <v>0</v>
      </c>
      <c r="P50" s="20">
        <f t="shared" si="5"/>
        <v>-6.0344827586206122</v>
      </c>
      <c r="Q50" s="415">
        <f t="shared" si="6"/>
        <v>0.95172413793103505</v>
      </c>
      <c r="R50" s="637"/>
      <c r="S50" s="40">
        <v>0.34444444444444444</v>
      </c>
      <c r="T50" s="40">
        <v>0.36458333333333331</v>
      </c>
      <c r="U50" s="412">
        <f t="shared" si="38"/>
        <v>7.9999999999999716</v>
      </c>
      <c r="V50" s="424">
        <f t="shared" si="37"/>
        <v>28.999999999999979</v>
      </c>
      <c r="W50" s="23"/>
      <c r="X50" s="23"/>
      <c r="Y50" s="26"/>
      <c r="Z50" s="26"/>
      <c r="AA50" s="632"/>
      <c r="AB50" s="632"/>
      <c r="AC50" s="25"/>
      <c r="AD50" s="25"/>
      <c r="AE50" s="19">
        <f t="shared" si="8"/>
        <v>-96.551724137929796</v>
      </c>
      <c r="AF50" s="415">
        <f t="shared" si="9"/>
        <v>0.95172413793103505</v>
      </c>
      <c r="AG50" s="637"/>
    </row>
    <row r="51" spans="1:33" ht="15.75" customHeight="1">
      <c r="A51" s="641" t="s">
        <v>79</v>
      </c>
      <c r="B51" s="42" t="s">
        <v>96</v>
      </c>
      <c r="C51" s="416" t="s">
        <v>137</v>
      </c>
      <c r="D51" s="417"/>
      <c r="E51" s="42">
        <v>46</v>
      </c>
      <c r="F51" s="48">
        <v>1144</v>
      </c>
      <c r="G51" s="412">
        <f t="shared" si="35"/>
        <v>52624</v>
      </c>
      <c r="H51" s="37" t="s">
        <v>91</v>
      </c>
      <c r="I51" s="423">
        <v>17</v>
      </c>
      <c r="J51" s="39">
        <v>2000</v>
      </c>
      <c r="K51" s="17">
        <f t="shared" si="1"/>
        <v>117.64705882352941</v>
      </c>
      <c r="L51" s="423">
        <v>17</v>
      </c>
      <c r="M51" s="18">
        <f t="shared" si="39"/>
        <v>1906.6666666666652</v>
      </c>
      <c r="N51" s="18">
        <f t="shared" si="3"/>
        <v>112.15686274509795</v>
      </c>
      <c r="O51" s="19">
        <f t="shared" si="4"/>
        <v>0</v>
      </c>
      <c r="P51" s="20">
        <f t="shared" si="5"/>
        <v>-5.4901960784314525</v>
      </c>
      <c r="Q51" s="415">
        <f t="shared" si="6"/>
        <v>0.9533333333333327</v>
      </c>
      <c r="R51" s="637"/>
      <c r="S51" s="40">
        <v>0.36874999999999997</v>
      </c>
      <c r="T51" s="40">
        <v>0.39374999999999999</v>
      </c>
      <c r="U51" s="412">
        <f t="shared" si="38"/>
        <v>5.9999999999999787</v>
      </c>
      <c r="V51" s="424">
        <f t="shared" si="37"/>
        <v>36.000000000000028</v>
      </c>
      <c r="W51" s="23"/>
      <c r="X51" s="23"/>
      <c r="Y51" s="26"/>
      <c r="Z51" s="26"/>
      <c r="AA51" s="632"/>
      <c r="AB51" s="632"/>
      <c r="AC51" s="25"/>
      <c r="AD51" s="25"/>
      <c r="AE51" s="19">
        <f t="shared" si="8"/>
        <v>-93.333333333334849</v>
      </c>
      <c r="AF51" s="415">
        <f t="shared" si="9"/>
        <v>0.95333333333333259</v>
      </c>
      <c r="AG51" s="637"/>
    </row>
    <row r="52" spans="1:33" ht="15.75" customHeight="1">
      <c r="A52" s="641" t="s">
        <v>79</v>
      </c>
      <c r="B52" s="42" t="s">
        <v>92</v>
      </c>
      <c r="C52" s="625" t="s">
        <v>138</v>
      </c>
      <c r="D52" s="626"/>
      <c r="E52" s="42">
        <v>55.56</v>
      </c>
      <c r="F52" s="48">
        <v>2373</v>
      </c>
      <c r="G52" s="412">
        <f t="shared" si="35"/>
        <v>131843.88</v>
      </c>
      <c r="H52" s="37" t="s">
        <v>91</v>
      </c>
      <c r="I52" s="423">
        <v>17</v>
      </c>
      <c r="J52" s="39">
        <v>2000</v>
      </c>
      <c r="K52" s="17">
        <f t="shared" si="1"/>
        <v>117.64705882352941</v>
      </c>
      <c r="L52" s="423">
        <v>17</v>
      </c>
      <c r="M52" s="18">
        <f t="shared" si="39"/>
        <v>1924.0540540540526</v>
      </c>
      <c r="N52" s="18">
        <f t="shared" si="3"/>
        <v>113.17965023847368</v>
      </c>
      <c r="O52" s="19">
        <f t="shared" si="4"/>
        <v>0</v>
      </c>
      <c r="P52" s="20">
        <f t="shared" si="5"/>
        <v>-4.4674085850557219</v>
      </c>
      <c r="Q52" s="415">
        <f t="shared" si="6"/>
        <v>0.96202702702702636</v>
      </c>
      <c r="R52" s="637"/>
      <c r="S52" s="40">
        <v>0.70833333333333337</v>
      </c>
      <c r="T52" s="40">
        <v>0.7597222222222223</v>
      </c>
      <c r="U52" s="412" t="str">
        <f t="shared" si="38"/>
        <v/>
      </c>
      <c r="V52" s="424">
        <f t="shared" si="37"/>
        <v>74.000000000000057</v>
      </c>
      <c r="W52" s="23"/>
      <c r="X52" s="23"/>
      <c r="Y52" s="26"/>
      <c r="Z52" s="26"/>
      <c r="AA52" s="627"/>
      <c r="AB52" s="628"/>
      <c r="AC52" s="25"/>
      <c r="AD52" s="25"/>
      <c r="AE52" s="19">
        <f t="shared" si="8"/>
        <v>-75.945945945947415</v>
      </c>
      <c r="AF52" s="415">
        <f t="shared" si="9"/>
        <v>0.96202702702702625</v>
      </c>
      <c r="AG52" s="637"/>
    </row>
    <row r="53" spans="1:33" ht="15.75" customHeight="1">
      <c r="A53" s="641" t="s">
        <v>79</v>
      </c>
      <c r="B53" s="42" t="s">
        <v>92</v>
      </c>
      <c r="C53" s="625" t="s">
        <v>420</v>
      </c>
      <c r="D53" s="626"/>
      <c r="E53" s="42">
        <v>58.17</v>
      </c>
      <c r="F53" s="48">
        <v>2538</v>
      </c>
      <c r="G53" s="412">
        <f t="shared" si="35"/>
        <v>147635.46</v>
      </c>
      <c r="H53" s="37" t="s">
        <v>91</v>
      </c>
      <c r="I53" s="423">
        <v>13</v>
      </c>
      <c r="J53" s="39">
        <v>2000</v>
      </c>
      <c r="K53" s="17">
        <f t="shared" si="1"/>
        <v>153.84615384615384</v>
      </c>
      <c r="L53" s="423">
        <v>13</v>
      </c>
      <c r="M53" s="18">
        <f t="shared" si="39"/>
        <v>1903.4999999999993</v>
      </c>
      <c r="N53" s="18">
        <f t="shared" si="3"/>
        <v>146.42307692307688</v>
      </c>
      <c r="O53" s="19">
        <f t="shared" si="4"/>
        <v>0</v>
      </c>
      <c r="P53" s="20">
        <f t="shared" si="5"/>
        <v>-7.4230769230769624</v>
      </c>
      <c r="Q53" s="415">
        <f t="shared" si="6"/>
        <v>0.95174999999999976</v>
      </c>
      <c r="R53" s="637"/>
      <c r="S53" s="40">
        <v>0.76458333333333339</v>
      </c>
      <c r="T53" s="40">
        <v>0.82013888888888897</v>
      </c>
      <c r="U53" s="412">
        <f t="shared" si="38"/>
        <v>6.9999999999999751</v>
      </c>
      <c r="V53" s="424">
        <f t="shared" si="37"/>
        <v>80.000000000000028</v>
      </c>
      <c r="W53" s="23"/>
      <c r="X53" s="23"/>
      <c r="Y53" s="26"/>
      <c r="Z53" s="26"/>
      <c r="AA53" s="627"/>
      <c r="AB53" s="628"/>
      <c r="AC53" s="25"/>
      <c r="AD53" s="25"/>
      <c r="AE53" s="19">
        <f t="shared" si="8"/>
        <v>-96.500000000000682</v>
      </c>
      <c r="AF53" s="415">
        <f t="shared" si="9"/>
        <v>0.95174999999999965</v>
      </c>
      <c r="AG53" s="637"/>
    </row>
    <row r="54" spans="1:33">
      <c r="A54" s="642" t="s">
        <v>79</v>
      </c>
      <c r="B54" s="42" t="s">
        <v>49</v>
      </c>
      <c r="C54" s="638"/>
      <c r="D54" s="638"/>
      <c r="E54" s="418"/>
      <c r="F54" s="44"/>
      <c r="G54" s="17"/>
      <c r="H54" s="425"/>
      <c r="I54" s="29">
        <v>17.857142857142858</v>
      </c>
      <c r="J54" s="39">
        <v>2000</v>
      </c>
      <c r="K54" s="17">
        <f t="shared" si="1"/>
        <v>112</v>
      </c>
      <c r="L54" s="29">
        <v>17.857142857142858</v>
      </c>
      <c r="M54" s="18">
        <f>AVERAGE(M47:M53)</f>
        <v>1922.9741036577252</v>
      </c>
      <c r="N54" s="17">
        <f t="shared" si="3"/>
        <v>107.68654980483261</v>
      </c>
      <c r="O54" s="19">
        <f t="shared" si="4"/>
        <v>0</v>
      </c>
      <c r="P54" s="20">
        <f t="shared" si="5"/>
        <v>-4.3134501951673911</v>
      </c>
      <c r="Q54" s="415">
        <f t="shared" si="6"/>
        <v>0.96148705182886263</v>
      </c>
      <c r="R54" s="637"/>
      <c r="S54" s="40"/>
      <c r="T54" s="40"/>
      <c r="U54" s="412"/>
      <c r="V54" s="424"/>
      <c r="W54" s="17"/>
      <c r="X54" s="17"/>
      <c r="Y54" s="30">
        <f>SUM(Y47:Y53)</f>
        <v>0</v>
      </c>
      <c r="Z54" s="30">
        <f>SUM(Z47:Z53)</f>
        <v>0</v>
      </c>
      <c r="AA54" s="631"/>
      <c r="AB54" s="631"/>
      <c r="AC54" s="30">
        <v>7</v>
      </c>
      <c r="AD54" s="30">
        <f>SUM(AD47:AD53)</f>
        <v>0</v>
      </c>
      <c r="AE54" s="19">
        <f>M54-J54</f>
        <v>-77.025896342274791</v>
      </c>
      <c r="AF54" s="415">
        <f t="shared" si="9"/>
        <v>0.96148705182886263</v>
      </c>
      <c r="AG54" s="637"/>
    </row>
    <row r="55" spans="1:33" ht="15.75" customHeight="1">
      <c r="A55" s="639" t="s">
        <v>83</v>
      </c>
      <c r="B55" s="425" t="s">
        <v>127</v>
      </c>
      <c r="C55" s="633" t="s">
        <v>141</v>
      </c>
      <c r="D55" s="633"/>
      <c r="E55" s="42">
        <v>35.119999999999997</v>
      </c>
      <c r="F55" s="48">
        <v>3916</v>
      </c>
      <c r="G55" s="412">
        <f t="shared" ref="G55:G60" si="40">E55*F55</f>
        <v>137529.91999999998</v>
      </c>
      <c r="H55" s="37" t="s">
        <v>91</v>
      </c>
      <c r="I55" s="423">
        <v>10</v>
      </c>
      <c r="J55" s="39">
        <v>3000</v>
      </c>
      <c r="K55" s="17">
        <f t="shared" si="1"/>
        <v>300</v>
      </c>
      <c r="L55" s="423">
        <v>10</v>
      </c>
      <c r="M55" s="18">
        <f t="shared" ref="M55:M60" si="41">F55/V55*60</f>
        <v>2865.3658536585372</v>
      </c>
      <c r="N55" s="17">
        <f t="shared" si="3"/>
        <v>286.53658536585374</v>
      </c>
      <c r="O55" s="19">
        <f t="shared" si="4"/>
        <v>0</v>
      </c>
      <c r="P55" s="20">
        <f t="shared" si="5"/>
        <v>-13.463414634146261</v>
      </c>
      <c r="Q55" s="415">
        <f t="shared" si="6"/>
        <v>0.95512195121951249</v>
      </c>
      <c r="R55" s="637">
        <f>Q61</f>
        <v>0.95441077418516296</v>
      </c>
      <c r="S55" s="40">
        <v>0.20833333333333334</v>
      </c>
      <c r="T55" s="40">
        <v>0.26527777777777778</v>
      </c>
      <c r="U55" s="412"/>
      <c r="V55" s="424">
        <f t="shared" ref="V55:V60" si="42">(T55-S55)*24*60</f>
        <v>81.999999999999986</v>
      </c>
      <c r="W55" s="23"/>
      <c r="X55" s="23"/>
      <c r="Y55" s="28"/>
      <c r="Z55" s="28"/>
      <c r="AA55" s="632"/>
      <c r="AB55" s="632"/>
      <c r="AC55" s="25">
        <v>6</v>
      </c>
      <c r="AD55" s="25"/>
      <c r="AE55" s="19">
        <f t="shared" ref="AE55:AE67" si="43">M55-J55</f>
        <v>-134.63414634146284</v>
      </c>
      <c r="AF55" s="415">
        <f t="shared" si="9"/>
        <v>0.95512195121951238</v>
      </c>
      <c r="AG55" s="637">
        <f>AF61</f>
        <v>0.95441077418516296</v>
      </c>
    </row>
    <row r="56" spans="1:33" ht="15.75" customHeight="1">
      <c r="A56" s="639" t="s">
        <v>83</v>
      </c>
      <c r="B56" s="425" t="s">
        <v>127</v>
      </c>
      <c r="C56" s="633" t="s">
        <v>142</v>
      </c>
      <c r="D56" s="633"/>
      <c r="E56" s="42">
        <v>26.78</v>
      </c>
      <c r="F56" s="48">
        <v>1963</v>
      </c>
      <c r="G56" s="412">
        <f t="shared" si="40"/>
        <v>52569.14</v>
      </c>
      <c r="H56" s="37" t="s">
        <v>91</v>
      </c>
      <c r="I56" s="423">
        <v>10</v>
      </c>
      <c r="J56" s="39">
        <v>3000</v>
      </c>
      <c r="K56" s="17">
        <f t="shared" si="1"/>
        <v>300</v>
      </c>
      <c r="L56" s="423">
        <v>10</v>
      </c>
      <c r="M56" s="18">
        <f t="shared" si="41"/>
        <v>2872.6829268292672</v>
      </c>
      <c r="N56" s="17">
        <f t="shared" si="3"/>
        <v>287.2682926829267</v>
      </c>
      <c r="O56" s="19">
        <f t="shared" si="4"/>
        <v>0</v>
      </c>
      <c r="P56" s="20">
        <f t="shared" si="5"/>
        <v>-12.731707317073301</v>
      </c>
      <c r="Q56" s="415">
        <f t="shared" si="6"/>
        <v>0.95756097560975562</v>
      </c>
      <c r="R56" s="637"/>
      <c r="S56" s="40">
        <v>0.26944444444444443</v>
      </c>
      <c r="T56" s="40">
        <v>0.29791666666666666</v>
      </c>
      <c r="U56" s="412">
        <f t="shared" ref="U56:U60" si="44">(S56-T55)*24*60</f>
        <v>5.9999999999999787</v>
      </c>
      <c r="V56" s="424">
        <f t="shared" si="42"/>
        <v>41.000000000000014</v>
      </c>
      <c r="W56" s="412"/>
      <c r="X56" s="412"/>
      <c r="Y56" s="412"/>
      <c r="Z56" s="412"/>
      <c r="AA56" s="632"/>
      <c r="AB56" s="632"/>
      <c r="AC56" s="25"/>
      <c r="AD56" s="25"/>
      <c r="AE56" s="19">
        <f t="shared" si="43"/>
        <v>-127.31707317073278</v>
      </c>
      <c r="AF56" s="415">
        <f t="shared" si="9"/>
        <v>0.95756097560975573</v>
      </c>
      <c r="AG56" s="637"/>
    </row>
    <row r="57" spans="1:33" ht="15.75" customHeight="1">
      <c r="A57" s="639" t="s">
        <v>83</v>
      </c>
      <c r="B57" s="425" t="s">
        <v>127</v>
      </c>
      <c r="C57" s="633" t="s">
        <v>143</v>
      </c>
      <c r="D57" s="633"/>
      <c r="E57" s="42">
        <v>36.14</v>
      </c>
      <c r="F57" s="48">
        <v>632</v>
      </c>
      <c r="G57" s="412">
        <f t="shared" si="40"/>
        <v>22840.48</v>
      </c>
      <c r="H57" s="37" t="s">
        <v>91</v>
      </c>
      <c r="I57" s="423">
        <v>11</v>
      </c>
      <c r="J57" s="39">
        <v>3000</v>
      </c>
      <c r="K57" s="17">
        <f t="shared" si="1"/>
        <v>272.72727272727275</v>
      </c>
      <c r="L57" s="423">
        <v>11</v>
      </c>
      <c r="M57" s="18">
        <f t="shared" si="41"/>
        <v>2916.9230769230694</v>
      </c>
      <c r="N57" s="17">
        <f t="shared" si="3"/>
        <v>265.17482517482449</v>
      </c>
      <c r="O57" s="19">
        <f t="shared" si="4"/>
        <v>0</v>
      </c>
      <c r="P57" s="20">
        <f t="shared" si="5"/>
        <v>-7.5524475524482568</v>
      </c>
      <c r="Q57" s="415">
        <f t="shared" si="6"/>
        <v>0.97230769230768976</v>
      </c>
      <c r="R57" s="637"/>
      <c r="S57" s="40">
        <v>0.30277777777777776</v>
      </c>
      <c r="T57" s="40">
        <v>0.31180555555555556</v>
      </c>
      <c r="U57" s="412">
        <f t="shared" si="44"/>
        <v>6.9999999999999751</v>
      </c>
      <c r="V57" s="424">
        <f t="shared" si="42"/>
        <v>13.000000000000034</v>
      </c>
      <c r="W57" s="412"/>
      <c r="X57" s="412"/>
      <c r="Y57" s="412"/>
      <c r="Z57" s="412"/>
      <c r="AA57" s="632"/>
      <c r="AB57" s="632"/>
      <c r="AC57" s="25"/>
      <c r="AD57" s="25"/>
      <c r="AE57" s="19">
        <f t="shared" si="43"/>
        <v>-83.076923076930598</v>
      </c>
      <c r="AF57" s="415">
        <f t="shared" si="9"/>
        <v>0.97230769230768976</v>
      </c>
      <c r="AG57" s="637"/>
    </row>
    <row r="58" spans="1:33" ht="15.75" customHeight="1">
      <c r="A58" s="639" t="s">
        <v>83</v>
      </c>
      <c r="B58" s="425" t="s">
        <v>127</v>
      </c>
      <c r="C58" s="633" t="s">
        <v>131</v>
      </c>
      <c r="D58" s="633"/>
      <c r="E58" s="42">
        <v>34.35</v>
      </c>
      <c r="F58" s="48">
        <v>371</v>
      </c>
      <c r="G58" s="412">
        <f t="shared" si="40"/>
        <v>12743.85</v>
      </c>
      <c r="H58" s="37" t="s">
        <v>91</v>
      </c>
      <c r="I58" s="423">
        <v>8</v>
      </c>
      <c r="J58" s="39">
        <v>3000</v>
      </c>
      <c r="K58" s="17">
        <f t="shared" si="1"/>
        <v>375</v>
      </c>
      <c r="L58" s="423">
        <v>8</v>
      </c>
      <c r="M58" s="18">
        <f t="shared" si="41"/>
        <v>2782.4999999999823</v>
      </c>
      <c r="N58" s="17">
        <f t="shared" si="3"/>
        <v>347.81249999999778</v>
      </c>
      <c r="O58" s="19">
        <f t="shared" si="4"/>
        <v>0</v>
      </c>
      <c r="P58" s="20">
        <f t="shared" si="5"/>
        <v>-27.187500000002217</v>
      </c>
      <c r="Q58" s="415">
        <f t="shared" si="6"/>
        <v>0.92749999999999411</v>
      </c>
      <c r="R58" s="637"/>
      <c r="S58" s="40">
        <v>0.31527777777777777</v>
      </c>
      <c r="T58" s="40">
        <v>0.32083333333333336</v>
      </c>
      <c r="U58" s="412">
        <f t="shared" si="44"/>
        <v>4.9999999999999822</v>
      </c>
      <c r="V58" s="424">
        <f t="shared" si="42"/>
        <v>8.0000000000000515</v>
      </c>
      <c r="W58" s="412"/>
      <c r="X58" s="412"/>
      <c r="Y58" s="412"/>
      <c r="Z58" s="412"/>
      <c r="AA58" s="632"/>
      <c r="AB58" s="632"/>
      <c r="AC58" s="25"/>
      <c r="AD58" s="25"/>
      <c r="AE58" s="19">
        <f t="shared" si="43"/>
        <v>-217.50000000001774</v>
      </c>
      <c r="AF58" s="415">
        <f t="shared" si="9"/>
        <v>0.92749999999999411</v>
      </c>
      <c r="AG58" s="637"/>
    </row>
    <row r="59" spans="1:33">
      <c r="A59" s="640" t="s">
        <v>83</v>
      </c>
      <c r="B59" s="425" t="s">
        <v>127</v>
      </c>
      <c r="C59" s="633" t="s">
        <v>130</v>
      </c>
      <c r="D59" s="633"/>
      <c r="E59" s="42">
        <v>35.869999999999997</v>
      </c>
      <c r="F59" s="48">
        <v>999</v>
      </c>
      <c r="G59" s="412">
        <f t="shared" si="40"/>
        <v>35834.129999999997</v>
      </c>
      <c r="H59" s="37" t="s">
        <v>91</v>
      </c>
      <c r="I59" s="423">
        <v>9</v>
      </c>
      <c r="J59" s="39">
        <v>3000</v>
      </c>
      <c r="K59" s="17">
        <f t="shared" si="1"/>
        <v>333.33333333333331</v>
      </c>
      <c r="L59" s="423">
        <v>9</v>
      </c>
      <c r="M59" s="18">
        <f t="shared" si="41"/>
        <v>2854.2857142857133</v>
      </c>
      <c r="N59" s="17">
        <f t="shared" si="3"/>
        <v>317.14285714285705</v>
      </c>
      <c r="O59" s="19">
        <f t="shared" si="4"/>
        <v>0</v>
      </c>
      <c r="P59" s="20">
        <f t="shared" si="5"/>
        <v>-16.190476190476261</v>
      </c>
      <c r="Q59" s="415">
        <f t="shared" si="6"/>
        <v>0.95142857142857118</v>
      </c>
      <c r="R59" s="637"/>
      <c r="S59" s="40">
        <v>0.32499999999999996</v>
      </c>
      <c r="T59" s="40">
        <v>0.33958333333333329</v>
      </c>
      <c r="U59" s="412">
        <f t="shared" si="44"/>
        <v>5.9999999999998987</v>
      </c>
      <c r="V59" s="424">
        <f t="shared" si="42"/>
        <v>21.000000000000007</v>
      </c>
      <c r="W59" s="23"/>
      <c r="X59" s="23"/>
      <c r="Y59" s="23"/>
      <c r="Z59" s="23"/>
      <c r="AA59" s="632"/>
      <c r="AB59" s="632"/>
      <c r="AC59" s="25"/>
      <c r="AD59" s="25"/>
      <c r="AE59" s="19">
        <f t="shared" si="43"/>
        <v>-145.71428571428669</v>
      </c>
      <c r="AF59" s="415">
        <f t="shared" si="9"/>
        <v>0.95142857142857107</v>
      </c>
      <c r="AG59" s="637"/>
    </row>
    <row r="60" spans="1:33" ht="15" customHeight="1">
      <c r="A60" s="640" t="s">
        <v>83</v>
      </c>
      <c r="B60" s="425" t="s">
        <v>127</v>
      </c>
      <c r="C60" s="625" t="s">
        <v>144</v>
      </c>
      <c r="D60" s="626"/>
      <c r="E60" s="42">
        <v>35.869999999999997</v>
      </c>
      <c r="F60" s="48">
        <v>2647</v>
      </c>
      <c r="G60" s="412">
        <f t="shared" si="40"/>
        <v>94947.89</v>
      </c>
      <c r="H60" s="37" t="s">
        <v>91</v>
      </c>
      <c r="I60" s="423">
        <v>10</v>
      </c>
      <c r="J60" s="39">
        <v>3000</v>
      </c>
      <c r="K60" s="17">
        <f t="shared" si="1"/>
        <v>300</v>
      </c>
      <c r="L60" s="423">
        <v>10</v>
      </c>
      <c r="M60" s="18">
        <f t="shared" si="41"/>
        <v>2887.6363636363658</v>
      </c>
      <c r="N60" s="17">
        <f t="shared" si="3"/>
        <v>288.76363636363658</v>
      </c>
      <c r="O60" s="19">
        <f t="shared" si="4"/>
        <v>0</v>
      </c>
      <c r="P60" s="20">
        <f t="shared" si="5"/>
        <v>-11.236363636363421</v>
      </c>
      <c r="Q60" s="415">
        <f t="shared" si="6"/>
        <v>0.96254545454545526</v>
      </c>
      <c r="R60" s="637"/>
      <c r="S60" s="40">
        <v>0.34444444444444439</v>
      </c>
      <c r="T60" s="40">
        <v>0.38263888888888881</v>
      </c>
      <c r="U60" s="412">
        <f t="shared" si="44"/>
        <v>6.9999999999999751</v>
      </c>
      <c r="V60" s="424">
        <f t="shared" si="42"/>
        <v>54.999999999999964</v>
      </c>
      <c r="W60" s="412"/>
      <c r="X60" s="412"/>
      <c r="Y60" s="419"/>
      <c r="Z60" s="419"/>
      <c r="AA60" s="627"/>
      <c r="AB60" s="628"/>
      <c r="AC60" s="25"/>
      <c r="AD60" s="25"/>
      <c r="AE60" s="19">
        <f t="shared" si="43"/>
        <v>-112.36363636363421</v>
      </c>
      <c r="AF60" s="415">
        <f t="shared" si="9"/>
        <v>0.96254545454545526</v>
      </c>
      <c r="AG60" s="637"/>
    </row>
    <row r="61" spans="1:33">
      <c r="A61" s="640" t="s">
        <v>83</v>
      </c>
      <c r="B61" s="42" t="s">
        <v>49</v>
      </c>
      <c r="C61" s="638"/>
      <c r="D61" s="638"/>
      <c r="E61" s="418"/>
      <c r="F61" s="44"/>
      <c r="G61" s="17"/>
      <c r="H61" s="425"/>
      <c r="I61" s="29">
        <v>9.6666666666666661</v>
      </c>
      <c r="J61" s="39">
        <v>3000</v>
      </c>
      <c r="K61" s="17">
        <f t="shared" si="1"/>
        <v>310.34482758620692</v>
      </c>
      <c r="L61" s="29">
        <v>9.6666666666666661</v>
      </c>
      <c r="M61" s="18">
        <f>AVERAGE(M55:M60)</f>
        <v>2863.2323225554887</v>
      </c>
      <c r="N61" s="17">
        <f t="shared" si="3"/>
        <v>296.19644716091267</v>
      </c>
      <c r="O61" s="19">
        <f t="shared" si="4"/>
        <v>0</v>
      </c>
      <c r="P61" s="20">
        <f t="shared" si="5"/>
        <v>-14.148380425294249</v>
      </c>
      <c r="Q61" s="415">
        <f t="shared" si="6"/>
        <v>0.95441077418516296</v>
      </c>
      <c r="R61" s="637"/>
      <c r="S61" s="40"/>
      <c r="T61" s="40"/>
      <c r="U61" s="17"/>
      <c r="V61" s="424"/>
      <c r="W61" s="17"/>
      <c r="X61" s="17"/>
      <c r="Y61" s="30">
        <f>SUM(Y55:Y60)</f>
        <v>0</v>
      </c>
      <c r="Z61" s="30">
        <f>SUM(Z55:Z60)</f>
        <v>0</v>
      </c>
      <c r="AA61" s="631"/>
      <c r="AB61" s="631"/>
      <c r="AC61" s="30">
        <v>6</v>
      </c>
      <c r="AD61" s="30">
        <f>SUM(AD55:AD60)</f>
        <v>0</v>
      </c>
      <c r="AE61" s="19">
        <f t="shared" si="43"/>
        <v>-136.76767744451126</v>
      </c>
      <c r="AF61" s="415">
        <f t="shared" si="9"/>
        <v>0.95441077418516296</v>
      </c>
      <c r="AG61" s="637"/>
    </row>
    <row r="62" spans="1:33" ht="15.75" customHeight="1">
      <c r="A62" s="634" t="s">
        <v>86</v>
      </c>
      <c r="B62" s="425" t="s">
        <v>116</v>
      </c>
      <c r="C62" s="633" t="s">
        <v>145</v>
      </c>
      <c r="D62" s="633"/>
      <c r="E62" s="42">
        <v>19.02</v>
      </c>
      <c r="F62" s="425">
        <v>8989</v>
      </c>
      <c r="G62" s="412">
        <f t="shared" ref="G62:G66" si="45">E62*F62</f>
        <v>170970.78</v>
      </c>
      <c r="H62" s="37" t="s">
        <v>91</v>
      </c>
      <c r="I62" s="423">
        <v>14</v>
      </c>
      <c r="J62" s="39">
        <v>2400</v>
      </c>
      <c r="K62" s="17">
        <f t="shared" si="1"/>
        <v>171.42857142857142</v>
      </c>
      <c r="L62" s="423">
        <v>14</v>
      </c>
      <c r="M62" s="18">
        <f t="shared" ref="M62:M66" si="46">F62/V62*60</f>
        <v>2285.3389830508472</v>
      </c>
      <c r="N62" s="17">
        <f t="shared" si="3"/>
        <v>163.23849878934624</v>
      </c>
      <c r="O62" s="19">
        <f t="shared" si="4"/>
        <v>0</v>
      </c>
      <c r="P62" s="20">
        <f t="shared" si="5"/>
        <v>-8.1900726392251784</v>
      </c>
      <c r="Q62" s="415">
        <f t="shared" si="6"/>
        <v>0.95222457627118651</v>
      </c>
      <c r="R62" s="637">
        <f>Q67</f>
        <v>0.96112076281847325</v>
      </c>
      <c r="S62" s="40">
        <v>8.3333333333333329E-2</v>
      </c>
      <c r="T62" s="40">
        <v>0.24722222222222223</v>
      </c>
      <c r="U62" s="28"/>
      <c r="V62" s="424">
        <f t="shared" ref="V62:V66" si="47">(T62-S62)*24*60</f>
        <v>236.00000000000003</v>
      </c>
      <c r="W62" s="23">
        <f>T62</f>
        <v>0.24722222222222223</v>
      </c>
      <c r="X62" s="23">
        <f>S63</f>
        <v>0.26597222222222222</v>
      </c>
      <c r="Y62" s="23"/>
      <c r="Z62" s="23"/>
      <c r="AA62" s="632"/>
      <c r="AB62" s="632"/>
      <c r="AC62" s="25">
        <v>5</v>
      </c>
      <c r="AD62" s="25"/>
      <c r="AE62" s="19">
        <f t="shared" si="43"/>
        <v>-114.66101694915278</v>
      </c>
      <c r="AF62" s="415">
        <f t="shared" si="9"/>
        <v>0.9522245762711864</v>
      </c>
      <c r="AG62" s="637">
        <f>AF67</f>
        <v>0.96112076281847336</v>
      </c>
    </row>
    <row r="63" spans="1:33" ht="15.75" customHeight="1">
      <c r="A63" s="635" t="s">
        <v>86</v>
      </c>
      <c r="B63" s="425" t="s">
        <v>116</v>
      </c>
      <c r="C63" s="633" t="s">
        <v>146</v>
      </c>
      <c r="D63" s="633"/>
      <c r="E63" s="42">
        <v>20.36</v>
      </c>
      <c r="F63" s="425">
        <v>3246</v>
      </c>
      <c r="G63" s="412">
        <f t="shared" si="45"/>
        <v>66088.56</v>
      </c>
      <c r="H63" s="37" t="s">
        <v>91</v>
      </c>
      <c r="I63" s="423">
        <v>17</v>
      </c>
      <c r="J63" s="39">
        <v>2400</v>
      </c>
      <c r="K63" s="17">
        <f t="shared" si="1"/>
        <v>141.1764705882353</v>
      </c>
      <c r="L63" s="423">
        <v>17</v>
      </c>
      <c r="M63" s="18">
        <f t="shared" si="46"/>
        <v>2291.2941176470586</v>
      </c>
      <c r="N63" s="17">
        <f t="shared" si="3"/>
        <v>134.7820069204152</v>
      </c>
      <c r="O63" s="19">
        <f t="shared" si="4"/>
        <v>0</v>
      </c>
      <c r="P63" s="20">
        <f t="shared" si="5"/>
        <v>-6.394463667820105</v>
      </c>
      <c r="Q63" s="415">
        <f t="shared" si="6"/>
        <v>0.95470588235294096</v>
      </c>
      <c r="R63" s="637"/>
      <c r="S63" s="40">
        <v>0.26597222222222222</v>
      </c>
      <c r="T63" s="40">
        <v>0.32500000000000001</v>
      </c>
      <c r="U63" s="412">
        <f t="shared" ref="U63:U66" si="48">(S63-T62)*24*60</f>
        <v>26.999999999999986</v>
      </c>
      <c r="V63" s="424">
        <f t="shared" si="47"/>
        <v>85.000000000000014</v>
      </c>
      <c r="W63" s="23"/>
      <c r="X63" s="23"/>
      <c r="Y63" s="23"/>
      <c r="Z63" s="23"/>
      <c r="AA63" s="632"/>
      <c r="AB63" s="632"/>
      <c r="AC63" s="25"/>
      <c r="AD63" s="25"/>
      <c r="AE63" s="19">
        <f t="shared" si="43"/>
        <v>-108.70588235294144</v>
      </c>
      <c r="AF63" s="415">
        <f t="shared" si="9"/>
        <v>0.95470588235294107</v>
      </c>
      <c r="AG63" s="637"/>
    </row>
    <row r="64" spans="1:33" ht="15.75" customHeight="1">
      <c r="A64" s="635" t="s">
        <v>86</v>
      </c>
      <c r="B64" s="425" t="s">
        <v>116</v>
      </c>
      <c r="C64" s="633" t="s">
        <v>120</v>
      </c>
      <c r="D64" s="633"/>
      <c r="E64" s="42">
        <v>25.99</v>
      </c>
      <c r="F64" s="425">
        <v>825</v>
      </c>
      <c r="G64" s="412">
        <f t="shared" si="45"/>
        <v>21441.75</v>
      </c>
      <c r="H64" s="37" t="s">
        <v>91</v>
      </c>
      <c r="I64" s="423">
        <v>18</v>
      </c>
      <c r="J64" s="39">
        <v>2400</v>
      </c>
      <c r="K64" s="17">
        <f t="shared" si="1"/>
        <v>133.33333333333334</v>
      </c>
      <c r="L64" s="423">
        <v>18</v>
      </c>
      <c r="M64" s="18">
        <f t="shared" si="46"/>
        <v>2357.1428571428564</v>
      </c>
      <c r="N64" s="17">
        <f t="shared" si="3"/>
        <v>130.95238095238091</v>
      </c>
      <c r="O64" s="19">
        <f t="shared" si="4"/>
        <v>0</v>
      </c>
      <c r="P64" s="20">
        <f t="shared" si="5"/>
        <v>-2.3809523809524364</v>
      </c>
      <c r="Q64" s="415">
        <f t="shared" si="6"/>
        <v>0.98214285714285676</v>
      </c>
      <c r="R64" s="637"/>
      <c r="S64" s="40">
        <v>0.32847222222222222</v>
      </c>
      <c r="T64" s="40">
        <v>0.34305555555555556</v>
      </c>
      <c r="U64" s="412">
        <f t="shared" si="48"/>
        <v>4.9999999999999822</v>
      </c>
      <c r="V64" s="424">
        <f t="shared" si="47"/>
        <v>21.000000000000007</v>
      </c>
      <c r="W64" s="23"/>
      <c r="X64" s="23"/>
      <c r="Y64" s="23"/>
      <c r="Z64" s="23"/>
      <c r="AA64" s="632"/>
      <c r="AB64" s="632"/>
      <c r="AC64" s="25"/>
      <c r="AD64" s="25"/>
      <c r="AE64" s="19">
        <f t="shared" si="43"/>
        <v>-42.857142857143572</v>
      </c>
      <c r="AF64" s="415">
        <f t="shared" si="9"/>
        <v>0.98214285714285687</v>
      </c>
      <c r="AG64" s="637"/>
    </row>
    <row r="65" spans="1:33" ht="15.75" customHeight="1">
      <c r="A65" s="635" t="s">
        <v>86</v>
      </c>
      <c r="B65" s="425" t="s">
        <v>116</v>
      </c>
      <c r="C65" s="633" t="s">
        <v>149</v>
      </c>
      <c r="D65" s="633"/>
      <c r="E65" s="42">
        <v>24.25</v>
      </c>
      <c r="F65" s="425">
        <v>2269</v>
      </c>
      <c r="G65" s="412">
        <f t="shared" si="45"/>
        <v>55023.25</v>
      </c>
      <c r="H65" s="37" t="s">
        <v>91</v>
      </c>
      <c r="I65" s="423">
        <v>16</v>
      </c>
      <c r="J65" s="39">
        <v>2400</v>
      </c>
      <c r="K65" s="17">
        <f t="shared" si="1"/>
        <v>150</v>
      </c>
      <c r="L65" s="423">
        <v>16</v>
      </c>
      <c r="M65" s="18">
        <f t="shared" si="46"/>
        <v>2307.4576271186429</v>
      </c>
      <c r="N65" s="17">
        <f t="shared" si="3"/>
        <v>144.21610169491518</v>
      </c>
      <c r="O65" s="19">
        <f t="shared" si="4"/>
        <v>0</v>
      </c>
      <c r="P65" s="20">
        <f t="shared" si="5"/>
        <v>-5.7838983050848185</v>
      </c>
      <c r="Q65" s="415">
        <f t="shared" si="6"/>
        <v>0.96144067796610122</v>
      </c>
      <c r="R65" s="637"/>
      <c r="S65" s="40">
        <v>0.34652777777777777</v>
      </c>
      <c r="T65" s="40">
        <v>0.38750000000000001</v>
      </c>
      <c r="U65" s="412">
        <f t="shared" si="48"/>
        <v>4.9999999999999822</v>
      </c>
      <c r="V65" s="424">
        <f t="shared" si="47"/>
        <v>59.000000000000028</v>
      </c>
      <c r="W65" s="23"/>
      <c r="X65" s="23"/>
      <c r="Y65" s="23"/>
      <c r="Z65" s="23"/>
      <c r="AA65" s="632"/>
      <c r="AB65" s="632"/>
      <c r="AC65" s="25"/>
      <c r="AD65" s="25"/>
      <c r="AE65" s="19">
        <f t="shared" si="43"/>
        <v>-92.542372881357096</v>
      </c>
      <c r="AF65" s="415">
        <f t="shared" si="9"/>
        <v>0.96144067796610122</v>
      </c>
      <c r="AG65" s="637"/>
    </row>
    <row r="66" spans="1:33" ht="15.75" customHeight="1">
      <c r="A66" s="635" t="s">
        <v>86</v>
      </c>
      <c r="B66" s="425" t="s">
        <v>116</v>
      </c>
      <c r="C66" s="633" t="s">
        <v>1859</v>
      </c>
      <c r="D66" s="633"/>
      <c r="E66" s="42">
        <v>25.98</v>
      </c>
      <c r="F66" s="425">
        <v>6380</v>
      </c>
      <c r="G66" s="412">
        <f t="shared" si="45"/>
        <v>165752.4</v>
      </c>
      <c r="H66" s="37" t="s">
        <v>91</v>
      </c>
      <c r="I66" s="423">
        <v>19</v>
      </c>
      <c r="J66" s="39">
        <v>2400</v>
      </c>
      <c r="K66" s="17">
        <f t="shared" si="1"/>
        <v>126.31578947368421</v>
      </c>
      <c r="L66" s="423">
        <v>19</v>
      </c>
      <c r="M66" s="18">
        <f t="shared" si="46"/>
        <v>2292.2155688622756</v>
      </c>
      <c r="N66" s="17">
        <f t="shared" si="3"/>
        <v>120.64292467696187</v>
      </c>
      <c r="O66" s="19">
        <f t="shared" si="4"/>
        <v>0</v>
      </c>
      <c r="P66" s="20">
        <f t="shared" si="5"/>
        <v>-5.6728647967223367</v>
      </c>
      <c r="Q66" s="415">
        <f t="shared" si="6"/>
        <v>0.95508982035928147</v>
      </c>
      <c r="R66" s="637"/>
      <c r="S66" s="40">
        <v>0.39166666666666666</v>
      </c>
      <c r="T66" s="40">
        <v>0.50763888888888886</v>
      </c>
      <c r="U66" s="412">
        <f t="shared" si="48"/>
        <v>5.9999999999999787</v>
      </c>
      <c r="V66" s="424">
        <f t="shared" si="47"/>
        <v>166.99999999999997</v>
      </c>
      <c r="W66" s="23"/>
      <c r="X66" s="23"/>
      <c r="Y66" s="23"/>
      <c r="Z66" s="23"/>
      <c r="AA66" s="632"/>
      <c r="AB66" s="632"/>
      <c r="AC66" s="25"/>
      <c r="AD66" s="25"/>
      <c r="AE66" s="19">
        <f t="shared" si="43"/>
        <v>-107.78443113772437</v>
      </c>
      <c r="AF66" s="415">
        <f t="shared" si="9"/>
        <v>0.95508982035928147</v>
      </c>
      <c r="AG66" s="637"/>
    </row>
    <row r="67" spans="1:33" ht="16.5" customHeight="1">
      <c r="A67" s="636" t="s">
        <v>86</v>
      </c>
      <c r="B67" s="42" t="s">
        <v>49</v>
      </c>
      <c r="C67" s="629"/>
      <c r="D67" s="630"/>
      <c r="E67" s="418"/>
      <c r="F67" s="44"/>
      <c r="G67" s="17"/>
      <c r="H67" s="425"/>
      <c r="I67" s="29">
        <v>16.8</v>
      </c>
      <c r="J67" s="39">
        <v>2400</v>
      </c>
      <c r="K67" s="17">
        <f t="shared" si="1"/>
        <v>142.85714285714286</v>
      </c>
      <c r="L67" s="29">
        <v>16.8</v>
      </c>
      <c r="M67" s="18">
        <f>AVERAGE(M62:M66)</f>
        <v>2306.689830764336</v>
      </c>
      <c r="N67" s="17">
        <f t="shared" si="3"/>
        <v>137.30296611692475</v>
      </c>
      <c r="O67" s="19">
        <f t="shared" si="4"/>
        <v>0</v>
      </c>
      <c r="P67" s="20">
        <f t="shared" si="5"/>
        <v>-5.5541767402181108</v>
      </c>
      <c r="Q67" s="415">
        <f t="shared" si="6"/>
        <v>0.96112076281847325</v>
      </c>
      <c r="R67" s="637"/>
      <c r="S67" s="40"/>
      <c r="T67" s="40"/>
      <c r="U67" s="17"/>
      <c r="V67" s="424"/>
      <c r="W67" s="17"/>
      <c r="X67" s="17"/>
      <c r="Y67" s="30">
        <f>SUM(Y62:Y66)</f>
        <v>0</v>
      </c>
      <c r="Z67" s="30">
        <f>SUM(Z62:Z66)</f>
        <v>0</v>
      </c>
      <c r="AA67" s="631"/>
      <c r="AB67" s="631"/>
      <c r="AC67" s="30">
        <v>5</v>
      </c>
      <c r="AD67" s="30">
        <f>SUM(AD62:AD66)</f>
        <v>0</v>
      </c>
      <c r="AE67" s="19">
        <f t="shared" si="43"/>
        <v>-93.310169235664034</v>
      </c>
      <c r="AF67" s="415">
        <f t="shared" si="9"/>
        <v>0.96112076281847336</v>
      </c>
      <c r="AG67" s="637"/>
    </row>
    <row r="68" spans="1:33">
      <c r="D68" s="33"/>
      <c r="E68" s="33"/>
    </row>
  </sheetData>
  <mergeCells count="183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G13:AG20"/>
    <mergeCell ref="C14:D14"/>
    <mergeCell ref="AA14:AB14"/>
    <mergeCell ref="C15:D15"/>
    <mergeCell ref="AA15:AB15"/>
    <mergeCell ref="C16:D16"/>
    <mergeCell ref="A10:A12"/>
    <mergeCell ref="C10:D10"/>
    <mergeCell ref="R10:R12"/>
    <mergeCell ref="AA10:AB10"/>
    <mergeCell ref="AG10:AG12"/>
    <mergeCell ref="C11:D11"/>
    <mergeCell ref="AA11:AB11"/>
    <mergeCell ref="C12:D12"/>
    <mergeCell ref="AA12:AB12"/>
    <mergeCell ref="AA16:AB16"/>
    <mergeCell ref="C17:D17"/>
    <mergeCell ref="AA17:AB17"/>
    <mergeCell ref="C20:D20"/>
    <mergeCell ref="AA20:AB20"/>
    <mergeCell ref="A21:A28"/>
    <mergeCell ref="C21:D21"/>
    <mergeCell ref="R21:R28"/>
    <mergeCell ref="AA21:AB21"/>
    <mergeCell ref="AA26:AB26"/>
    <mergeCell ref="A13:A20"/>
    <mergeCell ref="C13:D13"/>
    <mergeCell ref="R13:R20"/>
    <mergeCell ref="AA13:AB13"/>
    <mergeCell ref="AG21:AG28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27:D27"/>
    <mergeCell ref="AA27:AB27"/>
    <mergeCell ref="C28:D28"/>
    <mergeCell ref="AA28:AB28"/>
    <mergeCell ref="A29:A35"/>
    <mergeCell ref="C29:D29"/>
    <mergeCell ref="R29:R35"/>
    <mergeCell ref="AA29:AB29"/>
    <mergeCell ref="AA34:AB34"/>
    <mergeCell ref="C35:D35"/>
    <mergeCell ref="AA35:AB35"/>
    <mergeCell ref="A36:A42"/>
    <mergeCell ref="C36:D36"/>
    <mergeCell ref="R36:R42"/>
    <mergeCell ref="AA36:AB36"/>
    <mergeCell ref="AG36:AG42"/>
    <mergeCell ref="C37:D37"/>
    <mergeCell ref="AA37:AB37"/>
    <mergeCell ref="C38:D38"/>
    <mergeCell ref="AA38:AB38"/>
    <mergeCell ref="AG29:AG35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C34:D34"/>
    <mergeCell ref="C42:D42"/>
    <mergeCell ref="AA42:AB42"/>
    <mergeCell ref="A43:A46"/>
    <mergeCell ref="C43:D43"/>
    <mergeCell ref="R43:R46"/>
    <mergeCell ref="AA43:AB43"/>
    <mergeCell ref="C39:D39"/>
    <mergeCell ref="AA39:AB39"/>
    <mergeCell ref="C40:D40"/>
    <mergeCell ref="AA40:AB40"/>
    <mergeCell ref="C41:D41"/>
    <mergeCell ref="AA41:AB41"/>
    <mergeCell ref="AG43:AG46"/>
    <mergeCell ref="C44:D44"/>
    <mergeCell ref="AA44:AB44"/>
    <mergeCell ref="C45:D45"/>
    <mergeCell ref="AA45:AB45"/>
    <mergeCell ref="C46:D46"/>
    <mergeCell ref="AA46:AB46"/>
    <mergeCell ref="AA51:AB51"/>
    <mergeCell ref="C52:D52"/>
    <mergeCell ref="AA52:AB52"/>
    <mergeCell ref="A47:A54"/>
    <mergeCell ref="C47:D47"/>
    <mergeCell ref="R47:R54"/>
    <mergeCell ref="AA47:AB47"/>
    <mergeCell ref="A55:A61"/>
    <mergeCell ref="C55:D55"/>
    <mergeCell ref="R55:R61"/>
    <mergeCell ref="AA55:AB55"/>
    <mergeCell ref="AG55:AG61"/>
    <mergeCell ref="C56:D56"/>
    <mergeCell ref="AA56:AB56"/>
    <mergeCell ref="C57:D57"/>
    <mergeCell ref="AA57:AB57"/>
    <mergeCell ref="C58:D58"/>
    <mergeCell ref="AG47:AG54"/>
    <mergeCell ref="C48:D48"/>
    <mergeCell ref="AA48:AB48"/>
    <mergeCell ref="C49:D49"/>
    <mergeCell ref="AA49:AB49"/>
    <mergeCell ref="AA50:AB50"/>
    <mergeCell ref="C53:D53"/>
    <mergeCell ref="AA53:AB53"/>
    <mergeCell ref="C54:D54"/>
    <mergeCell ref="AA54:AB54"/>
    <mergeCell ref="AA58:AB58"/>
    <mergeCell ref="C59:D59"/>
    <mergeCell ref="AA59:AB59"/>
    <mergeCell ref="C60:D60"/>
    <mergeCell ref="AA60:AB60"/>
    <mergeCell ref="C61:D61"/>
    <mergeCell ref="AA61:AB61"/>
    <mergeCell ref="AA65:AB65"/>
    <mergeCell ref="C66:D66"/>
    <mergeCell ref="AA66:AB66"/>
    <mergeCell ref="A62:A67"/>
    <mergeCell ref="C62:D62"/>
    <mergeCell ref="R62:R67"/>
    <mergeCell ref="AA62:AB62"/>
    <mergeCell ref="AG62:AG67"/>
    <mergeCell ref="C63:D63"/>
    <mergeCell ref="AA63:AB63"/>
    <mergeCell ref="C64:D64"/>
    <mergeCell ref="AA64:AB64"/>
    <mergeCell ref="C65:D65"/>
    <mergeCell ref="C67:D67"/>
    <mergeCell ref="AA67:AB67"/>
  </mergeCells>
  <phoneticPr fontId="3" type="noConversion"/>
  <conditionalFormatting sqref="O54:O55 O58:O67 O5:O10 O12:O14 O20:O52">
    <cfRule type="cellIs" dxfId="1592" priority="48" operator="greaterThan">
      <formula>0</formula>
    </cfRule>
  </conditionalFormatting>
  <conditionalFormatting sqref="P5:P8 P58:P60 AE58:AE60 P62:P66 P29:P34 P55 P10 P12:P14 P21:P27 P47:P52 P36:P45 AE5:AE55 AE62:AE67">
    <cfRule type="cellIs" dxfId="1591" priority="52" operator="lessThan">
      <formula>0</formula>
    </cfRule>
  </conditionalFormatting>
  <conditionalFormatting sqref="AF58:AF60 Q54:Q55 Q58:Q67 Q5:Q10 Q12:Q14 Q20:Q52 AF5:AF55 AF62:AF67">
    <cfRule type="cellIs" dxfId="1590" priority="49" operator="greaterThan">
      <formula>1</formula>
    </cfRule>
    <cfRule type="cellIs" dxfId="1589" priority="50" operator="lessThan">
      <formula>0.8</formula>
    </cfRule>
  </conditionalFormatting>
  <conditionalFormatting sqref="AG13:AG14 R13:R14 AG58 R20:R26 AG20:AG26 AG54:AG55 R54:R55 R58:R67 AG5:AG10 R5:R10 AG28:AG52 R28:R52">
    <cfRule type="cellIs" dxfId="1588" priority="54" operator="lessThan">
      <formula>0.8</formula>
    </cfRule>
  </conditionalFormatting>
  <conditionalFormatting sqref="AG43">
    <cfRule type="cellIs" dxfId="1587" priority="56" operator="lessThan">
      <formula>0.8</formula>
    </cfRule>
  </conditionalFormatting>
  <conditionalFormatting sqref="AG21:AG26">
    <cfRule type="cellIs" dxfId="1586" priority="53" operator="lessThan">
      <formula>0.8</formula>
    </cfRule>
  </conditionalFormatting>
  <conditionalFormatting sqref="AG29">
    <cfRule type="cellIs" dxfId="1585" priority="55" operator="lessThan">
      <formula>0.8</formula>
    </cfRule>
  </conditionalFormatting>
  <conditionalFormatting sqref="AG36:AG41">
    <cfRule type="cellIs" dxfId="1584" priority="51" operator="lessThan">
      <formula>0.8</formula>
    </cfRule>
  </conditionalFormatting>
  <conditionalFormatting sqref="AE61">
    <cfRule type="cellIs" dxfId="1583" priority="47" operator="lessThan">
      <formula>0</formula>
    </cfRule>
  </conditionalFormatting>
  <conditionalFormatting sqref="AF61">
    <cfRule type="cellIs" dxfId="1582" priority="45" operator="greaterThan">
      <formula>1</formula>
    </cfRule>
    <cfRule type="cellIs" dxfId="1581" priority="46" operator="lessThan">
      <formula>0.8</formula>
    </cfRule>
  </conditionalFormatting>
  <conditionalFormatting sqref="O15:O16">
    <cfRule type="cellIs" dxfId="1580" priority="40" operator="greaterThan">
      <formula>0</formula>
    </cfRule>
  </conditionalFormatting>
  <conditionalFormatting sqref="P15:P16">
    <cfRule type="cellIs" dxfId="1579" priority="43" operator="lessThan">
      <formula>0</formula>
    </cfRule>
  </conditionalFormatting>
  <conditionalFormatting sqref="Q15:Q16">
    <cfRule type="cellIs" dxfId="1578" priority="41" operator="greaterThan">
      <formula>1</formula>
    </cfRule>
    <cfRule type="cellIs" dxfId="1577" priority="42" operator="lessThan">
      <formula>0.8</formula>
    </cfRule>
  </conditionalFormatting>
  <conditionalFormatting sqref="R15:R16 AG15:AG16">
    <cfRule type="cellIs" dxfId="1576" priority="44" operator="lessThan">
      <formula>0.8</formula>
    </cfRule>
  </conditionalFormatting>
  <conditionalFormatting sqref="O11">
    <cfRule type="cellIs" dxfId="1575" priority="36" operator="greaterThan">
      <formula>0</formula>
    </cfRule>
  </conditionalFormatting>
  <conditionalFormatting sqref="P11">
    <cfRule type="cellIs" dxfId="1574" priority="39" operator="lessThan">
      <formula>0</formula>
    </cfRule>
  </conditionalFormatting>
  <conditionalFormatting sqref="Q11">
    <cfRule type="cellIs" dxfId="1573" priority="37" operator="greaterThan">
      <formula>1</formula>
    </cfRule>
    <cfRule type="cellIs" dxfId="1572" priority="38" operator="lessThan">
      <formula>0.8</formula>
    </cfRule>
  </conditionalFormatting>
  <conditionalFormatting sqref="O53">
    <cfRule type="cellIs" dxfId="1571" priority="31" operator="greaterThan">
      <formula>0</formula>
    </cfRule>
  </conditionalFormatting>
  <conditionalFormatting sqref="P53">
    <cfRule type="cellIs" dxfId="1570" priority="34" operator="lessThan">
      <formula>0</formula>
    </cfRule>
  </conditionalFormatting>
  <conditionalFormatting sqref="Q53">
    <cfRule type="cellIs" dxfId="1569" priority="32" operator="greaterThan">
      <formula>1</formula>
    </cfRule>
    <cfRule type="cellIs" dxfId="1568" priority="33" operator="lessThan">
      <formula>0.8</formula>
    </cfRule>
  </conditionalFormatting>
  <conditionalFormatting sqref="R53 AG53">
    <cfRule type="cellIs" dxfId="1567" priority="35" operator="lessThan">
      <formula>0.8</formula>
    </cfRule>
  </conditionalFormatting>
  <conditionalFormatting sqref="O57">
    <cfRule type="cellIs" dxfId="1566" priority="26" operator="greaterThan">
      <formula>0</formula>
    </cfRule>
  </conditionalFormatting>
  <conditionalFormatting sqref="P57 AE57">
    <cfRule type="cellIs" dxfId="1565" priority="29" operator="lessThan">
      <formula>0</formula>
    </cfRule>
  </conditionalFormatting>
  <conditionalFormatting sqref="Q57 AF57">
    <cfRule type="cellIs" dxfId="1564" priority="27" operator="greaterThan">
      <formula>1</formula>
    </cfRule>
    <cfRule type="cellIs" dxfId="1563" priority="28" operator="lessThan">
      <formula>0.8</formula>
    </cfRule>
  </conditionalFormatting>
  <conditionalFormatting sqref="R57 AG57">
    <cfRule type="cellIs" dxfId="1562" priority="30" operator="lessThan">
      <formula>0.8</formula>
    </cfRule>
  </conditionalFormatting>
  <conditionalFormatting sqref="O17:O18">
    <cfRule type="cellIs" dxfId="1561" priority="21" operator="greaterThan">
      <formula>0</formula>
    </cfRule>
  </conditionalFormatting>
  <conditionalFormatting sqref="P17:P18">
    <cfRule type="cellIs" dxfId="1560" priority="24" operator="lessThan">
      <formula>0</formula>
    </cfRule>
  </conditionalFormatting>
  <conditionalFormatting sqref="Q17:Q18">
    <cfRule type="cellIs" dxfId="1559" priority="22" operator="greaterThan">
      <formula>1</formula>
    </cfRule>
    <cfRule type="cellIs" dxfId="1558" priority="23" operator="lessThan">
      <formula>0.8</formula>
    </cfRule>
  </conditionalFormatting>
  <conditionalFormatting sqref="R17:R18 AG17:AG18">
    <cfRule type="cellIs" dxfId="1557" priority="25" operator="lessThan">
      <formula>0.8</formula>
    </cfRule>
  </conditionalFormatting>
  <conditionalFormatting sqref="R27 AG27">
    <cfRule type="cellIs" dxfId="1556" priority="20" operator="lessThan">
      <formula>0.8</formula>
    </cfRule>
  </conditionalFormatting>
  <conditionalFormatting sqref="AG27">
    <cfRule type="cellIs" dxfId="1555" priority="19" operator="lessThan">
      <formula>0.8</formula>
    </cfRule>
  </conditionalFormatting>
  <conditionalFormatting sqref="O56">
    <cfRule type="cellIs" dxfId="1554" priority="14" operator="greaterThan">
      <formula>0</formula>
    </cfRule>
  </conditionalFormatting>
  <conditionalFormatting sqref="P56 AE56">
    <cfRule type="cellIs" dxfId="1553" priority="17" operator="lessThan">
      <formula>0</formula>
    </cfRule>
  </conditionalFormatting>
  <conditionalFormatting sqref="Q56 AF56">
    <cfRule type="cellIs" dxfId="1552" priority="15" operator="greaterThan">
      <formula>1</formula>
    </cfRule>
    <cfRule type="cellIs" dxfId="1551" priority="16" operator="lessThan">
      <formula>0.8</formula>
    </cfRule>
  </conditionalFormatting>
  <conditionalFormatting sqref="R56 AG56">
    <cfRule type="cellIs" dxfId="1550" priority="18" operator="lessThan">
      <formula>0.8</formula>
    </cfRule>
  </conditionalFormatting>
  <conditionalFormatting sqref="O19">
    <cfRule type="cellIs" dxfId="1549" priority="9" operator="greaterThan">
      <formula>0</formula>
    </cfRule>
  </conditionalFormatting>
  <conditionalFormatting sqref="P19">
    <cfRule type="cellIs" dxfId="1548" priority="12" operator="lessThan">
      <formula>0</formula>
    </cfRule>
  </conditionalFormatting>
  <conditionalFormatting sqref="Q19">
    <cfRule type="cellIs" dxfId="1547" priority="10" operator="greaterThan">
      <formula>1</formula>
    </cfRule>
    <cfRule type="cellIs" dxfId="1546" priority="11" operator="lessThan">
      <formula>0.8</formula>
    </cfRule>
  </conditionalFormatting>
  <conditionalFormatting sqref="AG19 R19">
    <cfRule type="cellIs" dxfId="1545" priority="13" operator="lessThan">
      <formula>0.8</formula>
    </cfRule>
  </conditionalFormatting>
  <conditionalFormatting sqref="P9">
    <cfRule type="cellIs" dxfId="1544" priority="8" operator="lessThan">
      <formula>0</formula>
    </cfRule>
  </conditionalFormatting>
  <conditionalFormatting sqref="P20">
    <cfRule type="cellIs" dxfId="1543" priority="7" operator="lessThan">
      <formula>0</formula>
    </cfRule>
  </conditionalFormatting>
  <conditionalFormatting sqref="P28">
    <cfRule type="cellIs" dxfId="1542" priority="6" operator="lessThan">
      <formula>0</formula>
    </cfRule>
  </conditionalFormatting>
  <conditionalFormatting sqref="P35">
    <cfRule type="cellIs" dxfId="1541" priority="5" operator="lessThan">
      <formula>0</formula>
    </cfRule>
  </conditionalFormatting>
  <conditionalFormatting sqref="P46">
    <cfRule type="cellIs" dxfId="1540" priority="4" operator="lessThan">
      <formula>0</formula>
    </cfRule>
  </conditionalFormatting>
  <conditionalFormatting sqref="P54">
    <cfRule type="cellIs" dxfId="1539" priority="3" operator="lessThan">
      <formula>0</formula>
    </cfRule>
  </conditionalFormatting>
  <conditionalFormatting sqref="P61">
    <cfRule type="cellIs" dxfId="1538" priority="2" operator="lessThan">
      <formula>0</formula>
    </cfRule>
  </conditionalFormatting>
  <conditionalFormatting sqref="P67">
    <cfRule type="cellIs" dxfId="1537" priority="1" operator="lessThan">
      <formula>0</formula>
    </cfRule>
  </conditionalFormatting>
  <dataValidations count="1">
    <dataValidation type="list" allowBlank="1" showInputMessage="1" showErrorMessage="1" sqref="AB9 AA5:AB8 AB59:AB60 AA9:AA60 AB11:AB55 AA61:AB67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sqref="A1:XFD1048576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612" t="s">
        <v>2043</v>
      </c>
      <c r="C1" s="612"/>
      <c r="D1" s="612"/>
      <c r="E1" s="612"/>
      <c r="F1" s="612"/>
      <c r="G1" s="612"/>
      <c r="H1" s="612"/>
      <c r="I1" s="612"/>
      <c r="J1" s="612"/>
      <c r="K1" s="51"/>
      <c r="L1" s="51"/>
      <c r="M1" s="51"/>
      <c r="N1" s="51"/>
      <c r="O1" s="51"/>
      <c r="P1" s="51"/>
    </row>
    <row r="2" spans="2:17" ht="27.75" customHeight="1">
      <c r="B2" s="613"/>
      <c r="C2" s="613"/>
      <c r="D2" s="613"/>
      <c r="E2" s="613"/>
      <c r="F2" s="613"/>
      <c r="G2" s="613"/>
      <c r="H2" s="613"/>
      <c r="I2" s="613"/>
      <c r="J2" s="613"/>
      <c r="K2" s="53"/>
      <c r="L2" s="53"/>
      <c r="M2" s="53"/>
      <c r="N2" s="51"/>
      <c r="O2" s="51"/>
      <c r="P2" s="51"/>
    </row>
    <row r="3" spans="2:17" ht="46.5" customHeight="1">
      <c r="B3" s="54" t="s">
        <v>152</v>
      </c>
      <c r="C3" s="614" t="str">
        <f>TEXT('0821 4度C'!A2,"yyyy.mm.ddaaaa")</f>
        <v>2026.08.21星期五</v>
      </c>
      <c r="D3" s="615"/>
      <c r="E3" s="54" t="s">
        <v>2044</v>
      </c>
      <c r="F3" s="616">
        <f>'0821 4度C'!D1</f>
        <v>130717</v>
      </c>
      <c r="G3" s="617"/>
      <c r="H3" s="54" t="s">
        <v>2045</v>
      </c>
      <c r="I3" s="618">
        <f>'0821 4度C'!F1</f>
        <v>4524986.9499999993</v>
      </c>
      <c r="J3" s="619"/>
      <c r="K3" s="55"/>
      <c r="L3" s="56"/>
      <c r="M3" s="57"/>
      <c r="N3" s="57"/>
    </row>
    <row r="4" spans="2:17" ht="28.5" customHeight="1">
      <c r="B4" s="620" t="s">
        <v>2046</v>
      </c>
      <c r="C4" s="606" t="s">
        <v>2047</v>
      </c>
      <c r="D4" s="607"/>
      <c r="E4" s="623" t="s">
        <v>2048</v>
      </c>
      <c r="F4" s="624"/>
      <c r="G4" s="623" t="s">
        <v>2049</v>
      </c>
      <c r="H4" s="624"/>
      <c r="I4" s="623" t="s">
        <v>1671</v>
      </c>
      <c r="J4" s="624"/>
      <c r="K4" s="604" t="s">
        <v>2050</v>
      </c>
      <c r="L4" s="605"/>
      <c r="M4" s="605" t="s">
        <v>2051</v>
      </c>
      <c r="N4" s="605"/>
    </row>
    <row r="5" spans="2:17" ht="28.5" customHeight="1">
      <c r="B5" s="621"/>
      <c r="C5" s="606" t="s">
        <v>2052</v>
      </c>
      <c r="D5" s="607"/>
      <c r="E5" s="606" t="s">
        <v>2053</v>
      </c>
      <c r="F5" s="607"/>
      <c r="G5" s="608" t="s">
        <v>2054</v>
      </c>
      <c r="H5" s="609"/>
      <c r="I5" s="610" t="s">
        <v>2055</v>
      </c>
      <c r="J5" s="611"/>
      <c r="K5" s="58" t="s">
        <v>734</v>
      </c>
      <c r="L5" s="59" t="s">
        <v>2056</v>
      </c>
      <c r="M5" s="58" t="s">
        <v>2057</v>
      </c>
      <c r="N5" s="59" t="s">
        <v>2058</v>
      </c>
    </row>
    <row r="6" spans="2:17" ht="28.5" customHeight="1">
      <c r="B6" s="621"/>
      <c r="C6" s="606" t="s">
        <v>169</v>
      </c>
      <c r="D6" s="607"/>
      <c r="E6" s="598">
        <f>AVERAGE(D13:M13)</f>
        <v>154.91083621581384</v>
      </c>
      <c r="F6" s="599">
        <f>AVERAGE(D31:O31,D13:J13)</f>
        <v>162.1438212625672</v>
      </c>
      <c r="G6" s="600">
        <f>AVERAGE(D13:J13)</f>
        <v>162.1438212625672</v>
      </c>
      <c r="H6" s="601"/>
      <c r="I6" s="600">
        <f>AVERAGE(K13:M13)</f>
        <v>138.03387110672267</v>
      </c>
      <c r="J6" s="601"/>
      <c r="K6" s="602">
        <f>'0821 4度C'!Y2</f>
        <v>0</v>
      </c>
      <c r="L6" s="587">
        <f>'0821 4度C'!Z2</f>
        <v>0</v>
      </c>
      <c r="M6" s="603">
        <f>'0821 4度C'!AC2</f>
        <v>51</v>
      </c>
      <c r="N6" s="587">
        <f>'0821 4度C'!AD2</f>
        <v>0</v>
      </c>
    </row>
    <row r="7" spans="2:17" ht="28.5" customHeight="1">
      <c r="B7" s="621"/>
      <c r="C7" s="588" t="s">
        <v>170</v>
      </c>
      <c r="D7" s="589"/>
      <c r="E7" s="590">
        <f>AVERAGE(D14:M14)</f>
        <v>148.45146373080883</v>
      </c>
      <c r="F7" s="591">
        <f>AVERAGE(D32:O32,D14:J14)</f>
        <v>155.49605951626603</v>
      </c>
      <c r="G7" s="592">
        <f>AVERAGE(D14:J14)</f>
        <v>155.49605951626603</v>
      </c>
      <c r="H7" s="593"/>
      <c r="I7" s="592">
        <f>AVERAGE(K14:M14)</f>
        <v>132.01407356474203</v>
      </c>
      <c r="J7" s="593"/>
      <c r="K7" s="602"/>
      <c r="L7" s="587"/>
      <c r="M7" s="603"/>
      <c r="N7" s="587"/>
    </row>
    <row r="8" spans="2:17" ht="28.5" customHeight="1">
      <c r="B8" s="622"/>
      <c r="C8" s="588" t="s">
        <v>171</v>
      </c>
      <c r="D8" s="589"/>
      <c r="E8" s="594">
        <f>AVERAGE(D15:M15)</f>
        <v>0.95773535768332452</v>
      </c>
      <c r="F8" s="595">
        <f>AVERAGE(D15:J15,D33:O33)</f>
        <v>0.95835090844249804</v>
      </c>
      <c r="G8" s="596">
        <f>AVERAGE(D15:J15)</f>
        <v>0.95835090844249804</v>
      </c>
      <c r="H8" s="597"/>
      <c r="I8" s="596">
        <f>AVERAGE(K15:M15)</f>
        <v>0.95629907257858637</v>
      </c>
      <c r="J8" s="597"/>
      <c r="K8" s="602"/>
      <c r="L8" s="587"/>
      <c r="M8" s="603"/>
      <c r="N8" s="587"/>
    </row>
    <row r="9" spans="2:17" ht="28.5" customHeight="1" thickBot="1">
      <c r="H9" s="61"/>
      <c r="K9" s="62" t="s">
        <v>2059</v>
      </c>
      <c r="N9" s="57"/>
      <c r="O9" s="57"/>
      <c r="P9" s="57"/>
      <c r="Q9" s="57"/>
    </row>
    <row r="10" spans="2:17" ht="30" customHeight="1">
      <c r="B10" s="570" t="s">
        <v>2060</v>
      </c>
      <c r="C10" s="571"/>
      <c r="D10" s="572" t="s">
        <v>2061</v>
      </c>
      <c r="E10" s="573"/>
      <c r="F10" s="573"/>
      <c r="G10" s="573"/>
      <c r="H10" s="573"/>
      <c r="I10" s="573"/>
      <c r="J10" s="574"/>
      <c r="K10" s="575" t="s">
        <v>2062</v>
      </c>
      <c r="L10" s="576"/>
      <c r="M10" s="577"/>
      <c r="P10" s="63"/>
      <c r="Q10" s="63"/>
    </row>
    <row r="11" spans="2:17" ht="17.25" customHeight="1">
      <c r="B11" s="578" t="s">
        <v>2063</v>
      </c>
      <c r="C11" s="579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80"/>
      <c r="C12" s="581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582" t="s">
        <v>2064</v>
      </c>
      <c r="C13" s="70" t="s">
        <v>2065</v>
      </c>
      <c r="D13" s="71">
        <f>SUMIFS('0821 4度C'!$K:$K,'0821 4度C'!$A:$A,"新豐6線",'0821 4度C'!$B:$B,"平均")</f>
        <v>130.43478260869566</v>
      </c>
      <c r="E13" s="72">
        <f>SUMIFS('0821 4度C'!$K:$K,'0821 4度C'!$A:$A,"新豐2線",'0821 4度C'!$B:$B,"平均")</f>
        <v>83.333333333333329</v>
      </c>
      <c r="F13" s="73">
        <f>SUMIFS('0821 4度C'!$K:$K,'0821 4度C'!$A:$A,"新豐5線",'0821 4度C'!$B:$B,"平均")</f>
        <v>93.75</v>
      </c>
      <c r="G13" s="73">
        <f>SUMIFS('0821 4度C'!$K:$K,'0821 4度C'!$A:$A,"新豐7線",'0821 4度C'!$B:$B,"平均")</f>
        <v>123.89380530973452</v>
      </c>
      <c r="H13" s="73">
        <f>SUMIFS('0821 4度C'!$K:$K,'0821 4度C'!$A:$A,"新豐3線",'0821 4度C'!$B:$B,"平均")</f>
        <v>281.25</v>
      </c>
      <c r="I13" s="73">
        <f>SUMIFS('0821 4度C'!$K:$K,'0821 4度C'!$A:$A,"新豐1線",'0821 4度C'!$B:$B,"平均")</f>
        <v>112</v>
      </c>
      <c r="J13" s="74">
        <f>SUMIFS('0821 4度C'!$K:$K,'0821 4度C'!$A:$A,"新豐10線",'0821 4度C'!$B:$B,"平均")</f>
        <v>310.34482758620692</v>
      </c>
      <c r="K13" s="75">
        <f>SUMIFS('0821 4度C'!$K:$K,'0821 4度C'!$A:$A,"新豐8線",'0821 4度C'!$B:$B,"平均")</f>
        <v>151.89873417721518</v>
      </c>
      <c r="L13" s="76">
        <f>SUMIFS('0821 4度C'!$K:$K,'0821 4度C'!$A:$A,"新豐9線",'0821 4度C'!$B:$B,"平均")</f>
        <v>124.27184466019418</v>
      </c>
      <c r="M13" s="74">
        <f>SUMIFS('0821 4度C'!$K:$K,'0821 4度C'!$A:$A,"新豐4線",'0821 4度C'!$B:$B,"平均")</f>
        <v>137.93103448275863</v>
      </c>
    </row>
    <row r="14" spans="2:17" ht="39.6" customHeight="1">
      <c r="B14" s="583"/>
      <c r="C14" s="77" t="s">
        <v>2066</v>
      </c>
      <c r="D14" s="78">
        <f>SUMIFS('0821 4度C'!$N:$N,'0821 4度C'!$A:$A,"新豐6線",'0821 4度C'!$B:$B,"平均")</f>
        <v>124.72588158685642</v>
      </c>
      <c r="E14" s="79">
        <f>SUMIFS('0821 4度C'!$N:$N,'0821 4度C'!$A:$A,"新豐2線",'0821 4度C'!$B:$B,"平均")</f>
        <v>79.325638023011592</v>
      </c>
      <c r="F14" s="79">
        <f>SUMIFS('0821 4度C'!$N:$N,'0821 4度C'!$A:$A,"新豐5線",'0821 4度C'!$B:$B,"平均")</f>
        <v>89.863196615447904</v>
      </c>
      <c r="G14" s="79">
        <f>SUMIFS('0821 4度C'!$N:$N,'0821 4度C'!$A:$A,"新豐7線",'0821 4度C'!$B:$B,"平均")</f>
        <v>119.052345921439</v>
      </c>
      <c r="H14" s="79">
        <f>SUMIFS('0821 4度C'!$N:$N,'0821 4度C'!$A:$A,"新豐3線",'0821 4度C'!$B:$B,"平均")</f>
        <v>268.01888736263737</v>
      </c>
      <c r="I14" s="79">
        <f>SUMIFS('0821 4度C'!$N:$N,'0821 4度C'!$A:$A,"新豐1線",'0821 4度C'!$B:$B,"平均")</f>
        <v>107.75465327739181</v>
      </c>
      <c r="J14" s="80">
        <f>SUMIFS('0821 4度C'!$N:$N,'0821 4度C'!$A:$A,"新豐10線",'0821 4度C'!$B:$B,"平均")</f>
        <v>299.7318138270781</v>
      </c>
      <c r="K14" s="81">
        <f>SUMIFS('0821 4度C'!$N:$N,'0821 4度C'!$A:$A,"新豐8線",'0821 4度C'!$B:$B,"平均")</f>
        <v>145.46856674384983</v>
      </c>
      <c r="L14" s="82">
        <f>SUMIFS('0821 4度C'!$N:$N,'0821 4度C'!$A:$A,"新豐9線",'0821 4度C'!$B:$B,"平均")</f>
        <v>118.67628197461354</v>
      </c>
      <c r="M14" s="80">
        <f>SUMIFS('0821 4度C'!$N:$N,'0821 4度C'!$A:$A,"新豐4線",'0821 4度C'!$B:$B,"平均")</f>
        <v>131.89737197576272</v>
      </c>
    </row>
    <row r="15" spans="2:17" ht="40.15" customHeight="1">
      <c r="B15" s="584"/>
      <c r="C15" s="83" t="s">
        <v>2067</v>
      </c>
      <c r="D15" s="84">
        <f t="shared" ref="D15:M15" si="0">D14/D13</f>
        <v>0.95623175883256584</v>
      </c>
      <c r="E15" s="85">
        <f t="shared" si="0"/>
        <v>0.95190765627613916</v>
      </c>
      <c r="F15" s="85">
        <f t="shared" si="0"/>
        <v>0.95854076389811094</v>
      </c>
      <c r="G15" s="85">
        <f t="shared" si="0"/>
        <v>0.96092250636590049</v>
      </c>
      <c r="H15" s="85">
        <f t="shared" si="0"/>
        <v>0.95295604395604394</v>
      </c>
      <c r="I15" s="85">
        <f t="shared" si="0"/>
        <v>0.96209511854814111</v>
      </c>
      <c r="J15" s="86">
        <f t="shared" si="0"/>
        <v>0.96580251122058491</v>
      </c>
      <c r="K15" s="84">
        <f t="shared" si="0"/>
        <v>0.95766806439701146</v>
      </c>
      <c r="L15" s="85">
        <f t="shared" si="0"/>
        <v>0.95497320651446838</v>
      </c>
      <c r="M15" s="86">
        <f t="shared" si="0"/>
        <v>0.95625594682427961</v>
      </c>
    </row>
    <row r="16" spans="2:17" ht="17.25" customHeight="1">
      <c r="B16" s="585" t="s">
        <v>2068</v>
      </c>
      <c r="C16" s="87" t="s">
        <v>2069</v>
      </c>
      <c r="D16" s="88">
        <f>VLOOKUP("新豐6線",'0821 4度C'!$A:$T,19,0)</f>
        <v>0.70833333333333337</v>
      </c>
      <c r="E16" s="89">
        <f>VLOOKUP("新豐2線",'0821 4度C'!$A:$T,19,0)</f>
        <v>8.3333333333333329E-2</v>
      </c>
      <c r="F16" s="89">
        <f>VLOOKUP("新豐5線",'0821 4度C'!$A:$T,19,0)</f>
        <v>0.20833333333333334</v>
      </c>
      <c r="G16" s="89">
        <f>VLOOKUP("新豐7線",'0821 4度C'!$A:$T,19,0)</f>
        <v>0.20833333333333334</v>
      </c>
      <c r="H16" s="89">
        <f>VLOOKUP("新豐3線",'0821 4度C'!$A:$T,19,0)</f>
        <v>0.20833333333333334</v>
      </c>
      <c r="I16" s="89">
        <f>VLOOKUP("新豐1線",'0821 4度C'!$A:$T,19,0)</f>
        <v>0.20833333333333334</v>
      </c>
      <c r="J16" s="90">
        <f>VLOOKUP("新豐10線",'0821 4度C'!$A:$T,19,0)</f>
        <v>0.20833333333333334</v>
      </c>
      <c r="K16" s="91">
        <f>VLOOKUP("新豐8線",'0821 4度C'!$A:$T,19,0)</f>
        <v>8.3333333333333329E-2</v>
      </c>
      <c r="L16" s="92">
        <f>VLOOKUP("新豐9線",'0821 4度C'!$A:$T,19,0)</f>
        <v>8.3333333333333329E-2</v>
      </c>
      <c r="M16" s="93">
        <f>VLOOKUP("新豐4線",'0821 4度C'!$A:$T,19,0)</f>
        <v>8.3333333333333329E-2</v>
      </c>
    </row>
    <row r="17" spans="2:13" ht="17.25" customHeight="1">
      <c r="B17" s="586"/>
      <c r="C17" s="87" t="s">
        <v>2070</v>
      </c>
      <c r="D17" s="91">
        <f>LOOKUP(2,1/(('0821 4度C'!$A:$A="新豐6線")*('0821 4度C'!$T:$T&lt;&gt;"")),'0821 4度C'!$T:$T)</f>
        <v>0.83333333333333326</v>
      </c>
      <c r="E17" s="89">
        <f>LOOKUP(2,1/(('0821 4度C'!$A:$A="新豐2線")*('0821 4度C'!$T:$T&lt;&gt;"")),'0821 4度C'!$T:$T)</f>
        <v>0.36805555555555547</v>
      </c>
      <c r="F17" s="89">
        <f>LOOKUP(2,1/(('0821 4度C'!$A:$A="新豐5線")*('0821 4度C'!$T:$T&lt;&gt;"")),'0821 4度C'!$T:$T)</f>
        <v>0.8125</v>
      </c>
      <c r="G17" s="89">
        <f>LOOKUP(2,1/(('0821 4度C'!$A:$A="新豐7線")*('0821 4度C'!$T:$T&lt;&gt;"")),'0821 4度C'!$T:$T)</f>
        <v>0.81666666666666676</v>
      </c>
      <c r="H17" s="89">
        <f>LOOKUP(2,1/(('0821 4度C'!$A:$A="新豐3線")*('0821 4度C'!$T:$T&lt;&gt;"")),'0821 4度C'!$T:$T)</f>
        <v>0.37847222222222221</v>
      </c>
      <c r="I17" s="89">
        <f>LOOKUP(2,1/(('0821 4度C'!$A:$A="新豐1線")*('0821 4度C'!$T:$T&lt;&gt;"")),'0821 4度C'!$T:$T)</f>
        <v>0.80138888888888893</v>
      </c>
      <c r="J17" s="90">
        <f>LOOKUP(2,1/(('0821 4度C'!$A:$A="新豐10線")*('0821 4度C'!$T:$T&lt;&gt;"")),'0821 4度C'!$T:$T)</f>
        <v>0.3652777777777777</v>
      </c>
      <c r="K17" s="88">
        <f>LOOKUP(2,1/(('0821 4度C'!$A:$A="新豐8線")*('0821 4度C'!$T:$T&lt;&gt;"")),'0821 4度C'!$T:$T)</f>
        <v>0.4993055555555555</v>
      </c>
      <c r="L17" s="89">
        <f>LOOKUP(2,1/(('0821 4度C'!$A:$A="新豐9線")*('0821 4度C'!$T:$T&lt;&gt;"")),'0821 4度C'!$T:$T)</f>
        <v>0.57291666666666652</v>
      </c>
      <c r="M17" s="90">
        <f>LOOKUP(2,1/(('0821 4度C'!$A:$A="新豐4線")*('0821 4度C'!$T:$T&lt;&gt;"")),'0821 4度C'!$T:$T)</f>
        <v>0.49166666666666659</v>
      </c>
    </row>
    <row r="18" spans="2:13" ht="17.25" customHeight="1">
      <c r="B18" s="564" t="s">
        <v>2071</v>
      </c>
      <c r="C18" s="94" t="s">
        <v>2072</v>
      </c>
      <c r="D18" s="95">
        <f>SUMIFS('0821 4度C'!$Y:$Y,'0821 4度C'!$A:$A,"新豐6線",'0821 4度C'!$B:$B,"平均")</f>
        <v>0</v>
      </c>
      <c r="E18" s="96">
        <f>SUMIFS('0821 4度C'!$Y:$Y,'0821 4度C'!$A:$A,"新豐2線",'0821 4度C'!$B:$B,"平均")</f>
        <v>0</v>
      </c>
      <c r="F18" s="96">
        <f>SUMIFS('0821 4度C'!$Y:$Y,'0821 4度C'!$A:$A,"新豐5線",'0821 4度C'!$B:$B,"平均")</f>
        <v>0</v>
      </c>
      <c r="G18" s="96">
        <f>SUMIFS('0821 4度C'!$Y:$Y,'0821 4度C'!$A:$A,"新豐7線",'0821 4度C'!$B:$B,"平均")</f>
        <v>0</v>
      </c>
      <c r="H18" s="96">
        <f>SUMIFS('0821 4度C'!$Y:$Y,'0821 4度C'!$A:$A,"新豐3線",'0821 4度C'!$B:$B,"平均")</f>
        <v>0</v>
      </c>
      <c r="I18" s="96">
        <f>SUMIFS('0821 4度C'!$Y:$Y,'0821 4度C'!$A:$A,"新豐1線",'0821 4度C'!$B:$B,"平均")</f>
        <v>0</v>
      </c>
      <c r="J18" s="97">
        <f>SUMIFS('0821 4度C'!$Y:$Y,'0821 4度C'!$A:$A,"新豐10線",'0821 4度C'!$B:$B,"平均")</f>
        <v>0</v>
      </c>
      <c r="K18" s="98">
        <f>SUMIFS('0821 4度C'!$Y:$Y,'0821 4度C'!$A:$A,"新豐8線",'0821 4度C'!$B:$B,"平均")</f>
        <v>0</v>
      </c>
      <c r="L18" s="96">
        <f>SUMIFS('0821 4度C'!$Y:$Y,'0821 4度C'!$A:$A,"新豐9線",'0821 4度C'!$B:$B,"平均")</f>
        <v>0</v>
      </c>
      <c r="M18" s="97">
        <f>SUMIFS('0821 4度C'!$Y:$Y,'0821 4度C'!$A:$A,"新豐4線",'0821 4度C'!$B:$B,"平均")</f>
        <v>0</v>
      </c>
    </row>
    <row r="19" spans="2:13" ht="17.25" customHeight="1">
      <c r="B19" s="565"/>
      <c r="C19" s="94" t="s">
        <v>44</v>
      </c>
      <c r="D19" s="95">
        <f>SUMIFS('0821 4度C'!$Z:$Z,'0821 4度C'!$A:$A,"新豐6線",'0821 4度C'!$B:$B,"平均")</f>
        <v>0</v>
      </c>
      <c r="E19" s="96">
        <f>SUMIFS('0821 4度C'!$Z:$Z,'0821 4度C'!$A:$A,"新豐2線",'0821 4度C'!$B:$B,"平均")</f>
        <v>0</v>
      </c>
      <c r="F19" s="96">
        <f>SUMIFS('0821 4度C'!$Z:$Z,'0821 4度C'!$A:$A,"新豐5線",'0821 4度C'!$B:$B,"平均")</f>
        <v>0</v>
      </c>
      <c r="G19" s="96">
        <f>SUMIFS('0821 4度C'!$Z:$Z,'0821 4度C'!$A:$A,"新豐7線",'0821 4度C'!$B:$B,"平均")</f>
        <v>0</v>
      </c>
      <c r="H19" s="96">
        <f>SUMIFS('0821 4度C'!$Z:$Z,'0821 4度C'!$A:$A,"新豐3線",'0821 4度C'!$B:$B,"平均")</f>
        <v>0</v>
      </c>
      <c r="I19" s="96">
        <f>SUMIFS('0821 4度C'!$Z:$Z,'0821 4度C'!$A:$A,"新豐1線",'0821 4度C'!$B:$B,"平均")</f>
        <v>0</v>
      </c>
      <c r="J19" s="97">
        <f>SUMIFS('0821 4度C'!$Z:$Z,'0821 4度C'!$A:$A,"新豐10線",'0821 4度C'!$B:$B,"平均")</f>
        <v>0</v>
      </c>
      <c r="K19" s="98">
        <f>SUMIFS('0821 4度C'!$Z:$Z,'0821 4度C'!$A:$A,"新豐8線",'0821 4度C'!$B:$B,"平均")</f>
        <v>0</v>
      </c>
      <c r="L19" s="96">
        <f>SUMIFS('0821 4度C'!$Z:$Z,'0821 4度C'!$A:$A,"新豐9線",'0821 4度C'!$B:$B,"平均")</f>
        <v>0</v>
      </c>
      <c r="M19" s="97">
        <f>SUMIFS('0821 4度C'!$Z:$Z,'0821 4度C'!$A:$A,"新豐4線",'0821 4度C'!$B:$B,"平均")</f>
        <v>0</v>
      </c>
    </row>
    <row r="20" spans="2:13" ht="17.25" customHeight="1">
      <c r="B20" s="564" t="s">
        <v>2073</v>
      </c>
      <c r="C20" s="94" t="s">
        <v>2072</v>
      </c>
      <c r="D20" s="95">
        <f>SUMIFS('0821 4度C'!$AC:$AC,'0821 4度C'!$A:$A,"新豐6線",'0821 4度C'!$B:$B,"平均")</f>
        <v>3</v>
      </c>
      <c r="E20" s="96">
        <f>SUMIFS('0821 4度C'!$AC:$AC,'0821 4度C'!$A:$A,"新豐2線",'0821 4度C'!$B:$B,"平均")</f>
        <v>2</v>
      </c>
      <c r="F20" s="96">
        <f>SUMIFS('0821 4度C'!$AC:$AC,'0821 4度C'!$A:$A,"新豐5線",'0821 4度C'!$B:$B,"平均")</f>
        <v>7</v>
      </c>
      <c r="G20" s="96">
        <f>SUMIFS('0821 4度C'!$AC:$AC,'0821 4度C'!$A:$A,"新豐7線",'0821 4度C'!$B:$B,"平均")</f>
        <v>7</v>
      </c>
      <c r="H20" s="96">
        <f>SUMIFS('0821 4度C'!$AC:$AC,'0821 4度C'!$A:$A,"新豐3線",'0821 4度C'!$B:$B,"平均")</f>
        <v>3</v>
      </c>
      <c r="I20" s="96">
        <f>SUMIFS('0821 4度C'!$AC:$AC,'0821 4度C'!$A:$A,"新豐1線",'0821 4度C'!$B:$B,"平均")</f>
        <v>7</v>
      </c>
      <c r="J20" s="97">
        <f>SUMIFS('0821 4度C'!$AC:$AC,'0821 4度C'!$A:$A,"新豐10線",'0821 4度C'!$B:$B,"平均")</f>
        <v>6</v>
      </c>
      <c r="K20" s="98">
        <f>SUMIFS('0821 4度C'!$AC:$AC,'0821 4度C'!$A:$A,"新豐8線",'0821 4度C'!$B:$B,"平均")</f>
        <v>5</v>
      </c>
      <c r="L20" s="96">
        <f>SUMIFS('0821 4度C'!$AC:$AC,'0821 4度C'!$A:$A,"新豐9線",'0821 4度C'!$B:$B,"平均")</f>
        <v>6</v>
      </c>
      <c r="M20" s="97">
        <f>SUMIFS('0821 4度C'!$AC:$AC,'0821 4度C'!$A:$A,"新豐4線",'0821 4度C'!$B:$B,"平均")</f>
        <v>5</v>
      </c>
    </row>
    <row r="21" spans="2:13" ht="17.25" customHeight="1">
      <c r="B21" s="565"/>
      <c r="C21" s="94" t="s">
        <v>2074</v>
      </c>
      <c r="D21" s="95">
        <f>SUMIFS('0821 4度C'!$AD:$AD,'0821 4度C'!$A:$A,"新豐6線",'0821 4度C'!$B:$B,"平均")</f>
        <v>0</v>
      </c>
      <c r="E21" s="96">
        <f>SUMIFS('0821 4度C'!$AD:$AD,'0821 4度C'!$A:$A,"新豐2線",'0821 4度C'!$B:$B,"平均")</f>
        <v>0</v>
      </c>
      <c r="F21" s="96">
        <f>SUMIFS('0821 4度C'!$AD:$AD,'0821 4度C'!$A:$A,"新豐5線",'0821 4度C'!$B:$B,"平均")</f>
        <v>0</v>
      </c>
      <c r="G21" s="96">
        <f>SUMIFS('0821 4度C'!$AD:$AD,'0821 4度C'!$A:$A,"新豐7線",'0821 4度C'!$B:$B,"平均")</f>
        <v>0</v>
      </c>
      <c r="H21" s="96">
        <f>SUMIFS('0821 4度C'!$AD:$AD,'0821 4度C'!$A:$A,"新豐3線",'0821 4度C'!$B:$B,"平均")</f>
        <v>0</v>
      </c>
      <c r="I21" s="96">
        <f>SUMIFS('0821 4度C'!$AD:$AD,'0821 4度C'!$A:$A,"新豐1線",'0821 4度C'!$B:$B,"平均")</f>
        <v>0</v>
      </c>
      <c r="J21" s="97">
        <f>SUMIFS('0821 4度C'!$AD:$AD,'0821 4度C'!$A:$A,"新豐10線",'0821 4度C'!$B:$B,"平均")</f>
        <v>0</v>
      </c>
      <c r="K21" s="98">
        <f>SUMIFS('0821 4度C'!$AD:$AD,'0821 4度C'!$A:$A,"新豐8線",'0821 4度C'!$B:$B,"平均")</f>
        <v>0</v>
      </c>
      <c r="L21" s="96">
        <f>SUMIFS('0821 4度C'!$AD:$AD,'0821 4度C'!$A:$A,"新豐9線",'0821 4度C'!$B:$B,"平均")</f>
        <v>0</v>
      </c>
      <c r="M21" s="97">
        <f>SUMIFS('0821 4度C'!$AD:$AD,'0821 4度C'!$A:$A,"新豐4線",'0821 4度C'!$B:$B,"平均")</f>
        <v>0</v>
      </c>
    </row>
    <row r="22" spans="2:13" ht="17.25" customHeight="1">
      <c r="B22" s="566" t="s">
        <v>2075</v>
      </c>
      <c r="C22" s="567"/>
      <c r="D22" s="99">
        <f>SUMIFS('0821 4度C'!$I:$I,'0821 4度C'!$A:$A,"新豐6線",'0821 4度C'!$B:$B,"平均")</f>
        <v>15.333333333333334</v>
      </c>
      <c r="E22" s="100">
        <f>SUMIFS('0821 4度C'!$I:$I,'0821 4度C'!$A:$A,"新豐2線",'0821 4度C'!$B:$B,"平均")</f>
        <v>18</v>
      </c>
      <c r="F22" s="100">
        <f>SUMIFS('0821 4度C'!$I:$I,'0821 4度C'!$A:$A,"新豐5線",'0821 4度C'!$B:$B,"平均")</f>
        <v>18.285714285714285</v>
      </c>
      <c r="G22" s="100">
        <f>SUMIFS('0821 4度C'!$I:$I,'0821 4度C'!$A:$A,"新豐7線",'0821 4度C'!$B:$B,"平均")</f>
        <v>16.142857142857142</v>
      </c>
      <c r="H22" s="100">
        <f>SUMIFS('0821 4度C'!$I:$I,'0821 4度C'!$A:$A,"新豐3線",'0821 4度C'!$B:$B,"平均")</f>
        <v>10.666666666666666</v>
      </c>
      <c r="I22" s="100">
        <f>SUMIFS('0821 4度C'!$I:$I,'0821 4度C'!$A:$A,"新豐1線",'0821 4度C'!$B:$B,"平均")</f>
        <v>17.857142857142858</v>
      </c>
      <c r="J22" s="101">
        <f>SUMIFS('0821 4度C'!$I:$I,'0821 4度C'!$A:$A,"新豐10線",'0821 4度C'!$B:$B,"平均")</f>
        <v>9.6666666666666661</v>
      </c>
      <c r="K22" s="99">
        <f>SUMIFS('0821 4度C'!$I:$I,'0821 4度C'!$A:$A,"新豐8線",'0821 4度C'!$B:$B,"平均")</f>
        <v>15.8</v>
      </c>
      <c r="L22" s="100">
        <f>SUMIFS('0821 4度C'!$I:$I,'0821 4度C'!$A:$A,"新豐9線",'0821 4度C'!$B:$B,"平均")</f>
        <v>17.166666666666668</v>
      </c>
      <c r="M22" s="101">
        <f>SUMIFS('0821 4度C'!$I:$I,'0821 4度C'!$A:$A,"新豐4線",'0821 4度C'!$B:$B,"平均")</f>
        <v>17.399999999999999</v>
      </c>
    </row>
    <row r="23" spans="2:13" ht="17.25" customHeight="1">
      <c r="B23" s="566" t="s">
        <v>2076</v>
      </c>
      <c r="C23" s="567"/>
      <c r="D23" s="102" t="s">
        <v>202</v>
      </c>
      <c r="E23" s="103" t="s">
        <v>203</v>
      </c>
      <c r="F23" s="103" t="s">
        <v>561</v>
      </c>
      <c r="G23" s="103" t="s">
        <v>2077</v>
      </c>
      <c r="H23" s="103" t="s">
        <v>205</v>
      </c>
      <c r="I23" s="103" t="s">
        <v>202</v>
      </c>
      <c r="J23" s="104" t="s">
        <v>205</v>
      </c>
      <c r="K23" s="102" t="s">
        <v>2078</v>
      </c>
      <c r="L23" s="103" t="s">
        <v>2078</v>
      </c>
      <c r="M23" s="104" t="s">
        <v>2078</v>
      </c>
    </row>
    <row r="24" spans="2:13" ht="17.25" customHeight="1">
      <c r="B24" s="566" t="s">
        <v>2079</v>
      </c>
      <c r="C24" s="567"/>
      <c r="D24" s="102"/>
      <c r="E24" s="103"/>
      <c r="F24" s="103" t="s">
        <v>2080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68" t="s">
        <v>2081</v>
      </c>
      <c r="C25" s="569"/>
      <c r="D25" s="105"/>
      <c r="E25" s="106" t="s">
        <v>2082</v>
      </c>
      <c r="F25" s="562" t="s">
        <v>2083</v>
      </c>
      <c r="G25" s="563"/>
      <c r="H25" s="106" t="s">
        <v>2084</v>
      </c>
      <c r="I25" s="106" t="s">
        <v>2085</v>
      </c>
      <c r="J25" s="107" t="s">
        <v>2084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53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66"/>
  <sheetViews>
    <sheetView zoomScale="80" zoomScaleNormal="80" workbookViewId="0">
      <pane ySplit="4" topLeftCell="A5" activePane="bottomLeft" state="frozen"/>
      <selection sqref="A1:XFD1048576"/>
      <selection pane="bottomLeft" sqref="A1:XFD1048576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41" customWidth="1"/>
    <col min="20" max="20" width="7.625" style="41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29" width="15.125" style="41" customWidth="1"/>
    <col min="30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2086</v>
      </c>
      <c r="B1" s="1"/>
      <c r="C1" s="2" t="s">
        <v>2087</v>
      </c>
      <c r="D1" s="3">
        <f>SUM(F5:F65)</f>
        <v>130717</v>
      </c>
      <c r="E1" s="397" t="s">
        <v>2088</v>
      </c>
      <c r="F1" s="1">
        <f>SUM(G5:G65)</f>
        <v>4524986.9499999993</v>
      </c>
      <c r="G1" s="1" t="s">
        <v>2089</v>
      </c>
      <c r="H1" s="5">
        <f>L8+L11+L44+L52+L19+L59+L33+L40+L27+L65</f>
        <v>156.31904761904764</v>
      </c>
      <c r="I1" s="676" t="s">
        <v>2090</v>
      </c>
      <c r="J1" s="676"/>
      <c r="K1" s="676"/>
      <c r="L1" s="676" t="s">
        <v>2091</v>
      </c>
      <c r="M1" s="676"/>
      <c r="N1" s="676"/>
      <c r="O1" s="676" t="s">
        <v>2092</v>
      </c>
      <c r="P1" s="676"/>
      <c r="Q1" s="676"/>
      <c r="R1" s="676"/>
      <c r="S1" s="676" t="s">
        <v>2093</v>
      </c>
      <c r="T1" s="676"/>
      <c r="U1" s="676"/>
      <c r="V1" s="676"/>
      <c r="W1" s="676"/>
      <c r="X1" s="676"/>
      <c r="Y1" s="6" t="s">
        <v>2094</v>
      </c>
      <c r="Z1" s="7" t="s">
        <v>2095</v>
      </c>
      <c r="AA1" s="677" t="s">
        <v>2096</v>
      </c>
      <c r="AB1" s="677"/>
      <c r="AC1" s="199" t="s">
        <v>2094</v>
      </c>
      <c r="AD1" s="7" t="s">
        <v>2097</v>
      </c>
      <c r="AE1" s="676" t="s">
        <v>2098</v>
      </c>
      <c r="AF1" s="678"/>
      <c r="AG1" s="678"/>
    </row>
    <row r="2" spans="1:33" ht="26.25" customHeight="1">
      <c r="A2" s="35">
        <v>46255</v>
      </c>
      <c r="B2" s="36" t="s">
        <v>780</v>
      </c>
      <c r="C2" s="2" t="s">
        <v>2099</v>
      </c>
      <c r="D2" s="10">
        <f>AVERAGE(N8,N11,N44,N52,N19,N59,N27,N33,N40,N65)</f>
        <v>148.45146373080883</v>
      </c>
      <c r="E2" s="11" t="s">
        <v>14</v>
      </c>
      <c r="F2" s="12">
        <f>F1/D1</f>
        <v>34.616667686681907</v>
      </c>
      <c r="G2" s="1" t="s">
        <v>2100</v>
      </c>
      <c r="H2" s="411">
        <f>COUNT(H5:H65)</f>
        <v>1</v>
      </c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14">
        <f>SUM(Y8+Y11+Y19+Y27+Y33+Y40+Y44+Y52+Y59+Y65)</f>
        <v>0</v>
      </c>
      <c r="Z2" s="14">
        <f>SUM(Z8+Z11+Z19+Z27+Z33+Z40+Z44+Z52+Z59+Z65)</f>
        <v>0</v>
      </c>
      <c r="AA2" s="677"/>
      <c r="AB2" s="677"/>
      <c r="AC2" s="200">
        <v>51</v>
      </c>
      <c r="AD2" s="14">
        <f>SUM(AD8+AD11+AD19+AD27+AD33+AD40+AD44+AD52+AD59+AD65)</f>
        <v>0</v>
      </c>
      <c r="AE2" s="678"/>
      <c r="AF2" s="678"/>
      <c r="AG2" s="678"/>
    </row>
    <row r="3" spans="1:33" ht="40.5" customHeight="1">
      <c r="A3" s="632" t="s">
        <v>2101</v>
      </c>
      <c r="B3" s="632" t="s">
        <v>2102</v>
      </c>
      <c r="C3" s="632" t="s">
        <v>2103</v>
      </c>
      <c r="D3" s="632"/>
      <c r="E3" s="674" t="s">
        <v>2104</v>
      </c>
      <c r="F3" s="632" t="s">
        <v>2105</v>
      </c>
      <c r="G3" s="674" t="s">
        <v>2106</v>
      </c>
      <c r="H3" s="667" t="s">
        <v>2034</v>
      </c>
      <c r="I3" s="665" t="s">
        <v>2035</v>
      </c>
      <c r="J3" s="662" t="s">
        <v>2107</v>
      </c>
      <c r="K3" s="672" t="s">
        <v>2064</v>
      </c>
      <c r="L3" s="665" t="s">
        <v>2108</v>
      </c>
      <c r="M3" s="662" t="s">
        <v>2107</v>
      </c>
      <c r="N3" s="672" t="s">
        <v>2064</v>
      </c>
      <c r="O3" s="665" t="s">
        <v>2108</v>
      </c>
      <c r="P3" s="672" t="s">
        <v>2064</v>
      </c>
      <c r="Q3" s="663" t="s">
        <v>2109</v>
      </c>
      <c r="R3" s="641" t="s">
        <v>2110</v>
      </c>
      <c r="S3" s="673" t="s">
        <v>29</v>
      </c>
      <c r="T3" s="673"/>
      <c r="U3" s="667" t="s">
        <v>30</v>
      </c>
      <c r="V3" s="667" t="s">
        <v>2111</v>
      </c>
      <c r="W3" s="632" t="s">
        <v>2036</v>
      </c>
      <c r="X3" s="632"/>
      <c r="Y3" s="668" t="s">
        <v>2112</v>
      </c>
      <c r="Z3" s="631"/>
      <c r="AA3" s="669" t="s">
        <v>2037</v>
      </c>
      <c r="AB3" s="670"/>
      <c r="AC3" s="668" t="s">
        <v>2113</v>
      </c>
      <c r="AD3" s="631"/>
      <c r="AE3" s="662" t="s">
        <v>2107</v>
      </c>
      <c r="AF3" s="663" t="s">
        <v>2114</v>
      </c>
      <c r="AG3" s="641" t="s">
        <v>2038</v>
      </c>
    </row>
    <row r="4" spans="1:33" ht="15.75" customHeight="1">
      <c r="A4" s="632"/>
      <c r="B4" s="632"/>
      <c r="C4" s="632"/>
      <c r="D4" s="632"/>
      <c r="E4" s="675"/>
      <c r="F4" s="632"/>
      <c r="G4" s="675"/>
      <c r="H4" s="667"/>
      <c r="I4" s="665"/>
      <c r="J4" s="662"/>
      <c r="K4" s="672"/>
      <c r="L4" s="665"/>
      <c r="M4" s="662"/>
      <c r="N4" s="672"/>
      <c r="O4" s="665"/>
      <c r="P4" s="672"/>
      <c r="Q4" s="663"/>
      <c r="R4" s="641"/>
      <c r="S4" s="410" t="s">
        <v>39</v>
      </c>
      <c r="T4" s="410" t="s">
        <v>40</v>
      </c>
      <c r="U4" s="667"/>
      <c r="V4" s="667"/>
      <c r="W4" s="397" t="s">
        <v>2115</v>
      </c>
      <c r="X4" s="397" t="s">
        <v>2039</v>
      </c>
      <c r="Y4" s="399" t="s">
        <v>2040</v>
      </c>
      <c r="Z4" s="399" t="s">
        <v>2116</v>
      </c>
      <c r="AA4" s="671"/>
      <c r="AB4" s="670"/>
      <c r="AC4" s="399" t="s">
        <v>2117</v>
      </c>
      <c r="AD4" s="399" t="s">
        <v>2041</v>
      </c>
      <c r="AE4" s="662"/>
      <c r="AF4" s="663"/>
      <c r="AG4" s="641"/>
    </row>
    <row r="5" spans="1:33">
      <c r="A5" s="664" t="s">
        <v>2042</v>
      </c>
      <c r="B5" s="42" t="s">
        <v>92</v>
      </c>
      <c r="C5" s="666" t="s">
        <v>93</v>
      </c>
      <c r="D5" s="666"/>
      <c r="E5" s="42">
        <v>50.92</v>
      </c>
      <c r="F5" s="410">
        <v>1796</v>
      </c>
      <c r="G5" s="397">
        <f t="shared" ref="G5:G7" si="0">E5*F5</f>
        <v>91452.32</v>
      </c>
      <c r="H5" s="37" t="s">
        <v>91</v>
      </c>
      <c r="I5" s="408">
        <v>15</v>
      </c>
      <c r="J5" s="39">
        <v>2000</v>
      </c>
      <c r="K5" s="17">
        <f t="shared" ref="K5:K65" si="1">J5/I5</f>
        <v>133.33333333333334</v>
      </c>
      <c r="L5" s="408">
        <v>15</v>
      </c>
      <c r="M5" s="18">
        <f t="shared" ref="M5:M7" si="2">F5/V5*60</f>
        <v>1924.2857142857158</v>
      </c>
      <c r="N5" s="17">
        <f t="shared" ref="N5:N65" si="3">M5/L5</f>
        <v>128.28571428571439</v>
      </c>
      <c r="O5" s="19">
        <f t="shared" ref="O5:O65" si="4">L5-I5</f>
        <v>0</v>
      </c>
      <c r="P5" s="20">
        <f t="shared" ref="P5:P65" si="5">N5-K5</f>
        <v>-5.0476190476189515</v>
      </c>
      <c r="Q5" s="400">
        <f t="shared" ref="Q5:Q65" si="6">N5/K5</f>
        <v>0.96214285714285785</v>
      </c>
      <c r="R5" s="637">
        <f>Q8</f>
        <v>0.95623175883256584</v>
      </c>
      <c r="S5" s="40">
        <v>0.70833333333333337</v>
      </c>
      <c r="T5" s="40">
        <v>0.74722222222222223</v>
      </c>
      <c r="U5" s="397"/>
      <c r="V5" s="409">
        <f t="shared" ref="V5:V7" si="7">(T5-S5)*24*60</f>
        <v>55.999999999999957</v>
      </c>
      <c r="W5" s="23"/>
      <c r="X5" s="23"/>
      <c r="Y5" s="24"/>
      <c r="Z5" s="24"/>
      <c r="AA5" s="632"/>
      <c r="AB5" s="632"/>
      <c r="AC5" s="135">
        <v>3</v>
      </c>
      <c r="AD5" s="25"/>
      <c r="AE5" s="19">
        <f t="shared" ref="AE5:AE51" si="8">M5-J5</f>
        <v>-75.714285714284188</v>
      </c>
      <c r="AF5" s="400">
        <f t="shared" ref="AF5:AF65" si="9">M5/J5</f>
        <v>0.96214285714285785</v>
      </c>
      <c r="AG5" s="637">
        <f>AF8</f>
        <v>0.95623175883256595</v>
      </c>
    </row>
    <row r="6" spans="1:33">
      <c r="A6" s="665" t="s">
        <v>47</v>
      </c>
      <c r="B6" s="42" t="s">
        <v>92</v>
      </c>
      <c r="C6" s="666" t="s">
        <v>94</v>
      </c>
      <c r="D6" s="666"/>
      <c r="E6" s="42">
        <v>50.98</v>
      </c>
      <c r="F6" s="410">
        <v>1973</v>
      </c>
      <c r="G6" s="397">
        <f t="shared" si="0"/>
        <v>100583.54</v>
      </c>
      <c r="H6" s="37" t="s">
        <v>91</v>
      </c>
      <c r="I6" s="408">
        <v>16</v>
      </c>
      <c r="J6" s="39">
        <v>2000</v>
      </c>
      <c r="K6" s="17">
        <f t="shared" si="1"/>
        <v>125</v>
      </c>
      <c r="L6" s="408">
        <v>16</v>
      </c>
      <c r="M6" s="18">
        <f t="shared" si="2"/>
        <v>1909.3548387096791</v>
      </c>
      <c r="N6" s="17">
        <f t="shared" si="3"/>
        <v>119.33467741935495</v>
      </c>
      <c r="O6" s="19">
        <f t="shared" si="4"/>
        <v>0</v>
      </c>
      <c r="P6" s="20">
        <f t="shared" si="5"/>
        <v>-5.6653225806450536</v>
      </c>
      <c r="Q6" s="400">
        <f t="shared" si="6"/>
        <v>0.95467741935483952</v>
      </c>
      <c r="R6" s="637"/>
      <c r="S6" s="40">
        <v>0.75208333333333333</v>
      </c>
      <c r="T6" s="40">
        <v>0.79513888888888884</v>
      </c>
      <c r="U6" s="397">
        <f t="shared" ref="U6:U7" si="10">IF(S6=TIME(17,0,0),"",(S6-T5)*24*60)</f>
        <v>6.9999999999999751</v>
      </c>
      <c r="V6" s="409">
        <f t="shared" si="7"/>
        <v>61.999999999999943</v>
      </c>
      <c r="W6" s="23"/>
      <c r="X6" s="23"/>
      <c r="Y6" s="23"/>
      <c r="Z6" s="23"/>
      <c r="AA6" s="632"/>
      <c r="AB6" s="632"/>
      <c r="AC6" s="135"/>
      <c r="AD6" s="25"/>
      <c r="AE6" s="19">
        <f t="shared" si="8"/>
        <v>-90.645161290320857</v>
      </c>
      <c r="AF6" s="400">
        <f t="shared" si="9"/>
        <v>0.95467741935483952</v>
      </c>
      <c r="AG6" s="637"/>
    </row>
    <row r="7" spans="1:33">
      <c r="A7" s="665" t="s">
        <v>47</v>
      </c>
      <c r="B7" s="42" t="s">
        <v>92</v>
      </c>
      <c r="C7" s="660" t="s">
        <v>109</v>
      </c>
      <c r="D7" s="661"/>
      <c r="E7" s="42">
        <v>50.49</v>
      </c>
      <c r="F7" s="410">
        <v>1523</v>
      </c>
      <c r="G7" s="397">
        <f t="shared" si="0"/>
        <v>76896.27</v>
      </c>
      <c r="H7" s="37" t="s">
        <v>91</v>
      </c>
      <c r="I7" s="408">
        <v>15</v>
      </c>
      <c r="J7" s="39">
        <v>2000</v>
      </c>
      <c r="K7" s="17">
        <f t="shared" si="1"/>
        <v>133.33333333333334</v>
      </c>
      <c r="L7" s="408">
        <v>15</v>
      </c>
      <c r="M7" s="18">
        <f t="shared" si="2"/>
        <v>1903.7500000000005</v>
      </c>
      <c r="N7" s="17">
        <f t="shared" si="3"/>
        <v>126.9166666666667</v>
      </c>
      <c r="O7" s="19">
        <f t="shared" si="4"/>
        <v>0</v>
      </c>
      <c r="P7" s="20">
        <f t="shared" si="5"/>
        <v>-6.416666666666643</v>
      </c>
      <c r="Q7" s="400">
        <f t="shared" si="6"/>
        <v>0.95187500000000014</v>
      </c>
      <c r="R7" s="637"/>
      <c r="S7" s="40">
        <v>0.79999999999999993</v>
      </c>
      <c r="T7" s="40">
        <v>0.83333333333333326</v>
      </c>
      <c r="U7" s="397">
        <f t="shared" si="10"/>
        <v>6.9999999999999751</v>
      </c>
      <c r="V7" s="409">
        <f t="shared" si="7"/>
        <v>47.999999999999986</v>
      </c>
      <c r="W7" s="23"/>
      <c r="X7" s="23"/>
      <c r="Y7" s="26"/>
      <c r="Z7" s="26"/>
      <c r="AA7" s="627"/>
      <c r="AB7" s="628"/>
      <c r="AC7" s="135"/>
      <c r="AD7" s="27"/>
      <c r="AE7" s="19">
        <f t="shared" si="8"/>
        <v>-96.249999999999545</v>
      </c>
      <c r="AF7" s="400">
        <f t="shared" si="9"/>
        <v>0.95187500000000025</v>
      </c>
      <c r="AG7" s="637"/>
    </row>
    <row r="8" spans="1:33">
      <c r="A8" s="665" t="s">
        <v>47</v>
      </c>
      <c r="B8" s="42" t="s">
        <v>57</v>
      </c>
      <c r="C8" s="638"/>
      <c r="D8" s="638"/>
      <c r="E8" s="405"/>
      <c r="F8" s="44"/>
      <c r="G8" s="17"/>
      <c r="H8" s="410"/>
      <c r="I8" s="29">
        <v>15.333333333333334</v>
      </c>
      <c r="J8" s="39">
        <v>2000</v>
      </c>
      <c r="K8" s="17">
        <f t="shared" si="1"/>
        <v>130.43478260869566</v>
      </c>
      <c r="L8" s="29">
        <v>15.333333333333334</v>
      </c>
      <c r="M8" s="18">
        <f>AVERAGE(M5:M7)</f>
        <v>1912.4635176651318</v>
      </c>
      <c r="N8" s="17">
        <f t="shared" si="3"/>
        <v>124.72588158685642</v>
      </c>
      <c r="O8" s="19">
        <f t="shared" si="4"/>
        <v>0</v>
      </c>
      <c r="P8" s="20">
        <f t="shared" si="5"/>
        <v>-5.7089010218392389</v>
      </c>
      <c r="Q8" s="400">
        <f t="shared" si="6"/>
        <v>0.95623175883256584</v>
      </c>
      <c r="R8" s="637"/>
      <c r="S8" s="40"/>
      <c r="T8" s="40"/>
      <c r="U8" s="397"/>
      <c r="V8" s="409"/>
      <c r="W8" s="17"/>
      <c r="X8" s="17"/>
      <c r="Y8" s="30">
        <f>SUM(Y5:Y7)</f>
        <v>0</v>
      </c>
      <c r="Z8" s="30">
        <f>SUM(Z5:Z7)</f>
        <v>0</v>
      </c>
      <c r="AA8" s="631"/>
      <c r="AB8" s="631"/>
      <c r="AC8" s="30">
        <v>3</v>
      </c>
      <c r="AD8" s="30">
        <f>SUM(AD5:AD7)</f>
        <v>0</v>
      </c>
      <c r="AE8" s="19">
        <f t="shared" si="8"/>
        <v>-87.536482334868197</v>
      </c>
      <c r="AF8" s="400">
        <f t="shared" si="9"/>
        <v>0.95623175883256595</v>
      </c>
      <c r="AG8" s="637"/>
    </row>
    <row r="9" spans="1:33" ht="15.75" customHeight="1">
      <c r="A9" s="659" t="s">
        <v>610</v>
      </c>
      <c r="B9" s="42" t="s">
        <v>96</v>
      </c>
      <c r="C9" s="660" t="s">
        <v>100</v>
      </c>
      <c r="D9" s="661"/>
      <c r="E9" s="42">
        <v>39.619999999999997</v>
      </c>
      <c r="F9" s="410">
        <v>3758</v>
      </c>
      <c r="G9" s="397">
        <f t="shared" ref="G9:G10" si="11">E9*F9</f>
        <v>148891.96</v>
      </c>
      <c r="H9" s="37" t="s">
        <v>91</v>
      </c>
      <c r="I9" s="408">
        <v>19</v>
      </c>
      <c r="J9" s="39">
        <v>1500</v>
      </c>
      <c r="K9" s="17">
        <f t="shared" si="1"/>
        <v>78.94736842105263</v>
      </c>
      <c r="L9" s="408">
        <v>19</v>
      </c>
      <c r="M9" s="18">
        <f t="shared" ref="M9:M10" si="12">F9/V9*60</f>
        <v>1427.088607594937</v>
      </c>
      <c r="N9" s="17">
        <f t="shared" si="3"/>
        <v>75.109926715523002</v>
      </c>
      <c r="O9" s="19">
        <f t="shared" si="4"/>
        <v>0</v>
      </c>
      <c r="P9" s="20">
        <f t="shared" si="5"/>
        <v>-3.8374417055296277</v>
      </c>
      <c r="Q9" s="400">
        <f t="shared" si="6"/>
        <v>0.95139240506329137</v>
      </c>
      <c r="R9" s="637">
        <f>Q11</f>
        <v>0.95190765627613916</v>
      </c>
      <c r="S9" s="40">
        <v>8.3333333333333329E-2</v>
      </c>
      <c r="T9" s="40">
        <v>0.19305555555555554</v>
      </c>
      <c r="U9" s="397"/>
      <c r="V9" s="409">
        <f t="shared" ref="V9:V10" si="13">(T9-S9)*24*60</f>
        <v>157.99999999999997</v>
      </c>
      <c r="W9" s="23">
        <f>T9</f>
        <v>0.19305555555555554</v>
      </c>
      <c r="X9" s="23">
        <f>S10</f>
        <v>0.21041666666666661</v>
      </c>
      <c r="Y9" s="23"/>
      <c r="Z9" s="23"/>
      <c r="AA9" s="632"/>
      <c r="AB9" s="632"/>
      <c r="AC9" s="135">
        <v>2</v>
      </c>
      <c r="AD9" s="25"/>
      <c r="AE9" s="19">
        <f t="shared" si="8"/>
        <v>-72.911392405062998</v>
      </c>
      <c r="AF9" s="400">
        <f t="shared" si="9"/>
        <v>0.95139240506329137</v>
      </c>
      <c r="AG9" s="637">
        <f>AF11</f>
        <v>0.95190765627613916</v>
      </c>
    </row>
    <row r="10" spans="1:33" ht="15.75" customHeight="1">
      <c r="A10" s="659" t="s">
        <v>2118</v>
      </c>
      <c r="B10" s="42" t="s">
        <v>96</v>
      </c>
      <c r="C10" s="660" t="s">
        <v>97</v>
      </c>
      <c r="D10" s="661"/>
      <c r="E10" s="42">
        <v>39.799999999999997</v>
      </c>
      <c r="F10" s="410">
        <v>5405</v>
      </c>
      <c r="G10" s="397">
        <f t="shared" si="11"/>
        <v>215118.99999999997</v>
      </c>
      <c r="H10" s="37" t="s">
        <v>91</v>
      </c>
      <c r="I10" s="408">
        <v>17</v>
      </c>
      <c r="J10" s="39">
        <v>1500</v>
      </c>
      <c r="K10" s="17">
        <f t="shared" si="1"/>
        <v>88.235294117647058</v>
      </c>
      <c r="L10" s="408">
        <v>17</v>
      </c>
      <c r="M10" s="18">
        <f t="shared" si="12"/>
        <v>1428.6343612334804</v>
      </c>
      <c r="N10" s="17">
        <f t="shared" si="3"/>
        <v>84.037315366675315</v>
      </c>
      <c r="O10" s="19">
        <f t="shared" si="4"/>
        <v>0</v>
      </c>
      <c r="P10" s="20">
        <f t="shared" si="5"/>
        <v>-4.1979787509717426</v>
      </c>
      <c r="Q10" s="400">
        <f t="shared" si="6"/>
        <v>0.95242290748898695</v>
      </c>
      <c r="R10" s="637"/>
      <c r="S10" s="40">
        <v>0.21041666666666661</v>
      </c>
      <c r="T10" s="40">
        <v>0.36805555555555547</v>
      </c>
      <c r="U10" s="397">
        <f t="shared" ref="U10" si="14">IF(S10=TIME(17,0,0),"",(S10-T9)*24*60)</f>
        <v>24.99999999999995</v>
      </c>
      <c r="V10" s="409">
        <f t="shared" si="13"/>
        <v>226.99999999999994</v>
      </c>
      <c r="W10" s="23"/>
      <c r="X10" s="23"/>
      <c r="Y10" s="23"/>
      <c r="Z10" s="23"/>
      <c r="AA10" s="632"/>
      <c r="AB10" s="632"/>
      <c r="AC10" s="135"/>
      <c r="AD10" s="25"/>
      <c r="AE10" s="19">
        <f t="shared" si="8"/>
        <v>-71.365638766519623</v>
      </c>
      <c r="AF10" s="400">
        <f t="shared" si="9"/>
        <v>0.95242290748898695</v>
      </c>
      <c r="AG10" s="637"/>
    </row>
    <row r="11" spans="1:33" ht="16.5" customHeight="1">
      <c r="A11" s="659" t="s">
        <v>610</v>
      </c>
      <c r="B11" s="42" t="s">
        <v>57</v>
      </c>
      <c r="C11" s="638"/>
      <c r="D11" s="638"/>
      <c r="E11" s="405"/>
      <c r="F11" s="39"/>
      <c r="G11" s="18"/>
      <c r="H11" s="410"/>
      <c r="I11" s="29">
        <v>18</v>
      </c>
      <c r="J11" s="39">
        <v>1500</v>
      </c>
      <c r="K11" s="17">
        <f t="shared" si="1"/>
        <v>83.333333333333329</v>
      </c>
      <c r="L11" s="29">
        <v>18</v>
      </c>
      <c r="M11" s="18">
        <f>AVERAGE(M9:M10)</f>
        <v>1427.8614844142087</v>
      </c>
      <c r="N11" s="17">
        <f t="shared" si="3"/>
        <v>79.325638023011592</v>
      </c>
      <c r="O11" s="19">
        <f t="shared" si="4"/>
        <v>0</v>
      </c>
      <c r="P11" s="20">
        <f t="shared" si="5"/>
        <v>-4.0076953103217363</v>
      </c>
      <c r="Q11" s="400">
        <f t="shared" si="6"/>
        <v>0.95190765627613916</v>
      </c>
      <c r="R11" s="637"/>
      <c r="S11" s="40"/>
      <c r="T11" s="40"/>
      <c r="U11" s="17"/>
      <c r="V11" s="409"/>
      <c r="W11" s="17"/>
      <c r="X11" s="17"/>
      <c r="Y11" s="30">
        <f>SUM(Y9:Y10)</f>
        <v>0</v>
      </c>
      <c r="Z11" s="30">
        <f>SUM(Z9:Z10)</f>
        <v>0</v>
      </c>
      <c r="AA11" s="631"/>
      <c r="AB11" s="631"/>
      <c r="AC11" s="30">
        <v>2</v>
      </c>
      <c r="AD11" s="30">
        <f>SUM(AD9:AD10)</f>
        <v>0</v>
      </c>
      <c r="AE11" s="19">
        <f t="shared" si="8"/>
        <v>-72.138515585791311</v>
      </c>
      <c r="AF11" s="400">
        <f t="shared" si="9"/>
        <v>0.95190765627613916</v>
      </c>
      <c r="AG11" s="637"/>
    </row>
    <row r="12" spans="1:33" ht="16.5" customHeight="1">
      <c r="A12" s="657" t="s">
        <v>308</v>
      </c>
      <c r="B12" s="410" t="s">
        <v>101</v>
      </c>
      <c r="C12" s="653" t="s">
        <v>102</v>
      </c>
      <c r="D12" s="653"/>
      <c r="E12" s="42">
        <v>31.11</v>
      </c>
      <c r="F12" s="410">
        <v>2869</v>
      </c>
      <c r="G12" s="397">
        <f t="shared" ref="G12:G18" si="15">E12*F12</f>
        <v>89254.59</v>
      </c>
      <c r="H12" s="37" t="s">
        <v>91</v>
      </c>
      <c r="I12" s="408">
        <v>14</v>
      </c>
      <c r="J12" s="39">
        <v>2000</v>
      </c>
      <c r="K12" s="17">
        <f t="shared" si="1"/>
        <v>142.85714285714286</v>
      </c>
      <c r="L12" s="408">
        <v>14</v>
      </c>
      <c r="M12" s="18">
        <f t="shared" ref="M12:M18" si="16">F12/V12*60</f>
        <v>1912.6666666666658</v>
      </c>
      <c r="N12" s="17">
        <f t="shared" si="3"/>
        <v>136.61904761904756</v>
      </c>
      <c r="O12" s="19">
        <f t="shared" si="4"/>
        <v>0</v>
      </c>
      <c r="P12" s="20">
        <f t="shared" si="5"/>
        <v>-6.2380952380952976</v>
      </c>
      <c r="Q12" s="400">
        <f t="shared" si="6"/>
        <v>0.95633333333333292</v>
      </c>
      <c r="R12" s="637">
        <f>Q19</f>
        <v>0.95854076389811094</v>
      </c>
      <c r="S12" s="40">
        <v>0.20833333333333334</v>
      </c>
      <c r="T12" s="40">
        <v>0.27083333333333337</v>
      </c>
      <c r="U12" s="397"/>
      <c r="V12" s="409">
        <f t="shared" ref="V12:V18" si="17">(T12-S12)*24*60</f>
        <v>90.000000000000043</v>
      </c>
      <c r="W12" s="23"/>
      <c r="X12" s="23"/>
      <c r="Y12" s="28"/>
      <c r="Z12" s="28"/>
      <c r="AA12" s="632"/>
      <c r="AB12" s="632"/>
      <c r="AC12" s="135">
        <v>7</v>
      </c>
      <c r="AD12" s="25"/>
      <c r="AE12" s="19">
        <f t="shared" si="8"/>
        <v>-87.333333333334167</v>
      </c>
      <c r="AF12" s="400">
        <f t="shared" si="9"/>
        <v>0.95633333333333292</v>
      </c>
      <c r="AG12" s="637">
        <f>AF19</f>
        <v>0.95854076389811105</v>
      </c>
    </row>
    <row r="13" spans="1:33" ht="16.5" customHeight="1">
      <c r="A13" s="658" t="s">
        <v>308</v>
      </c>
      <c r="B13" s="410" t="s">
        <v>103</v>
      </c>
      <c r="C13" s="653" t="s">
        <v>105</v>
      </c>
      <c r="D13" s="653"/>
      <c r="E13" s="42">
        <v>41</v>
      </c>
      <c r="F13" s="410">
        <v>1356</v>
      </c>
      <c r="G13" s="397">
        <f t="shared" si="15"/>
        <v>55596</v>
      </c>
      <c r="H13" s="37" t="s">
        <v>91</v>
      </c>
      <c r="I13" s="408">
        <v>26</v>
      </c>
      <c r="J13" s="39">
        <v>1500</v>
      </c>
      <c r="K13" s="17">
        <f t="shared" si="1"/>
        <v>57.692307692307693</v>
      </c>
      <c r="L13" s="408">
        <v>26</v>
      </c>
      <c r="M13" s="18">
        <f t="shared" si="16"/>
        <v>1427.3684210526328</v>
      </c>
      <c r="N13" s="17">
        <f t="shared" si="3"/>
        <v>54.898785425101259</v>
      </c>
      <c r="O13" s="19">
        <f t="shared" si="4"/>
        <v>0</v>
      </c>
      <c r="P13" s="20">
        <f t="shared" si="5"/>
        <v>-2.7935222672064342</v>
      </c>
      <c r="Q13" s="400">
        <f t="shared" si="6"/>
        <v>0.95157894736842186</v>
      </c>
      <c r="R13" s="637"/>
      <c r="S13" s="40">
        <v>0.27638888888888891</v>
      </c>
      <c r="T13" s="40">
        <v>0.31597222222222221</v>
      </c>
      <c r="U13" s="397">
        <f t="shared" ref="U13:U18" si="18">IF(S13=TIME(17,0,0),"",(S13-T12)*24*60)</f>
        <v>7.9999999999999716</v>
      </c>
      <c r="V13" s="409">
        <f t="shared" si="17"/>
        <v>56.999999999999957</v>
      </c>
      <c r="W13" s="23"/>
      <c r="X13" s="23"/>
      <c r="Y13" s="23"/>
      <c r="Z13" s="23"/>
      <c r="AA13" s="632"/>
      <c r="AB13" s="632"/>
      <c r="AC13" s="135"/>
      <c r="AD13" s="25"/>
      <c r="AE13" s="19">
        <f t="shared" si="8"/>
        <v>-72.631578947367188</v>
      </c>
      <c r="AF13" s="400">
        <f t="shared" si="9"/>
        <v>0.95157894736842186</v>
      </c>
      <c r="AG13" s="637"/>
    </row>
    <row r="14" spans="1:33" ht="16.5" customHeight="1">
      <c r="A14" s="658" t="s">
        <v>308</v>
      </c>
      <c r="B14" s="410" t="s">
        <v>96</v>
      </c>
      <c r="C14" s="653" t="s">
        <v>98</v>
      </c>
      <c r="D14" s="653"/>
      <c r="E14" s="42">
        <v>39.46</v>
      </c>
      <c r="F14" s="410">
        <v>1792</v>
      </c>
      <c r="G14" s="397">
        <f t="shared" si="15"/>
        <v>70712.320000000007</v>
      </c>
      <c r="H14" s="37" t="s">
        <v>91</v>
      </c>
      <c r="I14" s="408">
        <v>15</v>
      </c>
      <c r="J14" s="39">
        <v>1500</v>
      </c>
      <c r="K14" s="17">
        <f t="shared" si="1"/>
        <v>100</v>
      </c>
      <c r="L14" s="408">
        <v>15</v>
      </c>
      <c r="M14" s="18">
        <f t="shared" si="16"/>
        <v>1433.6000000000006</v>
      </c>
      <c r="N14" s="17">
        <f t="shared" si="3"/>
        <v>95.573333333333366</v>
      </c>
      <c r="O14" s="19">
        <f t="shared" si="4"/>
        <v>0</v>
      </c>
      <c r="P14" s="20">
        <f t="shared" si="5"/>
        <v>-4.4266666666666339</v>
      </c>
      <c r="Q14" s="400">
        <f t="shared" si="6"/>
        <v>0.95573333333333366</v>
      </c>
      <c r="R14" s="637"/>
      <c r="S14" s="40">
        <v>0.3208333333333333</v>
      </c>
      <c r="T14" s="40">
        <v>0.37291666666666662</v>
      </c>
      <c r="U14" s="397">
        <f t="shared" si="18"/>
        <v>6.9999999999999751</v>
      </c>
      <c r="V14" s="409">
        <f t="shared" si="17"/>
        <v>74.999999999999972</v>
      </c>
      <c r="W14" s="23"/>
      <c r="X14" s="23"/>
      <c r="Y14" s="23"/>
      <c r="Z14" s="23"/>
      <c r="AA14" s="632"/>
      <c r="AB14" s="632"/>
      <c r="AC14" s="135"/>
      <c r="AD14" s="25"/>
      <c r="AE14" s="19">
        <f t="shared" si="8"/>
        <v>-66.399999999999409</v>
      </c>
      <c r="AF14" s="400">
        <f t="shared" si="9"/>
        <v>0.95573333333333377</v>
      </c>
      <c r="AG14" s="637"/>
    </row>
    <row r="15" spans="1:33" ht="16.5" customHeight="1">
      <c r="A15" s="658" t="s">
        <v>2119</v>
      </c>
      <c r="B15" s="410" t="s">
        <v>96</v>
      </c>
      <c r="C15" s="653" t="s">
        <v>99</v>
      </c>
      <c r="D15" s="653"/>
      <c r="E15" s="42">
        <v>39.520000000000003</v>
      </c>
      <c r="F15" s="410">
        <v>1725</v>
      </c>
      <c r="G15" s="397">
        <f t="shared" si="15"/>
        <v>68172</v>
      </c>
      <c r="H15" s="37" t="s">
        <v>91</v>
      </c>
      <c r="I15" s="408">
        <v>19</v>
      </c>
      <c r="J15" s="39">
        <v>1500</v>
      </c>
      <c r="K15" s="17">
        <f t="shared" si="1"/>
        <v>78.94736842105263</v>
      </c>
      <c r="L15" s="408">
        <v>19</v>
      </c>
      <c r="M15" s="18">
        <f t="shared" si="16"/>
        <v>1437.5000000000005</v>
      </c>
      <c r="N15" s="17">
        <f t="shared" si="3"/>
        <v>75.657894736842124</v>
      </c>
      <c r="O15" s="19">
        <f t="shared" si="4"/>
        <v>0</v>
      </c>
      <c r="P15" s="20">
        <f t="shared" si="5"/>
        <v>-3.2894736842105061</v>
      </c>
      <c r="Q15" s="400">
        <f t="shared" si="6"/>
        <v>0.95833333333333359</v>
      </c>
      <c r="R15" s="637"/>
      <c r="S15" s="40">
        <v>0.37638888888888883</v>
      </c>
      <c r="T15" s="40">
        <v>0.42638888888888882</v>
      </c>
      <c r="U15" s="397">
        <f t="shared" si="18"/>
        <v>4.9999999999999822</v>
      </c>
      <c r="V15" s="409">
        <f t="shared" si="17"/>
        <v>71.999999999999986</v>
      </c>
      <c r="W15" s="23"/>
      <c r="X15" s="23"/>
      <c r="Y15" s="23"/>
      <c r="Z15" s="23"/>
      <c r="AA15" s="632"/>
      <c r="AB15" s="632"/>
      <c r="AC15" s="135"/>
      <c r="AD15" s="25"/>
      <c r="AE15" s="19">
        <f t="shared" si="8"/>
        <v>-62.499999999999545</v>
      </c>
      <c r="AF15" s="400">
        <f t="shared" si="9"/>
        <v>0.95833333333333359</v>
      </c>
      <c r="AG15" s="637"/>
    </row>
    <row r="16" spans="1:33" ht="16.5" customHeight="1">
      <c r="A16" s="658" t="s">
        <v>308</v>
      </c>
      <c r="B16" s="410" t="s">
        <v>92</v>
      </c>
      <c r="C16" s="653" t="s">
        <v>108</v>
      </c>
      <c r="D16" s="653"/>
      <c r="E16" s="42">
        <v>54.5</v>
      </c>
      <c r="F16" s="410">
        <v>960</v>
      </c>
      <c r="G16" s="397">
        <f t="shared" si="15"/>
        <v>52320</v>
      </c>
      <c r="H16" s="37" t="s">
        <v>91</v>
      </c>
      <c r="I16" s="408">
        <v>19</v>
      </c>
      <c r="J16" s="39">
        <v>1500</v>
      </c>
      <c r="K16" s="17">
        <f t="shared" si="1"/>
        <v>78.94736842105263</v>
      </c>
      <c r="L16" s="408">
        <v>19</v>
      </c>
      <c r="M16" s="18">
        <f t="shared" si="16"/>
        <v>1439.9999999999995</v>
      </c>
      <c r="N16" s="17">
        <f t="shared" si="3"/>
        <v>75.789473684210506</v>
      </c>
      <c r="O16" s="19">
        <f t="shared" si="4"/>
        <v>0</v>
      </c>
      <c r="P16" s="20">
        <f t="shared" si="5"/>
        <v>-3.157894736842124</v>
      </c>
      <c r="Q16" s="400">
        <f t="shared" si="6"/>
        <v>0.95999999999999974</v>
      </c>
      <c r="R16" s="637"/>
      <c r="S16" s="40">
        <v>0.70833333333333337</v>
      </c>
      <c r="T16" s="40">
        <v>0.73611111111111116</v>
      </c>
      <c r="U16" s="397" t="str">
        <f t="shared" si="18"/>
        <v/>
      </c>
      <c r="V16" s="409">
        <f t="shared" si="17"/>
        <v>40.000000000000014</v>
      </c>
      <c r="W16" s="23"/>
      <c r="X16" s="23"/>
      <c r="Y16" s="23"/>
      <c r="Z16" s="23"/>
      <c r="AA16" s="632"/>
      <c r="AB16" s="632"/>
      <c r="AC16" s="135"/>
      <c r="AD16" s="25"/>
      <c r="AE16" s="19">
        <f t="shared" si="8"/>
        <v>-60.000000000000455</v>
      </c>
      <c r="AF16" s="400">
        <f t="shared" si="9"/>
        <v>0.95999999999999974</v>
      </c>
      <c r="AG16" s="637"/>
    </row>
    <row r="17" spans="1:33" ht="16.5" customHeight="1">
      <c r="A17" s="658" t="s">
        <v>2119</v>
      </c>
      <c r="B17" s="410" t="s">
        <v>92</v>
      </c>
      <c r="C17" s="406" t="s">
        <v>107</v>
      </c>
      <c r="D17" s="407"/>
      <c r="E17" s="42">
        <v>50.67</v>
      </c>
      <c r="F17" s="410">
        <v>1324</v>
      </c>
      <c r="G17" s="397">
        <f t="shared" si="15"/>
        <v>67087.08</v>
      </c>
      <c r="H17" s="37" t="s">
        <v>91</v>
      </c>
      <c r="I17" s="408">
        <v>17</v>
      </c>
      <c r="J17" s="39">
        <v>2000</v>
      </c>
      <c r="K17" s="17">
        <f t="shared" si="1"/>
        <v>117.64705882352941</v>
      </c>
      <c r="L17" s="408">
        <v>17</v>
      </c>
      <c r="M17" s="18">
        <f t="shared" si="16"/>
        <v>1937.5609756097556</v>
      </c>
      <c r="N17" s="17">
        <f t="shared" si="3"/>
        <v>113.97417503586797</v>
      </c>
      <c r="O17" s="19">
        <f t="shared" si="4"/>
        <v>0</v>
      </c>
      <c r="P17" s="20">
        <f t="shared" si="5"/>
        <v>-3.6728837876614335</v>
      </c>
      <c r="Q17" s="400">
        <f t="shared" si="6"/>
        <v>0.9687804878048778</v>
      </c>
      <c r="R17" s="637"/>
      <c r="S17" s="40">
        <v>0.73958333333333337</v>
      </c>
      <c r="T17" s="40">
        <v>0.7680555555555556</v>
      </c>
      <c r="U17" s="397">
        <f t="shared" si="18"/>
        <v>4.9999999999999822</v>
      </c>
      <c r="V17" s="409">
        <f t="shared" si="17"/>
        <v>41.000000000000014</v>
      </c>
      <c r="W17" s="23"/>
      <c r="X17" s="23"/>
      <c r="Y17" s="26"/>
      <c r="Z17" s="26"/>
      <c r="AA17" s="403"/>
      <c r="AB17" s="404"/>
      <c r="AC17" s="135"/>
      <c r="AD17" s="25"/>
      <c r="AE17" s="19">
        <f t="shared" si="8"/>
        <v>-62.439024390244413</v>
      </c>
      <c r="AF17" s="400">
        <f t="shared" si="9"/>
        <v>0.9687804878048778</v>
      </c>
      <c r="AG17" s="637"/>
    </row>
    <row r="18" spans="1:33" ht="16.5" customHeight="1">
      <c r="A18" s="658" t="s">
        <v>308</v>
      </c>
      <c r="B18" s="410" t="s">
        <v>92</v>
      </c>
      <c r="C18" s="406" t="s">
        <v>114</v>
      </c>
      <c r="D18" s="407"/>
      <c r="E18" s="42">
        <v>54.09</v>
      </c>
      <c r="F18" s="410">
        <v>1850</v>
      </c>
      <c r="G18" s="397">
        <f t="shared" si="15"/>
        <v>100066.5</v>
      </c>
      <c r="H18" s="37" t="s">
        <v>91</v>
      </c>
      <c r="I18" s="408">
        <v>18</v>
      </c>
      <c r="J18" s="39">
        <v>2000</v>
      </c>
      <c r="K18" s="17">
        <f t="shared" si="1"/>
        <v>111.11111111111111</v>
      </c>
      <c r="L18" s="408">
        <v>18</v>
      </c>
      <c r="M18" s="18">
        <f t="shared" si="16"/>
        <v>1913.7931034482772</v>
      </c>
      <c r="N18" s="17">
        <f t="shared" si="3"/>
        <v>106.32183908045984</v>
      </c>
      <c r="O18" s="19">
        <f t="shared" si="4"/>
        <v>0</v>
      </c>
      <c r="P18" s="20">
        <f t="shared" si="5"/>
        <v>-4.7892720306512757</v>
      </c>
      <c r="Q18" s="400">
        <f t="shared" si="6"/>
        <v>0.95689655172413857</v>
      </c>
      <c r="R18" s="637"/>
      <c r="S18" s="40">
        <v>0.77222222222222225</v>
      </c>
      <c r="T18" s="40">
        <v>0.8125</v>
      </c>
      <c r="U18" s="397">
        <f t="shared" si="18"/>
        <v>5.9999999999999787</v>
      </c>
      <c r="V18" s="409">
        <f t="shared" si="17"/>
        <v>57.999999999999957</v>
      </c>
      <c r="W18" s="23"/>
      <c r="X18" s="23"/>
      <c r="Y18" s="26"/>
      <c r="Z18" s="26"/>
      <c r="AA18" s="403"/>
      <c r="AB18" s="404"/>
      <c r="AC18" s="135"/>
      <c r="AD18" s="25"/>
      <c r="AE18" s="19">
        <f t="shared" si="8"/>
        <v>-86.206896551722821</v>
      </c>
      <c r="AF18" s="400">
        <f t="shared" si="9"/>
        <v>0.95689655172413857</v>
      </c>
      <c r="AG18" s="637"/>
    </row>
    <row r="19" spans="1:33" ht="16.5" customHeight="1">
      <c r="A19" s="658" t="s">
        <v>308</v>
      </c>
      <c r="B19" s="42" t="s">
        <v>2120</v>
      </c>
      <c r="C19" s="638"/>
      <c r="D19" s="638"/>
      <c r="E19" s="405"/>
      <c r="F19" s="44"/>
      <c r="G19" s="17"/>
      <c r="H19" s="410"/>
      <c r="I19" s="29">
        <v>18.285714285714285</v>
      </c>
      <c r="J19" s="39">
        <v>1714.2857142857142</v>
      </c>
      <c r="K19" s="17">
        <f t="shared" si="1"/>
        <v>93.75</v>
      </c>
      <c r="L19" s="29">
        <v>18.285714285714285</v>
      </c>
      <c r="M19" s="18">
        <f>AVERAGE(M12:M18)</f>
        <v>1643.2127381110474</v>
      </c>
      <c r="N19" s="17">
        <f t="shared" si="3"/>
        <v>89.863196615447904</v>
      </c>
      <c r="O19" s="19">
        <f t="shared" si="4"/>
        <v>0</v>
      </c>
      <c r="P19" s="20">
        <f t="shared" si="5"/>
        <v>-3.8868033845520955</v>
      </c>
      <c r="Q19" s="400">
        <f t="shared" si="6"/>
        <v>0.95854076389811094</v>
      </c>
      <c r="R19" s="637"/>
      <c r="S19" s="40"/>
      <c r="T19" s="40"/>
      <c r="U19" s="397"/>
      <c r="V19" s="409"/>
      <c r="W19" s="17"/>
      <c r="X19" s="17"/>
      <c r="Y19" s="30">
        <f>SUM(Y12:Y18)</f>
        <v>0</v>
      </c>
      <c r="Z19" s="30">
        <f>SUM(Z12:Z18)</f>
        <v>0</v>
      </c>
      <c r="AA19" s="631"/>
      <c r="AB19" s="631"/>
      <c r="AC19" s="30">
        <v>7</v>
      </c>
      <c r="AD19" s="30">
        <f>SUM(AD12:AD18)</f>
        <v>0</v>
      </c>
      <c r="AE19" s="19">
        <f t="shared" si="8"/>
        <v>-71.072976174666792</v>
      </c>
      <c r="AF19" s="400">
        <f t="shared" si="9"/>
        <v>0.95854076389811105</v>
      </c>
      <c r="AG19" s="637"/>
    </row>
    <row r="20" spans="1:33" ht="15.75" customHeight="1">
      <c r="A20" s="655" t="s">
        <v>2121</v>
      </c>
      <c r="B20" s="42" t="s">
        <v>92</v>
      </c>
      <c r="C20" s="653" t="s">
        <v>110</v>
      </c>
      <c r="D20" s="653"/>
      <c r="E20" s="42">
        <v>50.67</v>
      </c>
      <c r="F20" s="410">
        <v>1174</v>
      </c>
      <c r="G20" s="397">
        <f t="shared" ref="G20:G26" si="19">E20*F20</f>
        <v>59486.58</v>
      </c>
      <c r="H20" s="37" t="s">
        <v>91</v>
      </c>
      <c r="I20" s="408">
        <v>17</v>
      </c>
      <c r="J20" s="39">
        <v>2000</v>
      </c>
      <c r="K20" s="17">
        <f t="shared" si="1"/>
        <v>117.64705882352941</v>
      </c>
      <c r="L20" s="408">
        <v>17</v>
      </c>
      <c r="M20" s="18">
        <f t="shared" ref="M20:M26" si="20">F20/V20*60</f>
        <v>1903.7837837837844</v>
      </c>
      <c r="N20" s="17">
        <f t="shared" si="3"/>
        <v>111.98728139904614</v>
      </c>
      <c r="O20" s="19">
        <f t="shared" si="4"/>
        <v>0</v>
      </c>
      <c r="P20" s="20">
        <f t="shared" si="5"/>
        <v>-5.6597774244832664</v>
      </c>
      <c r="Q20" s="400">
        <f t="shared" si="6"/>
        <v>0.95189189189189227</v>
      </c>
      <c r="R20" s="637">
        <f>Q27</f>
        <v>0.96092250636590049</v>
      </c>
      <c r="S20" s="40">
        <v>0.20833333333333334</v>
      </c>
      <c r="T20" s="40">
        <v>0.23402777777777778</v>
      </c>
      <c r="U20" s="397"/>
      <c r="V20" s="409">
        <f t="shared" ref="V20:V26" si="21">(T20-S20)*24*60</f>
        <v>36.999999999999986</v>
      </c>
      <c r="W20" s="23"/>
      <c r="X20" s="23"/>
      <c r="Y20" s="28"/>
      <c r="Z20" s="28"/>
      <c r="AA20" s="632"/>
      <c r="AB20" s="632"/>
      <c r="AC20" s="135">
        <v>7</v>
      </c>
      <c r="AD20" s="25"/>
      <c r="AE20" s="19">
        <f t="shared" si="8"/>
        <v>-96.216216216215571</v>
      </c>
      <c r="AF20" s="400">
        <f t="shared" si="9"/>
        <v>0.95189189189189216</v>
      </c>
      <c r="AG20" s="637">
        <f>AF27</f>
        <v>0.96092250636590038</v>
      </c>
    </row>
    <row r="21" spans="1:33" ht="15.75" customHeight="1">
      <c r="A21" s="656" t="s">
        <v>2121</v>
      </c>
      <c r="B21" s="42" t="s">
        <v>92</v>
      </c>
      <c r="C21" s="653" t="s">
        <v>111</v>
      </c>
      <c r="D21" s="653"/>
      <c r="E21" s="42">
        <v>57.73</v>
      </c>
      <c r="F21" s="410">
        <v>1964</v>
      </c>
      <c r="G21" s="397">
        <f t="shared" si="19"/>
        <v>113381.71999999999</v>
      </c>
      <c r="H21" s="37" t="s">
        <v>91</v>
      </c>
      <c r="I21" s="408">
        <v>14</v>
      </c>
      <c r="J21" s="39">
        <v>2000</v>
      </c>
      <c r="K21" s="17">
        <f t="shared" si="1"/>
        <v>142.85714285714286</v>
      </c>
      <c r="L21" s="408">
        <v>14</v>
      </c>
      <c r="M21" s="18">
        <f t="shared" si="20"/>
        <v>1931.8032786885249</v>
      </c>
      <c r="N21" s="17">
        <f t="shared" si="3"/>
        <v>137.98594847775178</v>
      </c>
      <c r="O21" s="19">
        <f t="shared" si="4"/>
        <v>0</v>
      </c>
      <c r="P21" s="20">
        <f t="shared" si="5"/>
        <v>-4.8711943793910848</v>
      </c>
      <c r="Q21" s="400">
        <f t="shared" si="6"/>
        <v>0.96590163934426243</v>
      </c>
      <c r="R21" s="637"/>
      <c r="S21" s="40">
        <v>0.23819444444444446</v>
      </c>
      <c r="T21" s="40">
        <v>0.28055555555555556</v>
      </c>
      <c r="U21" s="397">
        <f t="shared" ref="U21:U26" si="22">IF(S21=TIME(17,0,0),"",(S21-T20)*24*60)</f>
        <v>6.0000000000000187</v>
      </c>
      <c r="V21" s="409">
        <f t="shared" si="21"/>
        <v>60.999999999999986</v>
      </c>
      <c r="W21" s="23"/>
      <c r="X21" s="397"/>
      <c r="Y21" s="397"/>
      <c r="Z21" s="397"/>
      <c r="AA21" s="632"/>
      <c r="AB21" s="632"/>
      <c r="AC21" s="135"/>
      <c r="AD21" s="25"/>
      <c r="AE21" s="19">
        <f t="shared" si="8"/>
        <v>-68.19672131147513</v>
      </c>
      <c r="AF21" s="400">
        <f t="shared" si="9"/>
        <v>0.96590163934426243</v>
      </c>
      <c r="AG21" s="637"/>
    </row>
    <row r="22" spans="1:33" ht="15.75" customHeight="1">
      <c r="A22" s="656" t="s">
        <v>2121</v>
      </c>
      <c r="B22" s="42" t="s">
        <v>92</v>
      </c>
      <c r="C22" s="653" t="s">
        <v>112</v>
      </c>
      <c r="D22" s="653"/>
      <c r="E22" s="42">
        <v>53.27</v>
      </c>
      <c r="F22" s="410">
        <v>966</v>
      </c>
      <c r="G22" s="397">
        <f t="shared" si="19"/>
        <v>51458.82</v>
      </c>
      <c r="H22" s="37" t="s">
        <v>91</v>
      </c>
      <c r="I22" s="408">
        <v>16</v>
      </c>
      <c r="J22" s="39">
        <v>2000</v>
      </c>
      <c r="K22" s="17">
        <f t="shared" si="1"/>
        <v>125</v>
      </c>
      <c r="L22" s="408">
        <v>16</v>
      </c>
      <c r="M22" s="18">
        <f t="shared" si="20"/>
        <v>1932.0000000000018</v>
      </c>
      <c r="N22" s="17">
        <f t="shared" si="3"/>
        <v>120.75000000000011</v>
      </c>
      <c r="O22" s="19">
        <f t="shared" si="4"/>
        <v>0</v>
      </c>
      <c r="P22" s="20">
        <f t="shared" si="5"/>
        <v>-4.2499999999998863</v>
      </c>
      <c r="Q22" s="400">
        <f t="shared" si="6"/>
        <v>0.96600000000000086</v>
      </c>
      <c r="R22" s="637"/>
      <c r="S22" s="40">
        <v>0.28541666666666665</v>
      </c>
      <c r="T22" s="40">
        <v>0.30624999999999997</v>
      </c>
      <c r="U22" s="397">
        <f t="shared" si="22"/>
        <v>6.9999999999999751</v>
      </c>
      <c r="V22" s="409">
        <f t="shared" si="21"/>
        <v>29.999999999999972</v>
      </c>
      <c r="W22" s="23"/>
      <c r="X22" s="397"/>
      <c r="Y22" s="397"/>
      <c r="Z22" s="397"/>
      <c r="AA22" s="632"/>
      <c r="AB22" s="632"/>
      <c r="AC22" s="135"/>
      <c r="AD22" s="25"/>
      <c r="AE22" s="19">
        <f t="shared" si="8"/>
        <v>-67.999999999998181</v>
      </c>
      <c r="AF22" s="400">
        <f t="shared" si="9"/>
        <v>0.96600000000000086</v>
      </c>
      <c r="AG22" s="637"/>
    </row>
    <row r="23" spans="1:33" ht="15.75" customHeight="1">
      <c r="A23" s="656" t="s">
        <v>2121</v>
      </c>
      <c r="B23" s="42" t="s">
        <v>92</v>
      </c>
      <c r="C23" s="653" t="s">
        <v>1852</v>
      </c>
      <c r="D23" s="653"/>
      <c r="E23" s="42">
        <v>56.43</v>
      </c>
      <c r="F23" s="410">
        <v>1959</v>
      </c>
      <c r="G23" s="397">
        <f t="shared" si="19"/>
        <v>110546.37</v>
      </c>
      <c r="H23" s="37" t="s">
        <v>91</v>
      </c>
      <c r="I23" s="408">
        <v>25</v>
      </c>
      <c r="J23" s="39">
        <v>2000</v>
      </c>
      <c r="K23" s="17">
        <f t="shared" si="1"/>
        <v>80</v>
      </c>
      <c r="L23" s="408">
        <v>25</v>
      </c>
      <c r="M23" s="18">
        <f t="shared" si="20"/>
        <v>1926.8852459016384</v>
      </c>
      <c r="N23" s="17">
        <f t="shared" si="3"/>
        <v>77.075409836065532</v>
      </c>
      <c r="O23" s="19">
        <f t="shared" si="4"/>
        <v>0</v>
      </c>
      <c r="P23" s="20">
        <f t="shared" si="5"/>
        <v>-2.924590163934468</v>
      </c>
      <c r="Q23" s="400">
        <f t="shared" si="6"/>
        <v>0.96344262295081917</v>
      </c>
      <c r="R23" s="637"/>
      <c r="S23" s="40">
        <v>0.31111111111111106</v>
      </c>
      <c r="T23" s="40">
        <v>0.35347222222222219</v>
      </c>
      <c r="U23" s="397">
        <f t="shared" si="22"/>
        <v>6.9999999999999751</v>
      </c>
      <c r="V23" s="409">
        <f t="shared" si="21"/>
        <v>61.000000000000021</v>
      </c>
      <c r="W23" s="23"/>
      <c r="X23" s="397"/>
      <c r="Y23" s="397"/>
      <c r="Z23" s="397"/>
      <c r="AA23" s="632"/>
      <c r="AB23" s="632"/>
      <c r="AC23" s="135"/>
      <c r="AD23" s="25"/>
      <c r="AE23" s="19">
        <f t="shared" si="8"/>
        <v>-73.114754098361573</v>
      </c>
      <c r="AF23" s="400">
        <f t="shared" si="9"/>
        <v>0.96344262295081917</v>
      </c>
      <c r="AG23" s="637"/>
    </row>
    <row r="24" spans="1:33" ht="15.75" customHeight="1">
      <c r="A24" s="656" t="s">
        <v>2121</v>
      </c>
      <c r="B24" s="42" t="s">
        <v>92</v>
      </c>
      <c r="C24" s="653" t="s">
        <v>113</v>
      </c>
      <c r="D24" s="653"/>
      <c r="E24" s="42">
        <v>56.43</v>
      </c>
      <c r="F24" s="410">
        <v>1094</v>
      </c>
      <c r="G24" s="397">
        <f t="shared" si="19"/>
        <v>61734.42</v>
      </c>
      <c r="H24" s="37" t="s">
        <v>91</v>
      </c>
      <c r="I24" s="408">
        <v>13</v>
      </c>
      <c r="J24" s="39">
        <v>2000</v>
      </c>
      <c r="K24" s="17">
        <f t="shared" si="1"/>
        <v>153.84615384615384</v>
      </c>
      <c r="L24" s="408">
        <v>13</v>
      </c>
      <c r="M24" s="18">
        <f t="shared" si="20"/>
        <v>1930.5882352941153</v>
      </c>
      <c r="N24" s="17">
        <f t="shared" si="3"/>
        <v>148.50678733031657</v>
      </c>
      <c r="O24" s="19">
        <f t="shared" si="4"/>
        <v>0</v>
      </c>
      <c r="P24" s="20">
        <f t="shared" si="5"/>
        <v>-5.3393665158372698</v>
      </c>
      <c r="Q24" s="400">
        <f t="shared" si="6"/>
        <v>0.96529411764705775</v>
      </c>
      <c r="R24" s="637"/>
      <c r="S24" s="40">
        <v>0.70833333333333337</v>
      </c>
      <c r="T24" s="40">
        <v>0.73194444444444451</v>
      </c>
      <c r="U24" s="397" t="str">
        <f t="shared" si="22"/>
        <v/>
      </c>
      <c r="V24" s="409">
        <f t="shared" si="21"/>
        <v>34.000000000000043</v>
      </c>
      <c r="W24" s="23"/>
      <c r="X24" s="23"/>
      <c r="Y24" s="397"/>
      <c r="Z24" s="397"/>
      <c r="AA24" s="632"/>
      <c r="AB24" s="632"/>
      <c r="AC24" s="135"/>
      <c r="AD24" s="25"/>
      <c r="AE24" s="19">
        <f t="shared" si="8"/>
        <v>-69.411764705884707</v>
      </c>
      <c r="AF24" s="400">
        <f t="shared" si="9"/>
        <v>0.96529411764705764</v>
      </c>
      <c r="AG24" s="637"/>
    </row>
    <row r="25" spans="1:33" ht="15.75" customHeight="1">
      <c r="A25" s="656" t="s">
        <v>2121</v>
      </c>
      <c r="B25" s="42" t="s">
        <v>92</v>
      </c>
      <c r="C25" s="653" t="s">
        <v>140</v>
      </c>
      <c r="D25" s="653"/>
      <c r="E25" s="42">
        <v>51.06</v>
      </c>
      <c r="F25" s="410">
        <v>2378</v>
      </c>
      <c r="G25" s="397">
        <f t="shared" si="19"/>
        <v>121420.68000000001</v>
      </c>
      <c r="H25" s="37" t="s">
        <v>91</v>
      </c>
      <c r="I25" s="408">
        <v>13</v>
      </c>
      <c r="J25" s="39">
        <v>2000</v>
      </c>
      <c r="K25" s="17">
        <f t="shared" si="1"/>
        <v>153.84615384615384</v>
      </c>
      <c r="L25" s="408">
        <v>13</v>
      </c>
      <c r="M25" s="18">
        <f t="shared" si="20"/>
        <v>1902.3999999999985</v>
      </c>
      <c r="N25" s="17">
        <f t="shared" si="3"/>
        <v>146.33846153846142</v>
      </c>
      <c r="O25" s="19">
        <f t="shared" si="4"/>
        <v>0</v>
      </c>
      <c r="P25" s="20">
        <f t="shared" si="5"/>
        <v>-7.5076923076924231</v>
      </c>
      <c r="Q25" s="400">
        <f t="shared" si="6"/>
        <v>0.95119999999999927</v>
      </c>
      <c r="R25" s="637"/>
      <c r="S25" s="40">
        <v>0.7368055555555556</v>
      </c>
      <c r="T25" s="40">
        <v>0.78888888888888897</v>
      </c>
      <c r="U25" s="397">
        <f t="shared" si="22"/>
        <v>6.9999999999999751</v>
      </c>
      <c r="V25" s="409">
        <f t="shared" si="21"/>
        <v>75.000000000000057</v>
      </c>
      <c r="W25" s="23"/>
      <c r="X25" s="28"/>
      <c r="Y25" s="28"/>
      <c r="Z25" s="28"/>
      <c r="AA25" s="632"/>
      <c r="AB25" s="632"/>
      <c r="AC25" s="135"/>
      <c r="AD25" s="25"/>
      <c r="AE25" s="19">
        <f t="shared" si="8"/>
        <v>-97.600000000001501</v>
      </c>
      <c r="AF25" s="400">
        <f t="shared" si="9"/>
        <v>0.95119999999999927</v>
      </c>
      <c r="AG25" s="637"/>
    </row>
    <row r="26" spans="1:33" ht="15.75" customHeight="1">
      <c r="A26" s="656" t="s">
        <v>2121</v>
      </c>
      <c r="B26" s="42" t="s">
        <v>92</v>
      </c>
      <c r="C26" s="679" t="s">
        <v>95</v>
      </c>
      <c r="D26" s="680"/>
      <c r="E26" s="42">
        <v>50.67</v>
      </c>
      <c r="F26" s="410">
        <v>1059</v>
      </c>
      <c r="G26" s="397">
        <f t="shared" si="19"/>
        <v>53659.53</v>
      </c>
      <c r="H26" s="37" t="s">
        <v>91</v>
      </c>
      <c r="I26" s="408">
        <v>15</v>
      </c>
      <c r="J26" s="39">
        <v>2000</v>
      </c>
      <c r="K26" s="17">
        <f t="shared" si="1"/>
        <v>133.33333333333334</v>
      </c>
      <c r="L26" s="408">
        <v>15</v>
      </c>
      <c r="M26" s="18">
        <f t="shared" si="20"/>
        <v>1925.454545454543</v>
      </c>
      <c r="N26" s="17">
        <f t="shared" si="3"/>
        <v>128.3636363636362</v>
      </c>
      <c r="O26" s="19">
        <f t="shared" si="4"/>
        <v>0</v>
      </c>
      <c r="P26" s="20">
        <f t="shared" si="5"/>
        <v>-4.9696969696971394</v>
      </c>
      <c r="Q26" s="400">
        <f t="shared" si="6"/>
        <v>0.96272727272727143</v>
      </c>
      <c r="R26" s="637"/>
      <c r="S26" s="40">
        <v>0.79375000000000007</v>
      </c>
      <c r="T26" s="40">
        <v>0.81666666666666676</v>
      </c>
      <c r="U26" s="397">
        <f t="shared" si="22"/>
        <v>6.9999999999999751</v>
      </c>
      <c r="V26" s="409">
        <f t="shared" si="21"/>
        <v>33.000000000000043</v>
      </c>
      <c r="W26" s="23"/>
      <c r="X26" s="28"/>
      <c r="Y26" s="136"/>
      <c r="Z26" s="136"/>
      <c r="AA26" s="627"/>
      <c r="AB26" s="628"/>
      <c r="AC26" s="135"/>
      <c r="AD26" s="25"/>
      <c r="AE26" s="19">
        <f t="shared" si="8"/>
        <v>-74.545454545457005</v>
      </c>
      <c r="AF26" s="400">
        <f t="shared" si="9"/>
        <v>0.96272727272727154</v>
      </c>
      <c r="AG26" s="637"/>
    </row>
    <row r="27" spans="1:33" ht="15.75" customHeight="1">
      <c r="A27" s="656" t="s">
        <v>2121</v>
      </c>
      <c r="B27" s="42" t="s">
        <v>2120</v>
      </c>
      <c r="C27" s="638"/>
      <c r="D27" s="638"/>
      <c r="E27" s="405"/>
      <c r="F27" s="410"/>
      <c r="G27" s="397"/>
      <c r="H27" s="410"/>
      <c r="I27" s="29">
        <v>16.142857142857142</v>
      </c>
      <c r="J27" s="39">
        <v>2000</v>
      </c>
      <c r="K27" s="17">
        <f t="shared" si="1"/>
        <v>123.89380530973452</v>
      </c>
      <c r="L27" s="29">
        <v>16.142857142857142</v>
      </c>
      <c r="M27" s="18">
        <f>AVERAGE(M20:M26)</f>
        <v>1921.8450127318008</v>
      </c>
      <c r="N27" s="17">
        <f t="shared" si="3"/>
        <v>119.052345921439</v>
      </c>
      <c r="O27" s="19">
        <f t="shared" si="4"/>
        <v>0</v>
      </c>
      <c r="P27" s="20">
        <f t="shared" si="5"/>
        <v>-4.8414593882955188</v>
      </c>
      <c r="Q27" s="400">
        <f t="shared" si="6"/>
        <v>0.96092250636590049</v>
      </c>
      <c r="R27" s="637"/>
      <c r="S27" s="40"/>
      <c r="T27" s="40"/>
      <c r="U27" s="17"/>
      <c r="V27" s="409"/>
      <c r="W27" s="17"/>
      <c r="X27" s="17"/>
      <c r="Y27" s="30">
        <f>SUM(Y20:Y26)</f>
        <v>0</v>
      </c>
      <c r="Z27" s="30">
        <f>SUM(Z20:Z26)</f>
        <v>0</v>
      </c>
      <c r="AA27" s="631"/>
      <c r="AB27" s="631"/>
      <c r="AC27" s="30">
        <v>7</v>
      </c>
      <c r="AD27" s="30">
        <f>SUM(AD20:AD26)</f>
        <v>0</v>
      </c>
      <c r="AE27" s="19">
        <f t="shared" si="8"/>
        <v>-78.154987268199193</v>
      </c>
      <c r="AF27" s="400">
        <f t="shared" si="9"/>
        <v>0.96092250636590038</v>
      </c>
      <c r="AG27" s="637"/>
    </row>
    <row r="28" spans="1:33" ht="15.75" customHeight="1">
      <c r="A28" s="654" t="s">
        <v>2122</v>
      </c>
      <c r="B28" s="42" t="s">
        <v>116</v>
      </c>
      <c r="C28" s="653" t="s">
        <v>117</v>
      </c>
      <c r="D28" s="653"/>
      <c r="E28" s="42">
        <v>31.29</v>
      </c>
      <c r="F28" s="410">
        <v>6739</v>
      </c>
      <c r="G28" s="397">
        <f t="shared" ref="G28:G32" si="23">E28*F28</f>
        <v>210863.31</v>
      </c>
      <c r="H28" s="37" t="s">
        <v>91</v>
      </c>
      <c r="I28" s="408">
        <v>18</v>
      </c>
      <c r="J28" s="39">
        <v>2400</v>
      </c>
      <c r="K28" s="17">
        <f t="shared" si="1"/>
        <v>133.33333333333334</v>
      </c>
      <c r="L28" s="408">
        <v>18</v>
      </c>
      <c r="M28" s="18">
        <f t="shared" ref="M28:M32" si="24">F28/V28*60</f>
        <v>2284.406779661017</v>
      </c>
      <c r="N28" s="17">
        <f t="shared" si="3"/>
        <v>126.91148775894538</v>
      </c>
      <c r="O28" s="19">
        <f t="shared" si="4"/>
        <v>0</v>
      </c>
      <c r="P28" s="20">
        <f t="shared" si="5"/>
        <v>-6.4218455743879588</v>
      </c>
      <c r="Q28" s="400">
        <f t="shared" si="6"/>
        <v>0.95183615819209033</v>
      </c>
      <c r="R28" s="637">
        <f>Q33</f>
        <v>0.95766806439701146</v>
      </c>
      <c r="S28" s="40">
        <v>8.3333333333333329E-2</v>
      </c>
      <c r="T28" s="40">
        <v>0.20624999999999999</v>
      </c>
      <c r="U28" s="397"/>
      <c r="V28" s="409">
        <f t="shared" ref="V28:V32" si="25">(T28-S28)*24*60</f>
        <v>176.99999999999997</v>
      </c>
      <c r="W28" s="23">
        <f>T28</f>
        <v>0.20624999999999999</v>
      </c>
      <c r="X28" s="23">
        <f>S29</f>
        <v>0.22708333333333333</v>
      </c>
      <c r="Y28" s="23"/>
      <c r="Z28" s="23"/>
      <c r="AA28" s="632"/>
      <c r="AB28" s="632"/>
      <c r="AC28" s="135">
        <v>5</v>
      </c>
      <c r="AD28" s="25"/>
      <c r="AE28" s="19">
        <f t="shared" si="8"/>
        <v>-115.59322033898297</v>
      </c>
      <c r="AF28" s="400">
        <f t="shared" si="9"/>
        <v>0.95183615819209044</v>
      </c>
      <c r="AG28" s="637">
        <f>AF33</f>
        <v>0.95766806439701135</v>
      </c>
    </row>
    <row r="29" spans="1:33" ht="15.75" customHeight="1">
      <c r="A29" s="654" t="s">
        <v>2122</v>
      </c>
      <c r="B29" s="42" t="s">
        <v>116</v>
      </c>
      <c r="C29" s="653" t="s">
        <v>118</v>
      </c>
      <c r="D29" s="653"/>
      <c r="E29" s="42">
        <v>26.37</v>
      </c>
      <c r="F29" s="410">
        <v>4857</v>
      </c>
      <c r="G29" s="397">
        <f t="shared" si="23"/>
        <v>128079.09000000001</v>
      </c>
      <c r="H29" s="37" t="s">
        <v>91</v>
      </c>
      <c r="I29" s="408">
        <v>18</v>
      </c>
      <c r="J29" s="39">
        <v>2400</v>
      </c>
      <c r="K29" s="17">
        <f t="shared" si="1"/>
        <v>133.33333333333334</v>
      </c>
      <c r="L29" s="408">
        <v>18</v>
      </c>
      <c r="M29" s="18">
        <f t="shared" si="24"/>
        <v>2294.6456692913389</v>
      </c>
      <c r="N29" s="17">
        <f t="shared" si="3"/>
        <v>127.48031496062994</v>
      </c>
      <c r="O29" s="19">
        <f t="shared" si="4"/>
        <v>0</v>
      </c>
      <c r="P29" s="20">
        <f t="shared" si="5"/>
        <v>-5.8530183727034029</v>
      </c>
      <c r="Q29" s="400">
        <f t="shared" si="6"/>
        <v>0.95610236220472444</v>
      </c>
      <c r="R29" s="637"/>
      <c r="S29" s="40">
        <v>0.22708333333333333</v>
      </c>
      <c r="T29" s="40">
        <v>0.31527777777777777</v>
      </c>
      <c r="U29" s="397">
        <f t="shared" ref="U29:U32" si="26">(S29-T28)*24*60</f>
        <v>30.000000000000014</v>
      </c>
      <c r="V29" s="409">
        <f t="shared" si="25"/>
        <v>126.99999999999997</v>
      </c>
      <c r="W29" s="23"/>
      <c r="X29" s="23"/>
      <c r="Y29" s="23"/>
      <c r="Z29" s="23"/>
      <c r="AA29" s="632"/>
      <c r="AB29" s="632"/>
      <c r="AC29" s="135"/>
      <c r="AD29" s="25"/>
      <c r="AE29" s="19">
        <f t="shared" si="8"/>
        <v>-105.35433070866111</v>
      </c>
      <c r="AF29" s="400">
        <f t="shared" si="9"/>
        <v>0.95610236220472455</v>
      </c>
      <c r="AG29" s="637"/>
    </row>
    <row r="30" spans="1:33" ht="15.75" customHeight="1">
      <c r="A30" s="654" t="s">
        <v>2122</v>
      </c>
      <c r="B30" s="42" t="s">
        <v>116</v>
      </c>
      <c r="C30" s="653" t="s">
        <v>124</v>
      </c>
      <c r="D30" s="653"/>
      <c r="E30" s="42">
        <v>24.43</v>
      </c>
      <c r="F30" s="410">
        <v>5466</v>
      </c>
      <c r="G30" s="397">
        <f t="shared" si="23"/>
        <v>133534.38</v>
      </c>
      <c r="H30" s="37" t="s">
        <v>91</v>
      </c>
      <c r="I30" s="408">
        <v>14</v>
      </c>
      <c r="J30" s="39">
        <v>2400</v>
      </c>
      <c r="K30" s="17">
        <f t="shared" si="1"/>
        <v>171.42857142857142</v>
      </c>
      <c r="L30" s="408">
        <v>14</v>
      </c>
      <c r="M30" s="18">
        <f t="shared" si="24"/>
        <v>2293.4265734265741</v>
      </c>
      <c r="N30" s="17">
        <f t="shared" si="3"/>
        <v>163.81618381618387</v>
      </c>
      <c r="O30" s="19">
        <f t="shared" si="4"/>
        <v>0</v>
      </c>
      <c r="P30" s="20">
        <f t="shared" si="5"/>
        <v>-7.6123876123875505</v>
      </c>
      <c r="Q30" s="400">
        <f t="shared" si="6"/>
        <v>0.955594405594406</v>
      </c>
      <c r="R30" s="637"/>
      <c r="S30" s="40">
        <v>0.31944444444444442</v>
      </c>
      <c r="T30" s="40">
        <v>0.41874999999999996</v>
      </c>
      <c r="U30" s="397">
        <f t="shared" si="26"/>
        <v>5.9999999999999787</v>
      </c>
      <c r="V30" s="409">
        <f t="shared" si="25"/>
        <v>142.99999999999997</v>
      </c>
      <c r="W30" s="23"/>
      <c r="X30" s="23"/>
      <c r="Y30" s="23"/>
      <c r="Z30" s="23"/>
      <c r="AA30" s="632"/>
      <c r="AB30" s="632"/>
      <c r="AC30" s="135"/>
      <c r="AD30" s="25"/>
      <c r="AE30" s="19">
        <f t="shared" si="8"/>
        <v>-106.57342657342588</v>
      </c>
      <c r="AF30" s="400">
        <f t="shared" si="9"/>
        <v>0.95559440559440589</v>
      </c>
      <c r="AG30" s="637"/>
    </row>
    <row r="31" spans="1:33" ht="15.75" customHeight="1">
      <c r="A31" s="654" t="s">
        <v>2122</v>
      </c>
      <c r="B31" s="42" t="s">
        <v>116</v>
      </c>
      <c r="C31" s="653" t="s">
        <v>149</v>
      </c>
      <c r="D31" s="653"/>
      <c r="E31" s="42">
        <v>24.25</v>
      </c>
      <c r="F31" s="410">
        <v>2263</v>
      </c>
      <c r="G31" s="397">
        <f t="shared" si="23"/>
        <v>54877.75</v>
      </c>
      <c r="H31" s="37" t="s">
        <v>91</v>
      </c>
      <c r="I31" s="408">
        <v>16</v>
      </c>
      <c r="J31" s="39">
        <v>2400</v>
      </c>
      <c r="K31" s="17">
        <f t="shared" si="1"/>
        <v>150</v>
      </c>
      <c r="L31" s="408">
        <v>16</v>
      </c>
      <c r="M31" s="18">
        <f t="shared" si="24"/>
        <v>2301.3559322033889</v>
      </c>
      <c r="N31" s="17">
        <f t="shared" si="3"/>
        <v>143.8347457627118</v>
      </c>
      <c r="O31" s="19">
        <f t="shared" si="4"/>
        <v>0</v>
      </c>
      <c r="P31" s="20">
        <f t="shared" si="5"/>
        <v>-6.1652542372881953</v>
      </c>
      <c r="Q31" s="400">
        <f t="shared" si="6"/>
        <v>0.95889830508474538</v>
      </c>
      <c r="R31" s="637"/>
      <c r="S31" s="40">
        <v>0.42361111111111105</v>
      </c>
      <c r="T31" s="40">
        <v>0.46458333333333329</v>
      </c>
      <c r="U31" s="397">
        <f t="shared" si="26"/>
        <v>6.9999999999999751</v>
      </c>
      <c r="V31" s="409">
        <f t="shared" si="25"/>
        <v>59.000000000000028</v>
      </c>
      <c r="W31" s="23"/>
      <c r="X31" s="23"/>
      <c r="Y31" s="23"/>
      <c r="Z31" s="23"/>
      <c r="AA31" s="632"/>
      <c r="AB31" s="632"/>
      <c r="AC31" s="135"/>
      <c r="AD31" s="25"/>
      <c r="AE31" s="19">
        <f t="shared" si="8"/>
        <v>-98.644067796611125</v>
      </c>
      <c r="AF31" s="400">
        <f t="shared" si="9"/>
        <v>0.95889830508474538</v>
      </c>
      <c r="AG31" s="637"/>
    </row>
    <row r="32" spans="1:33" ht="15.75" customHeight="1">
      <c r="A32" s="654" t="s">
        <v>2122</v>
      </c>
      <c r="B32" s="42" t="s">
        <v>116</v>
      </c>
      <c r="C32" s="653" t="s">
        <v>150</v>
      </c>
      <c r="D32" s="653"/>
      <c r="E32" s="42">
        <v>23.89</v>
      </c>
      <c r="F32" s="410">
        <v>1700</v>
      </c>
      <c r="G32" s="397">
        <f t="shared" si="23"/>
        <v>40613</v>
      </c>
      <c r="H32" s="37" t="s">
        <v>91</v>
      </c>
      <c r="I32" s="408">
        <v>13</v>
      </c>
      <c r="J32" s="39">
        <v>2400</v>
      </c>
      <c r="K32" s="17">
        <f t="shared" si="1"/>
        <v>184.61538461538461</v>
      </c>
      <c r="L32" s="408">
        <v>13</v>
      </c>
      <c r="M32" s="18">
        <f t="shared" si="24"/>
        <v>2318.181818181818</v>
      </c>
      <c r="N32" s="17">
        <f t="shared" si="3"/>
        <v>178.32167832167832</v>
      </c>
      <c r="O32" s="19">
        <f t="shared" si="4"/>
        <v>0</v>
      </c>
      <c r="P32" s="20">
        <f t="shared" si="5"/>
        <v>-6.2937062937062933</v>
      </c>
      <c r="Q32" s="400">
        <f t="shared" si="6"/>
        <v>0.96590909090909094</v>
      </c>
      <c r="R32" s="637"/>
      <c r="S32" s="40">
        <v>0.46874999999999994</v>
      </c>
      <c r="T32" s="40">
        <v>0.4993055555555555</v>
      </c>
      <c r="U32" s="397">
        <f t="shared" si="26"/>
        <v>5.9999999999999787</v>
      </c>
      <c r="V32" s="409">
        <f t="shared" si="25"/>
        <v>44</v>
      </c>
      <c r="W32" s="23"/>
      <c r="X32" s="23"/>
      <c r="Y32" s="23"/>
      <c r="Z32" s="23"/>
      <c r="AA32" s="632"/>
      <c r="AB32" s="632"/>
      <c r="AC32" s="135"/>
      <c r="AD32" s="25"/>
      <c r="AE32" s="19">
        <f t="shared" si="8"/>
        <v>-81.818181818181984</v>
      </c>
      <c r="AF32" s="400">
        <f t="shared" si="9"/>
        <v>0.96590909090909083</v>
      </c>
      <c r="AG32" s="637"/>
    </row>
    <row r="33" spans="1:33" ht="15.75" customHeight="1">
      <c r="A33" s="654" t="s">
        <v>2122</v>
      </c>
      <c r="B33" s="42" t="s">
        <v>2120</v>
      </c>
      <c r="C33" s="638"/>
      <c r="D33" s="638"/>
      <c r="E33" s="405"/>
      <c r="F33" s="410"/>
      <c r="G33" s="397"/>
      <c r="H33" s="410"/>
      <c r="I33" s="29">
        <v>15.8</v>
      </c>
      <c r="J33" s="39">
        <v>2400</v>
      </c>
      <c r="K33" s="17">
        <f t="shared" si="1"/>
        <v>151.89873417721518</v>
      </c>
      <c r="L33" s="29">
        <v>15.8</v>
      </c>
      <c r="M33" s="18">
        <f>AVERAGE(M28:M32)</f>
        <v>2298.4033545528273</v>
      </c>
      <c r="N33" s="17">
        <f t="shared" si="3"/>
        <v>145.46856674384983</v>
      </c>
      <c r="O33" s="19">
        <f t="shared" si="4"/>
        <v>0</v>
      </c>
      <c r="P33" s="20">
        <f t="shared" si="5"/>
        <v>-6.4301674333653409</v>
      </c>
      <c r="Q33" s="400">
        <f t="shared" si="6"/>
        <v>0.95766806439701146</v>
      </c>
      <c r="R33" s="637"/>
      <c r="S33" s="40"/>
      <c r="T33" s="40"/>
      <c r="U33" s="397"/>
      <c r="V33" s="409"/>
      <c r="W33" s="397"/>
      <c r="X33" s="397"/>
      <c r="Y33" s="30">
        <f>SUM(Y28:Y32)</f>
        <v>0</v>
      </c>
      <c r="Z33" s="30">
        <f>SUM(Z28:Z32)</f>
        <v>0</v>
      </c>
      <c r="AA33" s="631"/>
      <c r="AB33" s="631"/>
      <c r="AC33" s="30">
        <v>5</v>
      </c>
      <c r="AD33" s="30">
        <f>SUM(AD28:AD32)</f>
        <v>0</v>
      </c>
      <c r="AE33" s="19">
        <f t="shared" si="8"/>
        <v>-101.5966454471727</v>
      </c>
      <c r="AF33" s="400">
        <f t="shared" si="9"/>
        <v>0.95766806439701135</v>
      </c>
      <c r="AG33" s="637"/>
    </row>
    <row r="34" spans="1:33" ht="15.75" customHeight="1">
      <c r="A34" s="651" t="s">
        <v>2123</v>
      </c>
      <c r="B34" s="42" t="s">
        <v>116</v>
      </c>
      <c r="C34" s="633" t="s">
        <v>123</v>
      </c>
      <c r="D34" s="633"/>
      <c r="E34" s="42">
        <v>26.18</v>
      </c>
      <c r="F34" s="410">
        <v>4525</v>
      </c>
      <c r="G34" s="397">
        <f t="shared" ref="G34:G39" si="27">E34*F34</f>
        <v>118464.5</v>
      </c>
      <c r="H34" s="37" t="s">
        <v>91</v>
      </c>
      <c r="I34" s="408">
        <v>20</v>
      </c>
      <c r="J34" s="39">
        <v>2400</v>
      </c>
      <c r="K34" s="17">
        <f t="shared" si="1"/>
        <v>120</v>
      </c>
      <c r="L34" s="408">
        <v>20</v>
      </c>
      <c r="M34" s="18">
        <f t="shared" ref="M34:M39" si="28">F34/V34*60</f>
        <v>2281.5126050420172</v>
      </c>
      <c r="N34" s="17">
        <f t="shared" si="3"/>
        <v>114.07563025210086</v>
      </c>
      <c r="O34" s="19">
        <f t="shared" si="4"/>
        <v>0</v>
      </c>
      <c r="P34" s="20">
        <f t="shared" si="5"/>
        <v>-5.9243697478991351</v>
      </c>
      <c r="Q34" s="400">
        <f t="shared" si="6"/>
        <v>0.95063025210084051</v>
      </c>
      <c r="R34" s="637">
        <f>Q40</f>
        <v>0.95497320651446838</v>
      </c>
      <c r="S34" s="40">
        <v>8.3333333333333329E-2</v>
      </c>
      <c r="T34" s="40">
        <v>0.16597222222222222</v>
      </c>
      <c r="U34" s="397"/>
      <c r="V34" s="409">
        <f t="shared" ref="V34:V39" si="29">(T34-S34)*24*60</f>
        <v>119</v>
      </c>
      <c r="W34" s="28">
        <f>T34</f>
        <v>0.16597222222222222</v>
      </c>
      <c r="X34" s="28">
        <f>S35</f>
        <v>0.18541666666666665</v>
      </c>
      <c r="Y34" s="28"/>
      <c r="Z34" s="28"/>
      <c r="AA34" s="632"/>
      <c r="AB34" s="632"/>
      <c r="AC34" s="135">
        <v>6</v>
      </c>
      <c r="AD34" s="25"/>
      <c r="AE34" s="19">
        <f t="shared" si="8"/>
        <v>-118.48739495798281</v>
      </c>
      <c r="AF34" s="400">
        <f t="shared" si="9"/>
        <v>0.95063025210084051</v>
      </c>
      <c r="AG34" s="637">
        <f>AF40</f>
        <v>0.95497320651446826</v>
      </c>
    </row>
    <row r="35" spans="1:33" ht="15.75" customHeight="1">
      <c r="A35" s="651" t="s">
        <v>67</v>
      </c>
      <c r="B35" s="42" t="s">
        <v>116</v>
      </c>
      <c r="C35" s="633" t="s">
        <v>147</v>
      </c>
      <c r="D35" s="633"/>
      <c r="E35" s="42">
        <v>25.98</v>
      </c>
      <c r="F35" s="410">
        <v>1751</v>
      </c>
      <c r="G35" s="397">
        <f t="shared" si="27"/>
        <v>45490.98</v>
      </c>
      <c r="H35" s="37" t="s">
        <v>91</v>
      </c>
      <c r="I35" s="408">
        <v>17</v>
      </c>
      <c r="J35" s="39">
        <v>2400</v>
      </c>
      <c r="K35" s="17">
        <f t="shared" si="1"/>
        <v>141.1764705882353</v>
      </c>
      <c r="L35" s="408">
        <v>17</v>
      </c>
      <c r="M35" s="18">
        <f t="shared" si="28"/>
        <v>2283.913043478261</v>
      </c>
      <c r="N35" s="17">
        <f t="shared" si="3"/>
        <v>134.34782608695653</v>
      </c>
      <c r="O35" s="19">
        <f t="shared" si="4"/>
        <v>0</v>
      </c>
      <c r="P35" s="20">
        <f t="shared" si="5"/>
        <v>-6.8286445012787738</v>
      </c>
      <c r="Q35" s="400">
        <f t="shared" si="6"/>
        <v>0.95163043478260867</v>
      </c>
      <c r="R35" s="637"/>
      <c r="S35" s="40">
        <v>0.18541666666666665</v>
      </c>
      <c r="T35" s="40">
        <v>0.21736111111111109</v>
      </c>
      <c r="U35" s="397">
        <f t="shared" ref="U35:U39" si="30">(S35-T34)*24*60</f>
        <v>27.999999999999979</v>
      </c>
      <c r="V35" s="409">
        <f t="shared" si="29"/>
        <v>46</v>
      </c>
      <c r="W35" s="397"/>
      <c r="X35" s="397"/>
      <c r="Y35" s="397"/>
      <c r="Z35" s="397"/>
      <c r="AA35" s="632"/>
      <c r="AB35" s="632"/>
      <c r="AC35" s="135"/>
      <c r="AD35" s="25"/>
      <c r="AE35" s="19">
        <f t="shared" si="8"/>
        <v>-116.08695652173901</v>
      </c>
      <c r="AF35" s="400">
        <f t="shared" si="9"/>
        <v>0.95163043478260878</v>
      </c>
      <c r="AG35" s="637"/>
    </row>
    <row r="36" spans="1:33">
      <c r="A36" s="652" t="s">
        <v>2124</v>
      </c>
      <c r="B36" s="42" t="s">
        <v>116</v>
      </c>
      <c r="C36" s="633" t="s">
        <v>119</v>
      </c>
      <c r="D36" s="633"/>
      <c r="E36" s="42">
        <v>26.18</v>
      </c>
      <c r="F36" s="410">
        <v>6368</v>
      </c>
      <c r="G36" s="397">
        <f t="shared" si="27"/>
        <v>166714.23999999999</v>
      </c>
      <c r="H36" s="37" t="s">
        <v>91</v>
      </c>
      <c r="I36" s="408">
        <v>18</v>
      </c>
      <c r="J36" s="39">
        <v>2400</v>
      </c>
      <c r="K36" s="17">
        <f t="shared" si="1"/>
        <v>133.33333333333334</v>
      </c>
      <c r="L36" s="408">
        <v>18</v>
      </c>
      <c r="M36" s="18">
        <f t="shared" si="28"/>
        <v>2287.9041916167666</v>
      </c>
      <c r="N36" s="17">
        <f t="shared" si="3"/>
        <v>127.1057884231537</v>
      </c>
      <c r="O36" s="19">
        <f t="shared" si="4"/>
        <v>0</v>
      </c>
      <c r="P36" s="20">
        <f t="shared" si="5"/>
        <v>-6.2275449101796454</v>
      </c>
      <c r="Q36" s="400">
        <f t="shared" si="6"/>
        <v>0.95329341317365268</v>
      </c>
      <c r="R36" s="637"/>
      <c r="S36" s="40">
        <v>0.22152777777777777</v>
      </c>
      <c r="T36" s="40">
        <v>0.33749999999999997</v>
      </c>
      <c r="U36" s="397">
        <f t="shared" si="30"/>
        <v>6.0000000000000187</v>
      </c>
      <c r="V36" s="409">
        <f t="shared" si="29"/>
        <v>166.99999999999997</v>
      </c>
      <c r="W36" s="397"/>
      <c r="X36" s="397"/>
      <c r="Y36" s="397"/>
      <c r="Z36" s="397"/>
      <c r="AA36" s="632"/>
      <c r="AB36" s="632"/>
      <c r="AC36" s="135"/>
      <c r="AD36" s="25"/>
      <c r="AE36" s="19">
        <f t="shared" si="8"/>
        <v>-112.09580838323336</v>
      </c>
      <c r="AF36" s="400">
        <f t="shared" si="9"/>
        <v>0.95329341317365279</v>
      </c>
      <c r="AG36" s="637"/>
    </row>
    <row r="37" spans="1:33">
      <c r="A37" s="652" t="s">
        <v>2123</v>
      </c>
      <c r="B37" s="42" t="s">
        <v>116</v>
      </c>
      <c r="C37" s="633" t="s">
        <v>121</v>
      </c>
      <c r="D37" s="633"/>
      <c r="E37" s="42">
        <v>25.99</v>
      </c>
      <c r="F37" s="410">
        <v>3031</v>
      </c>
      <c r="G37" s="397">
        <f t="shared" si="27"/>
        <v>78775.69</v>
      </c>
      <c r="H37" s="37" t="s">
        <v>91</v>
      </c>
      <c r="I37" s="408">
        <v>14</v>
      </c>
      <c r="J37" s="39">
        <v>2400</v>
      </c>
      <c r="K37" s="17">
        <f t="shared" si="1"/>
        <v>171.42857142857142</v>
      </c>
      <c r="L37" s="408">
        <v>14</v>
      </c>
      <c r="M37" s="18">
        <f t="shared" si="28"/>
        <v>2302.0253164556975</v>
      </c>
      <c r="N37" s="17">
        <f t="shared" si="3"/>
        <v>164.43037974683554</v>
      </c>
      <c r="O37" s="19">
        <f t="shared" si="4"/>
        <v>0</v>
      </c>
      <c r="P37" s="20">
        <f t="shared" si="5"/>
        <v>-6.9981916817358751</v>
      </c>
      <c r="Q37" s="400">
        <f t="shared" si="6"/>
        <v>0.95917721518987409</v>
      </c>
      <c r="R37" s="637"/>
      <c r="S37" s="40">
        <v>0.34166666666666662</v>
      </c>
      <c r="T37" s="40">
        <v>0.3965277777777777</v>
      </c>
      <c r="U37" s="397">
        <f t="shared" si="30"/>
        <v>5.9999999999999787</v>
      </c>
      <c r="V37" s="409">
        <f t="shared" si="29"/>
        <v>78.999999999999957</v>
      </c>
      <c r="W37" s="23"/>
      <c r="X37" s="23"/>
      <c r="Y37" s="23"/>
      <c r="Z37" s="23"/>
      <c r="AA37" s="632"/>
      <c r="AB37" s="632"/>
      <c r="AC37" s="135"/>
      <c r="AD37" s="25"/>
      <c r="AE37" s="19">
        <f t="shared" si="8"/>
        <v>-97.974683544302479</v>
      </c>
      <c r="AF37" s="400">
        <f t="shared" si="9"/>
        <v>0.95917721518987398</v>
      </c>
      <c r="AG37" s="637"/>
    </row>
    <row r="38" spans="1:33">
      <c r="A38" s="652" t="s">
        <v>2123</v>
      </c>
      <c r="B38" s="42" t="s">
        <v>116</v>
      </c>
      <c r="C38" s="633" t="s">
        <v>126</v>
      </c>
      <c r="D38" s="633"/>
      <c r="E38" s="42">
        <v>34.1</v>
      </c>
      <c r="F38" s="410">
        <v>2700</v>
      </c>
      <c r="G38" s="397">
        <f t="shared" si="27"/>
        <v>92070</v>
      </c>
      <c r="H38" s="37">
        <v>2</v>
      </c>
      <c r="I38" s="408">
        <v>17</v>
      </c>
      <c r="J38" s="39">
        <v>1600</v>
      </c>
      <c r="K38" s="17">
        <f t="shared" si="1"/>
        <v>94.117647058823536</v>
      </c>
      <c r="L38" s="408">
        <v>17</v>
      </c>
      <c r="M38" s="18">
        <f t="shared" si="28"/>
        <v>1528.3018867924525</v>
      </c>
      <c r="N38" s="17">
        <f t="shared" si="3"/>
        <v>89.900110987791322</v>
      </c>
      <c r="O38" s="19">
        <f t="shared" si="4"/>
        <v>0</v>
      </c>
      <c r="P38" s="20">
        <f t="shared" si="5"/>
        <v>-4.2175360710322138</v>
      </c>
      <c r="Q38" s="400">
        <f t="shared" si="6"/>
        <v>0.95518867924528272</v>
      </c>
      <c r="R38" s="637"/>
      <c r="S38" s="40">
        <v>0.40069444444444435</v>
      </c>
      <c r="T38" s="40">
        <v>0.47430555555555548</v>
      </c>
      <c r="U38" s="397">
        <f t="shared" si="30"/>
        <v>5.9999999999999787</v>
      </c>
      <c r="V38" s="409">
        <f t="shared" si="29"/>
        <v>106.00000000000003</v>
      </c>
      <c r="W38" s="23">
        <f>T38</f>
        <v>0.47430555555555548</v>
      </c>
      <c r="X38" s="23">
        <f>S39</f>
        <v>0.51458333333333317</v>
      </c>
      <c r="Y38" s="23"/>
      <c r="Z38" s="23"/>
      <c r="AA38" s="632"/>
      <c r="AB38" s="632"/>
      <c r="AC38" s="135"/>
      <c r="AD38" s="25"/>
      <c r="AE38" s="19">
        <f t="shared" si="8"/>
        <v>-71.698113207547522</v>
      </c>
      <c r="AF38" s="400">
        <f t="shared" si="9"/>
        <v>0.95518867924528283</v>
      </c>
      <c r="AG38" s="637"/>
    </row>
    <row r="39" spans="1:33">
      <c r="A39" s="652" t="s">
        <v>2123</v>
      </c>
      <c r="B39" s="42" t="s">
        <v>116</v>
      </c>
      <c r="C39" s="633" t="s">
        <v>126</v>
      </c>
      <c r="D39" s="633"/>
      <c r="E39" s="42">
        <v>34.1</v>
      </c>
      <c r="F39" s="410">
        <v>2156</v>
      </c>
      <c r="G39" s="397">
        <f t="shared" si="27"/>
        <v>73519.600000000006</v>
      </c>
      <c r="H39" s="37" t="s">
        <v>91</v>
      </c>
      <c r="I39" s="408">
        <v>17</v>
      </c>
      <c r="J39" s="39">
        <v>1600</v>
      </c>
      <c r="K39" s="17">
        <f t="shared" si="1"/>
        <v>94.117647058823536</v>
      </c>
      <c r="L39" s="408">
        <v>17</v>
      </c>
      <c r="M39" s="18">
        <f t="shared" si="28"/>
        <v>1539.9999999999995</v>
      </c>
      <c r="N39" s="17">
        <f t="shared" si="3"/>
        <v>90.588235294117624</v>
      </c>
      <c r="O39" s="19">
        <f t="shared" si="4"/>
        <v>0</v>
      </c>
      <c r="P39" s="20">
        <f t="shared" si="5"/>
        <v>-3.5294117647059124</v>
      </c>
      <c r="Q39" s="400">
        <f t="shared" si="6"/>
        <v>0.96249999999999969</v>
      </c>
      <c r="R39" s="637"/>
      <c r="S39" s="40">
        <v>0.51458333333333317</v>
      </c>
      <c r="T39" s="40">
        <v>0.57291666666666652</v>
      </c>
      <c r="U39" s="397">
        <f t="shared" si="30"/>
        <v>57.999999999999872</v>
      </c>
      <c r="V39" s="409">
        <f t="shared" si="29"/>
        <v>84.000000000000028</v>
      </c>
      <c r="W39" s="23"/>
      <c r="X39" s="23"/>
      <c r="Y39" s="23"/>
      <c r="Z39" s="23"/>
      <c r="AA39" s="632"/>
      <c r="AB39" s="632"/>
      <c r="AC39" s="135"/>
      <c r="AD39" s="25"/>
      <c r="AE39" s="19">
        <f t="shared" si="8"/>
        <v>-60.000000000000455</v>
      </c>
      <c r="AF39" s="400">
        <f t="shared" si="9"/>
        <v>0.96249999999999969</v>
      </c>
      <c r="AG39" s="637"/>
    </row>
    <row r="40" spans="1:33">
      <c r="A40" s="652" t="s">
        <v>2123</v>
      </c>
      <c r="B40" s="44" t="s">
        <v>2120</v>
      </c>
      <c r="C40" s="638"/>
      <c r="D40" s="638"/>
      <c r="E40" s="405"/>
      <c r="F40" s="44"/>
      <c r="G40" s="17"/>
      <c r="H40" s="410"/>
      <c r="I40" s="29">
        <v>17.166666666666668</v>
      </c>
      <c r="J40" s="39">
        <v>2133.3333333333335</v>
      </c>
      <c r="K40" s="17">
        <f t="shared" si="1"/>
        <v>124.27184466019418</v>
      </c>
      <c r="L40" s="29">
        <v>17.166666666666668</v>
      </c>
      <c r="M40" s="18">
        <f>AVERAGE(M34:M39)</f>
        <v>2037.2761738975325</v>
      </c>
      <c r="N40" s="17">
        <f t="shared" si="3"/>
        <v>118.67628197461354</v>
      </c>
      <c r="O40" s="19">
        <f t="shared" si="4"/>
        <v>0</v>
      </c>
      <c r="P40" s="20">
        <f t="shared" si="5"/>
        <v>-5.5955626855806315</v>
      </c>
      <c r="Q40" s="400">
        <f t="shared" si="6"/>
        <v>0.95497320651446838</v>
      </c>
      <c r="R40" s="637"/>
      <c r="S40" s="40"/>
      <c r="T40" s="40"/>
      <c r="U40" s="17"/>
      <c r="V40" s="409"/>
      <c r="W40" s="17"/>
      <c r="X40" s="17"/>
      <c r="Y40" s="30">
        <f>SUM(Y34:Y39)</f>
        <v>0</v>
      </c>
      <c r="Z40" s="30">
        <f>SUM(Z34:Z39)</f>
        <v>0</v>
      </c>
      <c r="AA40" s="631"/>
      <c r="AB40" s="631"/>
      <c r="AC40" s="30">
        <v>6</v>
      </c>
      <c r="AD40" s="30">
        <f>SUM(AD34:AD39)</f>
        <v>0</v>
      </c>
      <c r="AE40" s="19">
        <f t="shared" si="8"/>
        <v>-96.057159435800941</v>
      </c>
      <c r="AF40" s="400">
        <f t="shared" si="9"/>
        <v>0.95497320651446826</v>
      </c>
      <c r="AG40" s="637"/>
    </row>
    <row r="41" spans="1:33" ht="15.75" customHeight="1">
      <c r="A41" s="648" t="s">
        <v>2125</v>
      </c>
      <c r="B41" s="42" t="s">
        <v>127</v>
      </c>
      <c r="C41" s="625" t="s">
        <v>128</v>
      </c>
      <c r="D41" s="626"/>
      <c r="E41" s="42">
        <v>21.13</v>
      </c>
      <c r="F41" s="410">
        <v>4331</v>
      </c>
      <c r="G41" s="397">
        <f t="shared" ref="G41:G43" si="31">E41*F41</f>
        <v>91514.03</v>
      </c>
      <c r="H41" s="37" t="s">
        <v>91</v>
      </c>
      <c r="I41" s="408">
        <v>10</v>
      </c>
      <c r="J41" s="39">
        <v>3000</v>
      </c>
      <c r="K41" s="17">
        <f t="shared" si="1"/>
        <v>300</v>
      </c>
      <c r="L41" s="408">
        <v>10</v>
      </c>
      <c r="M41" s="18">
        <f t="shared" ref="M41:M43" si="32">F41/V41*60</f>
        <v>2855.6043956043941</v>
      </c>
      <c r="N41" s="18">
        <f t="shared" si="3"/>
        <v>285.56043956043942</v>
      </c>
      <c r="O41" s="19">
        <f t="shared" si="4"/>
        <v>0</v>
      </c>
      <c r="P41" s="20">
        <f t="shared" si="5"/>
        <v>-14.43956043956058</v>
      </c>
      <c r="Q41" s="400">
        <f t="shared" si="6"/>
        <v>0.95186813186813135</v>
      </c>
      <c r="R41" s="643">
        <f>Q44</f>
        <v>0.95295604395604394</v>
      </c>
      <c r="S41" s="40">
        <v>0.20833333333333334</v>
      </c>
      <c r="T41" s="40">
        <v>0.27152777777777781</v>
      </c>
      <c r="U41" s="28"/>
      <c r="V41" s="409">
        <f t="shared" ref="V41:V43" si="33">(T41-S41)*24*60</f>
        <v>91.000000000000043</v>
      </c>
      <c r="W41" s="23"/>
      <c r="X41" s="23"/>
      <c r="Y41" s="26"/>
      <c r="Z41" s="26"/>
      <c r="AA41" s="627"/>
      <c r="AB41" s="628"/>
      <c r="AC41" s="135">
        <v>3</v>
      </c>
      <c r="AD41" s="25"/>
      <c r="AE41" s="19">
        <f t="shared" si="8"/>
        <v>-144.39560439560591</v>
      </c>
      <c r="AF41" s="400">
        <f t="shared" si="9"/>
        <v>0.95186813186813135</v>
      </c>
      <c r="AG41" s="643">
        <f>AF44</f>
        <v>0.95295604395604383</v>
      </c>
    </row>
    <row r="42" spans="1:33" ht="15.75" customHeight="1">
      <c r="A42" s="649" t="s">
        <v>2125</v>
      </c>
      <c r="B42" s="42" t="s">
        <v>127</v>
      </c>
      <c r="C42" s="625" t="s">
        <v>129</v>
      </c>
      <c r="D42" s="626"/>
      <c r="E42" s="42">
        <v>27.17</v>
      </c>
      <c r="F42" s="410">
        <v>3247</v>
      </c>
      <c r="G42" s="397">
        <f t="shared" si="31"/>
        <v>88220.99</v>
      </c>
      <c r="H42" s="37" t="s">
        <v>91</v>
      </c>
      <c r="I42" s="408">
        <v>10</v>
      </c>
      <c r="J42" s="39">
        <v>3000</v>
      </c>
      <c r="K42" s="17">
        <f t="shared" si="1"/>
        <v>300</v>
      </c>
      <c r="L42" s="408">
        <v>10</v>
      </c>
      <c r="M42" s="18">
        <f t="shared" si="32"/>
        <v>2865</v>
      </c>
      <c r="N42" s="18">
        <f t="shared" si="3"/>
        <v>286.5</v>
      </c>
      <c r="O42" s="19">
        <f t="shared" si="4"/>
        <v>0</v>
      </c>
      <c r="P42" s="20">
        <f t="shared" si="5"/>
        <v>-13.5</v>
      </c>
      <c r="Q42" s="400">
        <f t="shared" si="6"/>
        <v>0.95499999999999996</v>
      </c>
      <c r="R42" s="644"/>
      <c r="S42" s="40">
        <v>0.27500000000000002</v>
      </c>
      <c r="T42" s="40">
        <v>0.32222222222222224</v>
      </c>
      <c r="U42" s="397">
        <f t="shared" ref="U42:U43" si="34">(S42-T41)*24*60</f>
        <v>4.9999999999999822</v>
      </c>
      <c r="V42" s="409">
        <f t="shared" si="33"/>
        <v>68</v>
      </c>
      <c r="W42" s="23"/>
      <c r="X42" s="23"/>
      <c r="Y42" s="26"/>
      <c r="Z42" s="26"/>
      <c r="AA42" s="627"/>
      <c r="AB42" s="628"/>
      <c r="AC42" s="135"/>
      <c r="AD42" s="25"/>
      <c r="AE42" s="19">
        <f t="shared" si="8"/>
        <v>-135</v>
      </c>
      <c r="AF42" s="400">
        <f t="shared" si="9"/>
        <v>0.95499999999999996</v>
      </c>
      <c r="AG42" s="644"/>
    </row>
    <row r="43" spans="1:33" ht="15.75" customHeight="1">
      <c r="A43" s="649" t="s">
        <v>2125</v>
      </c>
      <c r="B43" s="42" t="s">
        <v>127</v>
      </c>
      <c r="C43" s="625" t="s">
        <v>1857</v>
      </c>
      <c r="D43" s="626"/>
      <c r="E43" s="42">
        <v>33.770000000000003</v>
      </c>
      <c r="F43" s="410">
        <v>3570</v>
      </c>
      <c r="G43" s="397">
        <f t="shared" si="31"/>
        <v>120558.90000000001</v>
      </c>
      <c r="H43" s="37" t="s">
        <v>91</v>
      </c>
      <c r="I43" s="408">
        <v>12</v>
      </c>
      <c r="J43" s="39">
        <v>3000</v>
      </c>
      <c r="K43" s="17">
        <f t="shared" si="1"/>
        <v>250</v>
      </c>
      <c r="L43" s="408">
        <v>12</v>
      </c>
      <c r="M43" s="18">
        <f t="shared" si="32"/>
        <v>2856.0000000000009</v>
      </c>
      <c r="N43" s="18">
        <f t="shared" si="3"/>
        <v>238.00000000000009</v>
      </c>
      <c r="O43" s="19">
        <f t="shared" si="4"/>
        <v>0</v>
      </c>
      <c r="P43" s="20">
        <f t="shared" si="5"/>
        <v>-11.999999999999915</v>
      </c>
      <c r="Q43" s="400">
        <f t="shared" si="6"/>
        <v>0.95200000000000029</v>
      </c>
      <c r="R43" s="644"/>
      <c r="S43" s="40">
        <v>0.3263888888888889</v>
      </c>
      <c r="T43" s="40">
        <v>0.37847222222222221</v>
      </c>
      <c r="U43" s="397">
        <f t="shared" si="34"/>
        <v>5.9999999999999787</v>
      </c>
      <c r="V43" s="409">
        <f t="shared" si="33"/>
        <v>74.999999999999972</v>
      </c>
      <c r="W43" s="23"/>
      <c r="X43" s="23"/>
      <c r="Y43" s="26"/>
      <c r="Z43" s="26"/>
      <c r="AA43" s="627"/>
      <c r="AB43" s="628"/>
      <c r="AC43" s="135"/>
      <c r="AD43" s="25"/>
      <c r="AE43" s="19">
        <f t="shared" si="8"/>
        <v>-143.99999999999909</v>
      </c>
      <c r="AF43" s="400">
        <f t="shared" si="9"/>
        <v>0.95200000000000029</v>
      </c>
      <c r="AG43" s="644"/>
    </row>
    <row r="44" spans="1:33" ht="15.75" customHeight="1">
      <c r="A44" s="650" t="s">
        <v>70</v>
      </c>
      <c r="B44" s="42" t="s">
        <v>2120</v>
      </c>
      <c r="C44" s="629"/>
      <c r="D44" s="630"/>
      <c r="E44" s="398"/>
      <c r="F44" s="410"/>
      <c r="G44" s="397"/>
      <c r="H44" s="410"/>
      <c r="I44" s="29">
        <v>10.666666666666666</v>
      </c>
      <c r="J44" s="39">
        <v>3000</v>
      </c>
      <c r="K44" s="17">
        <f t="shared" si="1"/>
        <v>281.25</v>
      </c>
      <c r="L44" s="29">
        <v>10.666666666666666</v>
      </c>
      <c r="M44" s="18">
        <f>AVERAGE(M41:M43)</f>
        <v>2858.8681318681315</v>
      </c>
      <c r="N44" s="17">
        <f t="shared" si="3"/>
        <v>268.01888736263737</v>
      </c>
      <c r="O44" s="19">
        <f t="shared" si="4"/>
        <v>0</v>
      </c>
      <c r="P44" s="20">
        <f t="shared" si="5"/>
        <v>-13.231112637362628</v>
      </c>
      <c r="Q44" s="400">
        <f t="shared" si="6"/>
        <v>0.95295604395604394</v>
      </c>
      <c r="R44" s="645"/>
      <c r="S44" s="40"/>
      <c r="T44" s="40"/>
      <c r="U44" s="397"/>
      <c r="V44" s="409"/>
      <c r="W44" s="23"/>
      <c r="X44" s="23"/>
      <c r="Y44" s="30">
        <f>SUM(Y41:Y43)</f>
        <v>0</v>
      </c>
      <c r="Z44" s="30">
        <f>SUM(Z41:Z43)</f>
        <v>0</v>
      </c>
      <c r="AA44" s="646"/>
      <c r="AB44" s="647"/>
      <c r="AC44" s="30">
        <v>3</v>
      </c>
      <c r="AD44" s="30">
        <f>SUM(AD41:AD43)</f>
        <v>0</v>
      </c>
      <c r="AE44" s="19">
        <f t="shared" si="8"/>
        <v>-141.13186813186849</v>
      </c>
      <c r="AF44" s="400">
        <f t="shared" si="9"/>
        <v>0.95295604395604383</v>
      </c>
      <c r="AG44" s="645"/>
    </row>
    <row r="45" spans="1:33" ht="15.75" customHeight="1">
      <c r="A45" s="641" t="s">
        <v>519</v>
      </c>
      <c r="B45" s="42" t="s">
        <v>92</v>
      </c>
      <c r="C45" s="633" t="s">
        <v>133</v>
      </c>
      <c r="D45" s="633"/>
      <c r="E45" s="42">
        <v>59.04</v>
      </c>
      <c r="F45" s="48">
        <v>988</v>
      </c>
      <c r="G45" s="397">
        <f t="shared" ref="G45:G51" si="35">E45*F45</f>
        <v>58331.519999999997</v>
      </c>
      <c r="H45" s="37" t="s">
        <v>91</v>
      </c>
      <c r="I45" s="408">
        <v>19</v>
      </c>
      <c r="J45" s="39">
        <v>2000</v>
      </c>
      <c r="K45" s="17">
        <f t="shared" si="1"/>
        <v>105.26315789473684</v>
      </c>
      <c r="L45" s="408">
        <v>19</v>
      </c>
      <c r="M45" s="18">
        <f t="shared" ref="M45" si="36">F45/V45*60</f>
        <v>1912.2580645161283</v>
      </c>
      <c r="N45" s="18">
        <f t="shared" si="3"/>
        <v>100.64516129032255</v>
      </c>
      <c r="O45" s="19">
        <f t="shared" si="4"/>
        <v>0</v>
      </c>
      <c r="P45" s="20">
        <f t="shared" si="5"/>
        <v>-4.6179966044142873</v>
      </c>
      <c r="Q45" s="400">
        <f t="shared" si="6"/>
        <v>0.95612903225806423</v>
      </c>
      <c r="R45" s="637">
        <f>Q52</f>
        <v>0.96209511854814111</v>
      </c>
      <c r="S45" s="40">
        <v>0.20833333333333334</v>
      </c>
      <c r="T45" s="40">
        <v>0.22986111111111113</v>
      </c>
      <c r="U45" s="28"/>
      <c r="V45" s="409">
        <f t="shared" ref="V45:V51" si="37">(T45-S45)*24*60</f>
        <v>31.000000000000011</v>
      </c>
      <c r="W45" s="23"/>
      <c r="X45" s="23"/>
      <c r="Y45" s="28"/>
      <c r="Z45" s="28"/>
      <c r="AA45" s="632"/>
      <c r="AB45" s="632"/>
      <c r="AC45" s="135">
        <v>7</v>
      </c>
      <c r="AD45" s="25"/>
      <c r="AE45" s="19">
        <f t="shared" si="8"/>
        <v>-87.741935483871657</v>
      </c>
      <c r="AF45" s="400">
        <f t="shared" si="9"/>
        <v>0.95612903225806423</v>
      </c>
      <c r="AG45" s="637">
        <f>AF52</f>
        <v>0.96209511854814111</v>
      </c>
    </row>
    <row r="46" spans="1:33" ht="15.75" customHeight="1">
      <c r="A46" s="641" t="s">
        <v>519</v>
      </c>
      <c r="B46" s="42" t="s">
        <v>103</v>
      </c>
      <c r="C46" s="633" t="s">
        <v>132</v>
      </c>
      <c r="D46" s="633"/>
      <c r="E46" s="42">
        <v>51.44</v>
      </c>
      <c r="F46" s="48">
        <v>2720</v>
      </c>
      <c r="G46" s="397">
        <f t="shared" si="35"/>
        <v>139916.79999999999</v>
      </c>
      <c r="H46" s="37" t="s">
        <v>91</v>
      </c>
      <c r="I46" s="408">
        <v>18</v>
      </c>
      <c r="J46" s="39">
        <v>2000</v>
      </c>
      <c r="K46" s="17">
        <f t="shared" si="1"/>
        <v>111.11111111111111</v>
      </c>
      <c r="L46" s="408">
        <v>18</v>
      </c>
      <c r="M46" s="18">
        <f>F46/V46*60</f>
        <v>1919.9999999999995</v>
      </c>
      <c r="N46" s="18">
        <f t="shared" si="3"/>
        <v>106.66666666666664</v>
      </c>
      <c r="O46" s="19">
        <f t="shared" si="4"/>
        <v>0</v>
      </c>
      <c r="P46" s="20">
        <f t="shared" si="5"/>
        <v>-4.4444444444444713</v>
      </c>
      <c r="Q46" s="400">
        <f t="shared" si="6"/>
        <v>0.95999999999999974</v>
      </c>
      <c r="R46" s="637"/>
      <c r="S46" s="40">
        <v>0.23333333333333334</v>
      </c>
      <c r="T46" s="40">
        <v>0.29236111111111113</v>
      </c>
      <c r="U46" s="397">
        <f t="shared" ref="U46:U51" si="38">IF(S46=TIME(17,0,0),"",(S46-T45)*24*60)</f>
        <v>4.9999999999999822</v>
      </c>
      <c r="V46" s="409">
        <f t="shared" si="37"/>
        <v>85.000000000000014</v>
      </c>
      <c r="W46" s="23"/>
      <c r="X46" s="23"/>
      <c r="Y46" s="23"/>
      <c r="Z46" s="23"/>
      <c r="AA46" s="632"/>
      <c r="AB46" s="632"/>
      <c r="AC46" s="135"/>
      <c r="AD46" s="25"/>
      <c r="AE46" s="19">
        <f t="shared" si="8"/>
        <v>-80.000000000000455</v>
      </c>
      <c r="AF46" s="400">
        <f t="shared" si="9"/>
        <v>0.95999999999999974</v>
      </c>
      <c r="AG46" s="637"/>
    </row>
    <row r="47" spans="1:33" ht="15.75" customHeight="1">
      <c r="A47" s="641" t="s">
        <v>519</v>
      </c>
      <c r="B47" s="42" t="s">
        <v>92</v>
      </c>
      <c r="C47" s="625" t="s">
        <v>135</v>
      </c>
      <c r="D47" s="626"/>
      <c r="E47" s="42">
        <v>51.44</v>
      </c>
      <c r="F47" s="48">
        <v>1137</v>
      </c>
      <c r="G47" s="397">
        <f t="shared" si="35"/>
        <v>58487.28</v>
      </c>
      <c r="H47" s="37" t="s">
        <v>91</v>
      </c>
      <c r="I47" s="408">
        <v>25</v>
      </c>
      <c r="J47" s="39">
        <v>2000</v>
      </c>
      <c r="K47" s="17">
        <f t="shared" si="1"/>
        <v>80</v>
      </c>
      <c r="L47" s="408">
        <v>25</v>
      </c>
      <c r="M47" s="18">
        <f t="shared" ref="M47:M51" si="39">F47/V47*60</f>
        <v>1949.1428571428551</v>
      </c>
      <c r="N47" s="18">
        <f t="shared" si="3"/>
        <v>77.965714285714199</v>
      </c>
      <c r="O47" s="19">
        <f t="shared" si="4"/>
        <v>0</v>
      </c>
      <c r="P47" s="20">
        <f t="shared" si="5"/>
        <v>-2.0342857142858009</v>
      </c>
      <c r="Q47" s="400">
        <f t="shared" si="6"/>
        <v>0.97457142857142753</v>
      </c>
      <c r="R47" s="637"/>
      <c r="S47" s="40">
        <v>0.29722222222222222</v>
      </c>
      <c r="T47" s="40">
        <v>0.3215277777777778</v>
      </c>
      <c r="U47" s="397">
        <f t="shared" si="38"/>
        <v>6.9999999999999751</v>
      </c>
      <c r="V47" s="409">
        <f t="shared" si="37"/>
        <v>35.000000000000036</v>
      </c>
      <c r="W47" s="23"/>
      <c r="X47" s="23"/>
      <c r="Y47" s="26"/>
      <c r="Z47" s="26"/>
      <c r="AA47" s="632"/>
      <c r="AB47" s="632"/>
      <c r="AC47" s="135"/>
      <c r="AD47" s="25"/>
      <c r="AE47" s="19">
        <f t="shared" si="8"/>
        <v>-50.857142857144936</v>
      </c>
      <c r="AF47" s="400">
        <f t="shared" si="9"/>
        <v>0.97457142857142753</v>
      </c>
      <c r="AG47" s="637"/>
    </row>
    <row r="48" spans="1:33" ht="15.75" customHeight="1">
      <c r="A48" s="641" t="s">
        <v>75</v>
      </c>
      <c r="B48" s="42" t="s">
        <v>96</v>
      </c>
      <c r="C48" s="401" t="s">
        <v>136</v>
      </c>
      <c r="D48" s="402"/>
      <c r="E48" s="42">
        <v>46</v>
      </c>
      <c r="F48" s="48">
        <v>1032</v>
      </c>
      <c r="G48" s="397">
        <f t="shared" si="35"/>
        <v>47472</v>
      </c>
      <c r="H48" s="37" t="s">
        <v>91</v>
      </c>
      <c r="I48" s="408">
        <v>16</v>
      </c>
      <c r="J48" s="39">
        <v>2000</v>
      </c>
      <c r="K48" s="17">
        <f t="shared" si="1"/>
        <v>125</v>
      </c>
      <c r="L48" s="408">
        <v>16</v>
      </c>
      <c r="M48" s="18">
        <f t="shared" si="39"/>
        <v>1935.000000000002</v>
      </c>
      <c r="N48" s="18">
        <f t="shared" si="3"/>
        <v>120.93750000000013</v>
      </c>
      <c r="O48" s="19">
        <f t="shared" si="4"/>
        <v>0</v>
      </c>
      <c r="P48" s="20">
        <f t="shared" si="5"/>
        <v>-4.0624999999998721</v>
      </c>
      <c r="Q48" s="400">
        <f t="shared" si="6"/>
        <v>0.96750000000000103</v>
      </c>
      <c r="R48" s="637"/>
      <c r="S48" s="40">
        <v>0.32708333333333334</v>
      </c>
      <c r="T48" s="40">
        <v>0.34930555555555554</v>
      </c>
      <c r="U48" s="397">
        <f t="shared" si="38"/>
        <v>7.9999999999999716</v>
      </c>
      <c r="V48" s="409">
        <f t="shared" si="37"/>
        <v>31.999999999999964</v>
      </c>
      <c r="W48" s="23"/>
      <c r="X48" s="23"/>
      <c r="Y48" s="26"/>
      <c r="Z48" s="26"/>
      <c r="AA48" s="632"/>
      <c r="AB48" s="632"/>
      <c r="AC48" s="135"/>
      <c r="AD48" s="25"/>
      <c r="AE48" s="19">
        <f t="shared" si="8"/>
        <v>-64.999999999997954</v>
      </c>
      <c r="AF48" s="400">
        <f t="shared" si="9"/>
        <v>0.96750000000000103</v>
      </c>
      <c r="AG48" s="637"/>
    </row>
    <row r="49" spans="1:33" ht="15.75" customHeight="1">
      <c r="A49" s="641" t="s">
        <v>519</v>
      </c>
      <c r="B49" s="42" t="s">
        <v>96</v>
      </c>
      <c r="C49" s="401" t="s">
        <v>137</v>
      </c>
      <c r="D49" s="402"/>
      <c r="E49" s="42">
        <v>46</v>
      </c>
      <c r="F49" s="48">
        <v>1115</v>
      </c>
      <c r="G49" s="397">
        <f t="shared" si="35"/>
        <v>51290</v>
      </c>
      <c r="H49" s="37" t="s">
        <v>91</v>
      </c>
      <c r="I49" s="408">
        <v>17</v>
      </c>
      <c r="J49" s="39">
        <v>2000</v>
      </c>
      <c r="K49" s="17">
        <f t="shared" si="1"/>
        <v>117.64705882352941</v>
      </c>
      <c r="L49" s="408">
        <v>17</v>
      </c>
      <c r="M49" s="18">
        <f t="shared" si="39"/>
        <v>1911.4285714285695</v>
      </c>
      <c r="N49" s="18">
        <f t="shared" si="3"/>
        <v>112.43697478991585</v>
      </c>
      <c r="O49" s="19">
        <f t="shared" si="4"/>
        <v>0</v>
      </c>
      <c r="P49" s="20">
        <f t="shared" si="5"/>
        <v>-5.2100840336135548</v>
      </c>
      <c r="Q49" s="400">
        <f t="shared" si="6"/>
        <v>0.95571428571428474</v>
      </c>
      <c r="R49" s="637"/>
      <c r="S49" s="40">
        <v>0.35277777777777775</v>
      </c>
      <c r="T49" s="40">
        <v>0.37708333333333333</v>
      </c>
      <c r="U49" s="397">
        <f t="shared" si="38"/>
        <v>4.9999999999999822</v>
      </c>
      <c r="V49" s="409">
        <f t="shared" si="37"/>
        <v>35.000000000000036</v>
      </c>
      <c r="W49" s="23"/>
      <c r="X49" s="23"/>
      <c r="Y49" s="26"/>
      <c r="Z49" s="26"/>
      <c r="AA49" s="632"/>
      <c r="AB49" s="632"/>
      <c r="AC49" s="135"/>
      <c r="AD49" s="25"/>
      <c r="AE49" s="19">
        <f t="shared" si="8"/>
        <v>-88.571428571430488</v>
      </c>
      <c r="AF49" s="400">
        <f t="shared" si="9"/>
        <v>0.95571428571428474</v>
      </c>
      <c r="AG49" s="637"/>
    </row>
    <row r="50" spans="1:33" ht="15.75" customHeight="1">
      <c r="A50" s="641" t="s">
        <v>519</v>
      </c>
      <c r="B50" s="42" t="s">
        <v>92</v>
      </c>
      <c r="C50" s="625" t="s">
        <v>138</v>
      </c>
      <c r="D50" s="626"/>
      <c r="E50" s="42">
        <v>55.56</v>
      </c>
      <c r="F50" s="48">
        <v>2150</v>
      </c>
      <c r="G50" s="397">
        <f t="shared" si="35"/>
        <v>119454</v>
      </c>
      <c r="H50" s="37" t="s">
        <v>91</v>
      </c>
      <c r="I50" s="408">
        <v>17</v>
      </c>
      <c r="J50" s="39">
        <v>2000</v>
      </c>
      <c r="K50" s="17">
        <f t="shared" si="1"/>
        <v>117.64705882352941</v>
      </c>
      <c r="L50" s="408">
        <v>17</v>
      </c>
      <c r="M50" s="18">
        <f t="shared" si="39"/>
        <v>1925.3731343283557</v>
      </c>
      <c r="N50" s="18">
        <f t="shared" si="3"/>
        <v>113.25724319578563</v>
      </c>
      <c r="O50" s="19">
        <f t="shared" si="4"/>
        <v>0</v>
      </c>
      <c r="P50" s="20">
        <f t="shared" si="5"/>
        <v>-4.3898156277437721</v>
      </c>
      <c r="Q50" s="400">
        <f t="shared" si="6"/>
        <v>0.96268656716417789</v>
      </c>
      <c r="R50" s="637"/>
      <c r="S50" s="40">
        <v>0.70833333333333337</v>
      </c>
      <c r="T50" s="40">
        <v>0.7548611111111112</v>
      </c>
      <c r="U50" s="397" t="str">
        <f t="shared" si="38"/>
        <v/>
      </c>
      <c r="V50" s="409">
        <f t="shared" si="37"/>
        <v>67.000000000000085</v>
      </c>
      <c r="W50" s="23"/>
      <c r="X50" s="23"/>
      <c r="Y50" s="26"/>
      <c r="Z50" s="26"/>
      <c r="AA50" s="627"/>
      <c r="AB50" s="628"/>
      <c r="AC50" s="135"/>
      <c r="AD50" s="25"/>
      <c r="AE50" s="19">
        <f t="shared" si="8"/>
        <v>-74.626865671644282</v>
      </c>
      <c r="AF50" s="400">
        <f t="shared" si="9"/>
        <v>0.96268656716417789</v>
      </c>
      <c r="AG50" s="637"/>
    </row>
    <row r="51" spans="1:33" ht="15.75" customHeight="1">
      <c r="A51" s="641" t="s">
        <v>519</v>
      </c>
      <c r="B51" s="42" t="s">
        <v>92</v>
      </c>
      <c r="C51" s="625" t="s">
        <v>420</v>
      </c>
      <c r="D51" s="626"/>
      <c r="E51" s="42">
        <v>58.17</v>
      </c>
      <c r="F51" s="48">
        <v>1980</v>
      </c>
      <c r="G51" s="397">
        <f t="shared" si="35"/>
        <v>115176.6</v>
      </c>
      <c r="H51" s="37" t="s">
        <v>91</v>
      </c>
      <c r="I51" s="408">
        <v>13</v>
      </c>
      <c r="J51" s="39">
        <v>2000</v>
      </c>
      <c r="K51" s="17">
        <f t="shared" si="1"/>
        <v>153.84615384615384</v>
      </c>
      <c r="L51" s="408">
        <v>13</v>
      </c>
      <c r="M51" s="18">
        <f t="shared" si="39"/>
        <v>1916.1290322580662</v>
      </c>
      <c r="N51" s="18">
        <f t="shared" si="3"/>
        <v>147.39454094292816</v>
      </c>
      <c r="O51" s="19">
        <f t="shared" si="4"/>
        <v>0</v>
      </c>
      <c r="P51" s="20">
        <f t="shared" si="5"/>
        <v>-6.4516129032256799</v>
      </c>
      <c r="Q51" s="400">
        <f t="shared" si="6"/>
        <v>0.95806451612903309</v>
      </c>
      <c r="R51" s="637"/>
      <c r="S51" s="40">
        <v>0.75833333333333341</v>
      </c>
      <c r="T51" s="40">
        <v>0.80138888888888893</v>
      </c>
      <c r="U51" s="397">
        <f t="shared" si="38"/>
        <v>4.9999999999999822</v>
      </c>
      <c r="V51" s="409">
        <f t="shared" si="37"/>
        <v>61.999999999999943</v>
      </c>
      <c r="W51" s="23"/>
      <c r="X51" s="23"/>
      <c r="Y51" s="26"/>
      <c r="Z51" s="26"/>
      <c r="AA51" s="627"/>
      <c r="AB51" s="628"/>
      <c r="AC51" s="135"/>
      <c r="AD51" s="25"/>
      <c r="AE51" s="19">
        <f t="shared" si="8"/>
        <v>-83.870967741933782</v>
      </c>
      <c r="AF51" s="400">
        <f t="shared" si="9"/>
        <v>0.95806451612903309</v>
      </c>
      <c r="AG51" s="637"/>
    </row>
    <row r="52" spans="1:33">
      <c r="A52" s="642" t="s">
        <v>519</v>
      </c>
      <c r="B52" s="42" t="s">
        <v>57</v>
      </c>
      <c r="C52" s="638"/>
      <c r="D52" s="638"/>
      <c r="E52" s="405"/>
      <c r="F52" s="44"/>
      <c r="G52" s="17"/>
      <c r="H52" s="410"/>
      <c r="I52" s="29">
        <v>17.857142857142858</v>
      </c>
      <c r="J52" s="39">
        <v>2000</v>
      </c>
      <c r="K52" s="17">
        <f t="shared" si="1"/>
        <v>112</v>
      </c>
      <c r="L52" s="29">
        <v>17.857142857142858</v>
      </c>
      <c r="M52" s="18">
        <f>AVERAGE(M45:M51)</f>
        <v>1924.1902370962823</v>
      </c>
      <c r="N52" s="17">
        <f t="shared" si="3"/>
        <v>107.75465327739181</v>
      </c>
      <c r="O52" s="19">
        <f t="shared" si="4"/>
        <v>0</v>
      </c>
      <c r="P52" s="20">
        <f t="shared" si="5"/>
        <v>-4.2453467226081898</v>
      </c>
      <c r="Q52" s="400">
        <f t="shared" si="6"/>
        <v>0.96209511854814111</v>
      </c>
      <c r="R52" s="637"/>
      <c r="S52" s="40"/>
      <c r="T52" s="40"/>
      <c r="U52" s="397"/>
      <c r="V52" s="409"/>
      <c r="W52" s="17"/>
      <c r="X52" s="17"/>
      <c r="Y52" s="30">
        <f>SUM(Y45:Y51)</f>
        <v>0</v>
      </c>
      <c r="Z52" s="30">
        <f>SUM(Z45:Z51)</f>
        <v>0</v>
      </c>
      <c r="AA52" s="631"/>
      <c r="AB52" s="631"/>
      <c r="AC52" s="30">
        <v>7</v>
      </c>
      <c r="AD52" s="30">
        <f>SUM(AD45:AD51)</f>
        <v>0</v>
      </c>
      <c r="AE52" s="19">
        <f>M52-J52</f>
        <v>-75.809762903717683</v>
      </c>
      <c r="AF52" s="400">
        <f t="shared" si="9"/>
        <v>0.96209511854814111</v>
      </c>
      <c r="AG52" s="637"/>
    </row>
    <row r="53" spans="1:33" ht="15.75" customHeight="1">
      <c r="A53" s="639" t="s">
        <v>2126</v>
      </c>
      <c r="B53" s="410" t="s">
        <v>127</v>
      </c>
      <c r="C53" s="633" t="s">
        <v>141</v>
      </c>
      <c r="D53" s="633"/>
      <c r="E53" s="42">
        <v>35.119999999999997</v>
      </c>
      <c r="F53" s="48">
        <v>3134</v>
      </c>
      <c r="G53" s="397">
        <f t="shared" ref="G53:G58" si="40">E53*F53</f>
        <v>110066.07999999999</v>
      </c>
      <c r="H53" s="37" t="s">
        <v>91</v>
      </c>
      <c r="I53" s="408">
        <v>10</v>
      </c>
      <c r="J53" s="39">
        <v>3000</v>
      </c>
      <c r="K53" s="17">
        <f t="shared" si="1"/>
        <v>300</v>
      </c>
      <c r="L53" s="408">
        <v>10</v>
      </c>
      <c r="M53" s="18">
        <f t="shared" ref="M53:M58" si="41">F53/V53*60</f>
        <v>2892.923076923078</v>
      </c>
      <c r="N53" s="17">
        <f t="shared" si="3"/>
        <v>289.29230769230782</v>
      </c>
      <c r="O53" s="19">
        <f t="shared" si="4"/>
        <v>0</v>
      </c>
      <c r="P53" s="20">
        <f t="shared" si="5"/>
        <v>-10.707692307692184</v>
      </c>
      <c r="Q53" s="400">
        <f t="shared" si="6"/>
        <v>0.96430769230769275</v>
      </c>
      <c r="R53" s="637">
        <f>Q59</f>
        <v>0.96580251122058491</v>
      </c>
      <c r="S53" s="40">
        <v>0.20833333333333334</v>
      </c>
      <c r="T53" s="40">
        <v>0.25347222222222221</v>
      </c>
      <c r="U53" s="397"/>
      <c r="V53" s="409">
        <f t="shared" ref="V53:V58" si="42">(T53-S53)*24*60</f>
        <v>64.999999999999972</v>
      </c>
      <c r="W53" s="23"/>
      <c r="X53" s="23"/>
      <c r="Y53" s="28"/>
      <c r="Z53" s="28"/>
      <c r="AA53" s="632"/>
      <c r="AB53" s="632"/>
      <c r="AC53" s="135">
        <v>6</v>
      </c>
      <c r="AD53" s="25"/>
      <c r="AE53" s="19">
        <f t="shared" ref="AE53:AE65" si="43">M53-J53</f>
        <v>-107.07692307692196</v>
      </c>
      <c r="AF53" s="400">
        <f t="shared" si="9"/>
        <v>0.96430769230769264</v>
      </c>
      <c r="AG53" s="637">
        <f>AF59</f>
        <v>0.96580251122058491</v>
      </c>
    </row>
    <row r="54" spans="1:33" ht="15.75" customHeight="1">
      <c r="A54" s="639" t="s">
        <v>2127</v>
      </c>
      <c r="B54" s="410" t="s">
        <v>127</v>
      </c>
      <c r="C54" s="633" t="s">
        <v>142</v>
      </c>
      <c r="D54" s="633"/>
      <c r="E54" s="42">
        <v>26.78</v>
      </c>
      <c r="F54" s="48">
        <v>1800</v>
      </c>
      <c r="G54" s="397">
        <f t="shared" si="40"/>
        <v>48204</v>
      </c>
      <c r="H54" s="37" t="s">
        <v>91</v>
      </c>
      <c r="I54" s="408">
        <v>10</v>
      </c>
      <c r="J54" s="39">
        <v>3000</v>
      </c>
      <c r="K54" s="17">
        <f t="shared" si="1"/>
        <v>300</v>
      </c>
      <c r="L54" s="408">
        <v>10</v>
      </c>
      <c r="M54" s="18">
        <f t="shared" si="41"/>
        <v>2918.9189189189165</v>
      </c>
      <c r="N54" s="17">
        <f t="shared" si="3"/>
        <v>291.89189189189165</v>
      </c>
      <c r="O54" s="19">
        <f t="shared" si="4"/>
        <v>0</v>
      </c>
      <c r="P54" s="20">
        <f t="shared" si="5"/>
        <v>-8.1081081081083539</v>
      </c>
      <c r="Q54" s="400">
        <f t="shared" si="6"/>
        <v>0.97297297297297214</v>
      </c>
      <c r="R54" s="637"/>
      <c r="S54" s="40">
        <v>0.25902777777777775</v>
      </c>
      <c r="T54" s="40">
        <v>0.28472222222222221</v>
      </c>
      <c r="U54" s="397">
        <f t="shared" ref="U54:U58" si="44">(S54-T53)*24*60</f>
        <v>7.9999999999999716</v>
      </c>
      <c r="V54" s="409">
        <f t="shared" si="42"/>
        <v>37.000000000000028</v>
      </c>
      <c r="W54" s="397"/>
      <c r="X54" s="397"/>
      <c r="Y54" s="397"/>
      <c r="Z54" s="397"/>
      <c r="AA54" s="632"/>
      <c r="AB54" s="632"/>
      <c r="AC54" s="135"/>
      <c r="AD54" s="25"/>
      <c r="AE54" s="19">
        <f t="shared" si="43"/>
        <v>-81.081081081083539</v>
      </c>
      <c r="AF54" s="400">
        <f t="shared" si="9"/>
        <v>0.97297297297297214</v>
      </c>
      <c r="AG54" s="637"/>
    </row>
    <row r="55" spans="1:33" ht="15.75" customHeight="1">
      <c r="A55" s="639" t="s">
        <v>2126</v>
      </c>
      <c r="B55" s="410" t="s">
        <v>127</v>
      </c>
      <c r="C55" s="633" t="s">
        <v>143</v>
      </c>
      <c r="D55" s="633"/>
      <c r="E55" s="42">
        <v>36.14</v>
      </c>
      <c r="F55" s="48">
        <v>637</v>
      </c>
      <c r="G55" s="397">
        <f t="shared" si="40"/>
        <v>23021.18</v>
      </c>
      <c r="H55" s="37" t="s">
        <v>91</v>
      </c>
      <c r="I55" s="408">
        <v>11</v>
      </c>
      <c r="J55" s="39">
        <v>3000</v>
      </c>
      <c r="K55" s="17">
        <f t="shared" si="1"/>
        <v>272.72727272727275</v>
      </c>
      <c r="L55" s="408">
        <v>11</v>
      </c>
      <c r="M55" s="18">
        <f t="shared" si="41"/>
        <v>2939.9999999999923</v>
      </c>
      <c r="N55" s="17">
        <f t="shared" si="3"/>
        <v>267.27272727272657</v>
      </c>
      <c r="O55" s="19">
        <f t="shared" si="4"/>
        <v>0</v>
      </c>
      <c r="P55" s="20">
        <f t="shared" si="5"/>
        <v>-5.454545454546178</v>
      </c>
      <c r="Q55" s="400">
        <f t="shared" si="6"/>
        <v>0.97999999999999732</v>
      </c>
      <c r="R55" s="637"/>
      <c r="S55" s="40">
        <v>0.28819444444444442</v>
      </c>
      <c r="T55" s="40">
        <v>0.29722222222222222</v>
      </c>
      <c r="U55" s="397">
        <f t="shared" si="44"/>
        <v>4.9999999999999822</v>
      </c>
      <c r="V55" s="409">
        <f t="shared" si="42"/>
        <v>13.000000000000034</v>
      </c>
      <c r="W55" s="397"/>
      <c r="X55" s="397"/>
      <c r="Y55" s="397"/>
      <c r="Z55" s="397"/>
      <c r="AA55" s="632"/>
      <c r="AB55" s="632"/>
      <c r="AC55" s="135"/>
      <c r="AD55" s="25"/>
      <c r="AE55" s="19">
        <f t="shared" si="43"/>
        <v>-60.000000000007731</v>
      </c>
      <c r="AF55" s="400">
        <f t="shared" si="9"/>
        <v>0.97999999999999743</v>
      </c>
      <c r="AG55" s="637"/>
    </row>
    <row r="56" spans="1:33" ht="15.75" customHeight="1">
      <c r="A56" s="639" t="s">
        <v>2126</v>
      </c>
      <c r="B56" s="410" t="s">
        <v>127</v>
      </c>
      <c r="C56" s="633" t="s">
        <v>131</v>
      </c>
      <c r="D56" s="633"/>
      <c r="E56" s="42">
        <v>34.35</v>
      </c>
      <c r="F56" s="48">
        <v>323</v>
      </c>
      <c r="G56" s="397">
        <f t="shared" si="40"/>
        <v>11095.050000000001</v>
      </c>
      <c r="H56" s="37" t="s">
        <v>91</v>
      </c>
      <c r="I56" s="408">
        <v>8</v>
      </c>
      <c r="J56" s="39">
        <v>3000</v>
      </c>
      <c r="K56" s="17">
        <f t="shared" si="1"/>
        <v>375</v>
      </c>
      <c r="L56" s="408">
        <v>8</v>
      </c>
      <c r="M56" s="18">
        <f t="shared" si="41"/>
        <v>2768.5714285714384</v>
      </c>
      <c r="N56" s="17">
        <f t="shared" si="3"/>
        <v>346.07142857142981</v>
      </c>
      <c r="O56" s="19">
        <f t="shared" si="4"/>
        <v>0</v>
      </c>
      <c r="P56" s="20">
        <f t="shared" si="5"/>
        <v>-28.928571428570194</v>
      </c>
      <c r="Q56" s="400">
        <f t="shared" si="6"/>
        <v>0.92285714285714615</v>
      </c>
      <c r="R56" s="637"/>
      <c r="S56" s="40">
        <v>0.30138888888888887</v>
      </c>
      <c r="T56" s="40">
        <v>0.30624999999999997</v>
      </c>
      <c r="U56" s="397">
        <f t="shared" si="44"/>
        <v>5.9999999999999787</v>
      </c>
      <c r="V56" s="409">
        <f t="shared" si="42"/>
        <v>6.9999999999999751</v>
      </c>
      <c r="W56" s="397"/>
      <c r="X56" s="397"/>
      <c r="Y56" s="397"/>
      <c r="Z56" s="397"/>
      <c r="AA56" s="632"/>
      <c r="AB56" s="632"/>
      <c r="AC56" s="135"/>
      <c r="AD56" s="25"/>
      <c r="AE56" s="19">
        <f t="shared" si="43"/>
        <v>-231.42857142856155</v>
      </c>
      <c r="AF56" s="400">
        <f t="shared" si="9"/>
        <v>0.92285714285714615</v>
      </c>
      <c r="AG56" s="637"/>
    </row>
    <row r="57" spans="1:33">
      <c r="A57" s="640" t="s">
        <v>2126</v>
      </c>
      <c r="B57" s="410" t="s">
        <v>127</v>
      </c>
      <c r="C57" s="633" t="s">
        <v>130</v>
      </c>
      <c r="D57" s="633"/>
      <c r="E57" s="42">
        <v>35.869999999999997</v>
      </c>
      <c r="F57" s="48">
        <v>941</v>
      </c>
      <c r="G57" s="397">
        <f t="shared" si="40"/>
        <v>33753.67</v>
      </c>
      <c r="H57" s="37" t="s">
        <v>91</v>
      </c>
      <c r="I57" s="408">
        <v>9</v>
      </c>
      <c r="J57" s="39">
        <v>3000</v>
      </c>
      <c r="K57" s="17">
        <f t="shared" si="1"/>
        <v>333.33333333333331</v>
      </c>
      <c r="L57" s="408">
        <v>9</v>
      </c>
      <c r="M57" s="18">
        <f t="shared" si="41"/>
        <v>2971.578947368419</v>
      </c>
      <c r="N57" s="17">
        <f t="shared" si="3"/>
        <v>330.17543859649101</v>
      </c>
      <c r="O57" s="19">
        <f t="shared" si="4"/>
        <v>0</v>
      </c>
      <c r="P57" s="20">
        <f t="shared" si="5"/>
        <v>-3.1578947368423087</v>
      </c>
      <c r="Q57" s="400">
        <f t="shared" si="6"/>
        <v>0.99052631578947303</v>
      </c>
      <c r="R57" s="637"/>
      <c r="S57" s="40">
        <v>0.30972222222222218</v>
      </c>
      <c r="T57" s="40">
        <v>0.32291666666666663</v>
      </c>
      <c r="U57" s="397">
        <f t="shared" si="44"/>
        <v>4.9999999999999822</v>
      </c>
      <c r="V57" s="409">
        <f t="shared" si="42"/>
        <v>19.000000000000014</v>
      </c>
      <c r="W57" s="23"/>
      <c r="X57" s="23"/>
      <c r="Y57" s="23"/>
      <c r="Z57" s="23"/>
      <c r="AA57" s="632"/>
      <c r="AB57" s="632"/>
      <c r="AC57" s="135"/>
      <c r="AD57" s="25"/>
      <c r="AE57" s="19">
        <f t="shared" si="43"/>
        <v>-28.421052631581006</v>
      </c>
      <c r="AF57" s="400">
        <f t="shared" si="9"/>
        <v>0.99052631578947303</v>
      </c>
      <c r="AG57" s="637"/>
    </row>
    <row r="58" spans="1:33" ht="15" customHeight="1">
      <c r="A58" s="640" t="s">
        <v>2127</v>
      </c>
      <c r="B58" s="410" t="s">
        <v>127</v>
      </c>
      <c r="C58" s="625" t="s">
        <v>144</v>
      </c>
      <c r="D58" s="626"/>
      <c r="E58" s="42">
        <v>35.869999999999997</v>
      </c>
      <c r="F58" s="48">
        <v>2555</v>
      </c>
      <c r="G58" s="397">
        <f t="shared" si="40"/>
        <v>91647.849999999991</v>
      </c>
      <c r="H58" s="37" t="s">
        <v>91</v>
      </c>
      <c r="I58" s="408">
        <v>10</v>
      </c>
      <c r="J58" s="39">
        <v>3000</v>
      </c>
      <c r="K58" s="17">
        <f t="shared" si="1"/>
        <v>300</v>
      </c>
      <c r="L58" s="408">
        <v>10</v>
      </c>
      <c r="M58" s="18">
        <f t="shared" si="41"/>
        <v>2892.4528301886808</v>
      </c>
      <c r="N58" s="17">
        <f t="shared" si="3"/>
        <v>289.24528301886807</v>
      </c>
      <c r="O58" s="19">
        <f t="shared" si="4"/>
        <v>0</v>
      </c>
      <c r="P58" s="20">
        <f t="shared" si="5"/>
        <v>-10.754716981131935</v>
      </c>
      <c r="Q58" s="400">
        <f t="shared" si="6"/>
        <v>0.96415094339622687</v>
      </c>
      <c r="R58" s="637"/>
      <c r="S58" s="40">
        <v>0.32847222222222217</v>
      </c>
      <c r="T58" s="40">
        <v>0.3652777777777777</v>
      </c>
      <c r="U58" s="397">
        <f t="shared" si="44"/>
        <v>7.9999999999999716</v>
      </c>
      <c r="V58" s="409">
        <f t="shared" si="42"/>
        <v>52.999999999999972</v>
      </c>
      <c r="W58" s="397"/>
      <c r="X58" s="397"/>
      <c r="Y58" s="403"/>
      <c r="Z58" s="403"/>
      <c r="AA58" s="627"/>
      <c r="AB58" s="628"/>
      <c r="AC58" s="135"/>
      <c r="AD58" s="25"/>
      <c r="AE58" s="19">
        <f t="shared" si="43"/>
        <v>-107.54716981131924</v>
      </c>
      <c r="AF58" s="400">
        <f t="shared" si="9"/>
        <v>0.96415094339622687</v>
      </c>
      <c r="AG58" s="637"/>
    </row>
    <row r="59" spans="1:33">
      <c r="A59" s="640" t="s">
        <v>314</v>
      </c>
      <c r="B59" s="42" t="s">
        <v>2120</v>
      </c>
      <c r="C59" s="638"/>
      <c r="D59" s="638"/>
      <c r="E59" s="405"/>
      <c r="F59" s="44"/>
      <c r="G59" s="17"/>
      <c r="H59" s="410"/>
      <c r="I59" s="29">
        <v>9.6666666666666661</v>
      </c>
      <c r="J59" s="39">
        <v>3000</v>
      </c>
      <c r="K59" s="17">
        <f t="shared" si="1"/>
        <v>310.34482758620692</v>
      </c>
      <c r="L59" s="29">
        <v>9.6666666666666661</v>
      </c>
      <c r="M59" s="18">
        <f>AVERAGE(M53:M58)</f>
        <v>2897.4075336617548</v>
      </c>
      <c r="N59" s="17">
        <f t="shared" si="3"/>
        <v>299.7318138270781</v>
      </c>
      <c r="O59" s="19">
        <f t="shared" si="4"/>
        <v>0</v>
      </c>
      <c r="P59" s="20">
        <f t="shared" si="5"/>
        <v>-10.613013759128819</v>
      </c>
      <c r="Q59" s="400">
        <f t="shared" si="6"/>
        <v>0.96580251122058491</v>
      </c>
      <c r="R59" s="637"/>
      <c r="S59" s="40"/>
      <c r="T59" s="40"/>
      <c r="U59" s="17"/>
      <c r="V59" s="409"/>
      <c r="W59" s="17"/>
      <c r="X59" s="17"/>
      <c r="Y59" s="30">
        <f>SUM(Y53:Y58)</f>
        <v>0</v>
      </c>
      <c r="Z59" s="30">
        <f>SUM(Z53:Z58)</f>
        <v>0</v>
      </c>
      <c r="AA59" s="631"/>
      <c r="AB59" s="631"/>
      <c r="AC59" s="30">
        <v>6</v>
      </c>
      <c r="AD59" s="30">
        <f>SUM(AD53:AD58)</f>
        <v>0</v>
      </c>
      <c r="AE59" s="19">
        <f t="shared" si="43"/>
        <v>-102.59246633824523</v>
      </c>
      <c r="AF59" s="400">
        <f t="shared" si="9"/>
        <v>0.96580251122058491</v>
      </c>
      <c r="AG59" s="637"/>
    </row>
    <row r="60" spans="1:33" ht="15.75" customHeight="1">
      <c r="A60" s="634" t="s">
        <v>88</v>
      </c>
      <c r="B60" s="410" t="s">
        <v>116</v>
      </c>
      <c r="C60" s="633" t="s">
        <v>145</v>
      </c>
      <c r="D60" s="633"/>
      <c r="E60" s="42">
        <v>19.02</v>
      </c>
      <c r="F60" s="410">
        <v>8324</v>
      </c>
      <c r="G60" s="397">
        <f t="shared" ref="G60:G64" si="45">E60*F60</f>
        <v>158322.48000000001</v>
      </c>
      <c r="H60" s="37" t="s">
        <v>91</v>
      </c>
      <c r="I60" s="408">
        <v>14</v>
      </c>
      <c r="J60" s="39">
        <v>2400</v>
      </c>
      <c r="K60" s="17">
        <f t="shared" si="1"/>
        <v>171.42857142857142</v>
      </c>
      <c r="L60" s="408">
        <v>14</v>
      </c>
      <c r="M60" s="18">
        <f t="shared" ref="M60:M64" si="46">F60/V60*60</f>
        <v>2291.0091743119265</v>
      </c>
      <c r="N60" s="17">
        <f t="shared" si="3"/>
        <v>163.64351245085189</v>
      </c>
      <c r="O60" s="19">
        <f t="shared" si="4"/>
        <v>0</v>
      </c>
      <c r="P60" s="20">
        <f t="shared" si="5"/>
        <v>-7.7850589777195296</v>
      </c>
      <c r="Q60" s="400">
        <f t="shared" si="6"/>
        <v>0.95458715596330279</v>
      </c>
      <c r="R60" s="637">
        <f>Q65</f>
        <v>0.95625594682427961</v>
      </c>
      <c r="S60" s="40">
        <v>8.3333333333333329E-2</v>
      </c>
      <c r="T60" s="40">
        <v>0.23472222222222222</v>
      </c>
      <c r="U60" s="28"/>
      <c r="V60" s="409">
        <f t="shared" ref="V60:V64" si="47">(T60-S60)*24*60</f>
        <v>218.00000000000003</v>
      </c>
      <c r="W60" s="23">
        <f>T60</f>
        <v>0.23472222222222222</v>
      </c>
      <c r="X60" s="23">
        <f>S61</f>
        <v>0.25555555555555554</v>
      </c>
      <c r="Y60" s="23"/>
      <c r="Z60" s="23"/>
      <c r="AA60" s="632"/>
      <c r="AB60" s="632"/>
      <c r="AC60" s="135">
        <v>5</v>
      </c>
      <c r="AD60" s="25"/>
      <c r="AE60" s="19">
        <f t="shared" si="43"/>
        <v>-108.99082568807353</v>
      </c>
      <c r="AF60" s="400">
        <f t="shared" si="9"/>
        <v>0.95458715596330268</v>
      </c>
      <c r="AG60" s="637">
        <f>AF65</f>
        <v>0.95625594682427961</v>
      </c>
    </row>
    <row r="61" spans="1:33" ht="15.75" customHeight="1">
      <c r="A61" s="635" t="s">
        <v>88</v>
      </c>
      <c r="B61" s="410" t="s">
        <v>116</v>
      </c>
      <c r="C61" s="633" t="s">
        <v>146</v>
      </c>
      <c r="D61" s="633"/>
      <c r="E61" s="42">
        <v>20.36</v>
      </c>
      <c r="F61" s="410">
        <v>3064</v>
      </c>
      <c r="G61" s="397">
        <f t="shared" si="45"/>
        <v>62383.040000000001</v>
      </c>
      <c r="H61" s="37" t="s">
        <v>91</v>
      </c>
      <c r="I61" s="408">
        <v>17</v>
      </c>
      <c r="J61" s="39">
        <v>2400</v>
      </c>
      <c r="K61" s="17">
        <f t="shared" si="1"/>
        <v>141.1764705882353</v>
      </c>
      <c r="L61" s="408">
        <v>17</v>
      </c>
      <c r="M61" s="18">
        <f t="shared" si="46"/>
        <v>2297.9999999999991</v>
      </c>
      <c r="N61" s="17">
        <f t="shared" si="3"/>
        <v>135.17647058823525</v>
      </c>
      <c r="O61" s="19">
        <f t="shared" si="4"/>
        <v>0</v>
      </c>
      <c r="P61" s="20">
        <f t="shared" si="5"/>
        <v>-6.0000000000000568</v>
      </c>
      <c r="Q61" s="400">
        <f t="shared" si="6"/>
        <v>0.95749999999999957</v>
      </c>
      <c r="R61" s="637"/>
      <c r="S61" s="40">
        <v>0.25555555555555554</v>
      </c>
      <c r="T61" s="40">
        <v>0.31111111111111112</v>
      </c>
      <c r="U61" s="397">
        <f t="shared" ref="U61:U64" si="48">(S61-T60)*24*60</f>
        <v>29.999999999999972</v>
      </c>
      <c r="V61" s="409">
        <f t="shared" si="47"/>
        <v>80.000000000000028</v>
      </c>
      <c r="W61" s="23"/>
      <c r="X61" s="23"/>
      <c r="Y61" s="23"/>
      <c r="Z61" s="23"/>
      <c r="AA61" s="632"/>
      <c r="AB61" s="632"/>
      <c r="AC61" s="135"/>
      <c r="AD61" s="25"/>
      <c r="AE61" s="19">
        <f t="shared" si="43"/>
        <v>-102.00000000000091</v>
      </c>
      <c r="AF61" s="400">
        <f t="shared" si="9"/>
        <v>0.95749999999999957</v>
      </c>
      <c r="AG61" s="637"/>
    </row>
    <row r="62" spans="1:33" ht="15.75" customHeight="1">
      <c r="A62" s="635" t="s">
        <v>88</v>
      </c>
      <c r="B62" s="410" t="s">
        <v>116</v>
      </c>
      <c r="C62" s="633" t="s">
        <v>120</v>
      </c>
      <c r="D62" s="633"/>
      <c r="E62" s="42">
        <v>25.99</v>
      </c>
      <c r="F62" s="410">
        <v>849</v>
      </c>
      <c r="G62" s="397">
        <f t="shared" si="45"/>
        <v>22065.51</v>
      </c>
      <c r="H62" s="37" t="s">
        <v>91</v>
      </c>
      <c r="I62" s="408">
        <v>18</v>
      </c>
      <c r="J62" s="39">
        <v>2400</v>
      </c>
      <c r="K62" s="17">
        <f t="shared" si="1"/>
        <v>133.33333333333334</v>
      </c>
      <c r="L62" s="408">
        <v>18</v>
      </c>
      <c r="M62" s="18">
        <f t="shared" si="46"/>
        <v>2315.4545454545455</v>
      </c>
      <c r="N62" s="17">
        <f t="shared" si="3"/>
        <v>128.63636363636363</v>
      </c>
      <c r="O62" s="19">
        <f t="shared" si="4"/>
        <v>0</v>
      </c>
      <c r="P62" s="20">
        <f t="shared" si="5"/>
        <v>-4.6969696969697168</v>
      </c>
      <c r="Q62" s="400">
        <f t="shared" si="6"/>
        <v>0.96477272727272712</v>
      </c>
      <c r="R62" s="637"/>
      <c r="S62" s="40">
        <v>0.31597222222222221</v>
      </c>
      <c r="T62" s="40">
        <v>0.33124999999999999</v>
      </c>
      <c r="U62" s="397">
        <f t="shared" si="48"/>
        <v>6.9999999999999751</v>
      </c>
      <c r="V62" s="409">
        <f t="shared" si="47"/>
        <v>22</v>
      </c>
      <c r="W62" s="23"/>
      <c r="X62" s="23"/>
      <c r="Y62" s="23"/>
      <c r="Z62" s="23"/>
      <c r="AA62" s="632"/>
      <c r="AB62" s="632"/>
      <c r="AC62" s="135"/>
      <c r="AD62" s="25"/>
      <c r="AE62" s="19">
        <f t="shared" si="43"/>
        <v>-84.545454545454504</v>
      </c>
      <c r="AF62" s="400">
        <f t="shared" si="9"/>
        <v>0.96477272727272734</v>
      </c>
      <c r="AG62" s="637"/>
    </row>
    <row r="63" spans="1:33" ht="15.75" customHeight="1">
      <c r="A63" s="635" t="s">
        <v>88</v>
      </c>
      <c r="B63" s="410" t="s">
        <v>116</v>
      </c>
      <c r="C63" s="633" t="s">
        <v>148</v>
      </c>
      <c r="D63" s="633"/>
      <c r="E63" s="42">
        <v>28.29</v>
      </c>
      <c r="F63" s="410">
        <v>2821</v>
      </c>
      <c r="G63" s="397">
        <f t="shared" si="45"/>
        <v>79806.09</v>
      </c>
      <c r="H63" s="37" t="s">
        <v>91</v>
      </c>
      <c r="I63" s="408">
        <v>19</v>
      </c>
      <c r="J63" s="39">
        <v>2400</v>
      </c>
      <c r="K63" s="17">
        <f t="shared" si="1"/>
        <v>126.31578947368421</v>
      </c>
      <c r="L63" s="408">
        <v>19</v>
      </c>
      <c r="M63" s="18">
        <f t="shared" si="46"/>
        <v>2287.297297297298</v>
      </c>
      <c r="N63" s="17">
        <f t="shared" si="3"/>
        <v>120.38406827880516</v>
      </c>
      <c r="O63" s="19">
        <f t="shared" si="4"/>
        <v>0</v>
      </c>
      <c r="P63" s="20">
        <f t="shared" si="5"/>
        <v>-5.9317211948790458</v>
      </c>
      <c r="Q63" s="400">
        <f t="shared" si="6"/>
        <v>0.95304054054054088</v>
      </c>
      <c r="R63" s="637"/>
      <c r="S63" s="40">
        <v>0.33611111111111108</v>
      </c>
      <c r="T63" s="40">
        <v>0.38749999999999996</v>
      </c>
      <c r="U63" s="397">
        <f t="shared" si="48"/>
        <v>6.9999999999999751</v>
      </c>
      <c r="V63" s="409">
        <f t="shared" si="47"/>
        <v>73.999999999999972</v>
      </c>
      <c r="W63" s="23"/>
      <c r="X63" s="23"/>
      <c r="Y63" s="23"/>
      <c r="Z63" s="23"/>
      <c r="AA63" s="632"/>
      <c r="AB63" s="632"/>
      <c r="AC63" s="135"/>
      <c r="AD63" s="25"/>
      <c r="AE63" s="19">
        <f t="shared" si="43"/>
        <v>-112.70270270270203</v>
      </c>
      <c r="AF63" s="400">
        <f t="shared" si="9"/>
        <v>0.95304054054054077</v>
      </c>
      <c r="AG63" s="637"/>
    </row>
    <row r="64" spans="1:33" ht="15.75" customHeight="1">
      <c r="A64" s="635" t="s">
        <v>88</v>
      </c>
      <c r="B64" s="410" t="s">
        <v>116</v>
      </c>
      <c r="C64" s="633" t="s">
        <v>1859</v>
      </c>
      <c r="D64" s="633"/>
      <c r="E64" s="42">
        <v>25.98</v>
      </c>
      <c r="F64" s="410">
        <v>5518</v>
      </c>
      <c r="G64" s="397">
        <f t="shared" si="45"/>
        <v>143357.64000000001</v>
      </c>
      <c r="H64" s="37" t="s">
        <v>91</v>
      </c>
      <c r="I64" s="408">
        <v>19</v>
      </c>
      <c r="J64" s="39">
        <v>2400</v>
      </c>
      <c r="K64" s="17">
        <f t="shared" si="1"/>
        <v>126.31578947368421</v>
      </c>
      <c r="L64" s="408">
        <v>19</v>
      </c>
      <c r="M64" s="18">
        <f t="shared" si="46"/>
        <v>2283.3103448275865</v>
      </c>
      <c r="N64" s="17">
        <f t="shared" si="3"/>
        <v>120.17422867513613</v>
      </c>
      <c r="O64" s="19">
        <f t="shared" si="4"/>
        <v>0</v>
      </c>
      <c r="P64" s="20">
        <f t="shared" si="5"/>
        <v>-6.1415607985480705</v>
      </c>
      <c r="Q64" s="400">
        <f t="shared" si="6"/>
        <v>0.95137931034482781</v>
      </c>
      <c r="R64" s="637"/>
      <c r="S64" s="40">
        <v>0.39097222222222217</v>
      </c>
      <c r="T64" s="40">
        <v>0.49166666666666659</v>
      </c>
      <c r="U64" s="397">
        <f t="shared" si="48"/>
        <v>4.9999999999999822</v>
      </c>
      <c r="V64" s="409">
        <f t="shared" si="47"/>
        <v>144.99999999999997</v>
      </c>
      <c r="W64" s="23"/>
      <c r="X64" s="23"/>
      <c r="Y64" s="23"/>
      <c r="Z64" s="23"/>
      <c r="AA64" s="632"/>
      <c r="AB64" s="632"/>
      <c r="AC64" s="135"/>
      <c r="AD64" s="25"/>
      <c r="AE64" s="19">
        <f t="shared" si="43"/>
        <v>-116.6896551724135</v>
      </c>
      <c r="AF64" s="400">
        <f t="shared" si="9"/>
        <v>0.9513793103448277</v>
      </c>
      <c r="AG64" s="637"/>
    </row>
    <row r="65" spans="1:33" ht="16.5" customHeight="1">
      <c r="A65" s="636" t="s">
        <v>2128</v>
      </c>
      <c r="B65" s="42" t="s">
        <v>57</v>
      </c>
      <c r="C65" s="629"/>
      <c r="D65" s="630"/>
      <c r="E65" s="405"/>
      <c r="F65" s="44"/>
      <c r="G65" s="17"/>
      <c r="H65" s="410"/>
      <c r="I65" s="29">
        <v>17.399999999999999</v>
      </c>
      <c r="J65" s="39">
        <v>2400</v>
      </c>
      <c r="K65" s="17">
        <f t="shared" si="1"/>
        <v>137.93103448275863</v>
      </c>
      <c r="L65" s="29">
        <v>17.399999999999999</v>
      </c>
      <c r="M65" s="18">
        <f>AVERAGE(M60:M64)</f>
        <v>2295.014272378271</v>
      </c>
      <c r="N65" s="17">
        <f t="shared" si="3"/>
        <v>131.89737197576272</v>
      </c>
      <c r="O65" s="19">
        <f t="shared" si="4"/>
        <v>0</v>
      </c>
      <c r="P65" s="20">
        <f t="shared" si="5"/>
        <v>-6.0336625069959098</v>
      </c>
      <c r="Q65" s="400">
        <f t="shared" si="6"/>
        <v>0.95625594682427961</v>
      </c>
      <c r="R65" s="637"/>
      <c r="S65" s="40"/>
      <c r="T65" s="40"/>
      <c r="U65" s="17"/>
      <c r="V65" s="409"/>
      <c r="W65" s="17"/>
      <c r="X65" s="17"/>
      <c r="Y65" s="30">
        <f>SUM(Y60:Y64)</f>
        <v>0</v>
      </c>
      <c r="Z65" s="30">
        <f>SUM(Z60:Z64)</f>
        <v>0</v>
      </c>
      <c r="AA65" s="631"/>
      <c r="AB65" s="631"/>
      <c r="AC65" s="30">
        <v>5</v>
      </c>
      <c r="AD65" s="30">
        <f>SUM(AD60:AD64)</f>
        <v>0</v>
      </c>
      <c r="AE65" s="19">
        <f t="shared" si="43"/>
        <v>-104.98572762172898</v>
      </c>
      <c r="AF65" s="400">
        <f t="shared" si="9"/>
        <v>0.95625594682427961</v>
      </c>
      <c r="AG65" s="637"/>
    </row>
    <row r="66" spans="1:33">
      <c r="D66" s="33"/>
      <c r="E66" s="33"/>
    </row>
  </sheetData>
  <mergeCells count="179">
    <mergeCell ref="A60:A65"/>
    <mergeCell ref="C60:D60"/>
    <mergeCell ref="R60:R65"/>
    <mergeCell ref="AA60:AB60"/>
    <mergeCell ref="AG60:AG65"/>
    <mergeCell ref="C61:D61"/>
    <mergeCell ref="AA61:AB61"/>
    <mergeCell ref="C62:D62"/>
    <mergeCell ref="AA62:AB62"/>
    <mergeCell ref="C63:D63"/>
    <mergeCell ref="AA63:AB63"/>
    <mergeCell ref="C64:D64"/>
    <mergeCell ref="AA64:AB64"/>
    <mergeCell ref="C65:D65"/>
    <mergeCell ref="AA65:AB65"/>
    <mergeCell ref="AG53:AG59"/>
    <mergeCell ref="C54:D54"/>
    <mergeCell ref="AA54:AB54"/>
    <mergeCell ref="C55:D55"/>
    <mergeCell ref="AA55:AB55"/>
    <mergeCell ref="C56:D56"/>
    <mergeCell ref="AA56:AB56"/>
    <mergeCell ref="C57:D57"/>
    <mergeCell ref="AA57:AB57"/>
    <mergeCell ref="C58:D58"/>
    <mergeCell ref="AA51:AB51"/>
    <mergeCell ref="AA44:AB44"/>
    <mergeCell ref="A45:A52"/>
    <mergeCell ref="C45:D45"/>
    <mergeCell ref="R45:R52"/>
    <mergeCell ref="AA45:AB45"/>
    <mergeCell ref="C52:D52"/>
    <mergeCell ref="AA52:AB52"/>
    <mergeCell ref="A53:A59"/>
    <mergeCell ref="C53:D53"/>
    <mergeCell ref="R53:R59"/>
    <mergeCell ref="AA53:AB53"/>
    <mergeCell ref="AA58:AB58"/>
    <mergeCell ref="C59:D59"/>
    <mergeCell ref="AA59:AB59"/>
    <mergeCell ref="A34:A40"/>
    <mergeCell ref="C34:D34"/>
    <mergeCell ref="R34:R40"/>
    <mergeCell ref="AA34:AB34"/>
    <mergeCell ref="AG45:AG52"/>
    <mergeCell ref="C46:D46"/>
    <mergeCell ref="AA46:AB46"/>
    <mergeCell ref="C47:D47"/>
    <mergeCell ref="AA47:AB47"/>
    <mergeCell ref="A41:A44"/>
    <mergeCell ref="C41:D41"/>
    <mergeCell ref="R41:R44"/>
    <mergeCell ref="AA41:AB41"/>
    <mergeCell ref="AG41:AG44"/>
    <mergeCell ref="C42:D42"/>
    <mergeCell ref="AA42:AB42"/>
    <mergeCell ref="C43:D43"/>
    <mergeCell ref="AA43:AB43"/>
    <mergeCell ref="C44:D44"/>
    <mergeCell ref="AA48:AB48"/>
    <mergeCell ref="AA49:AB49"/>
    <mergeCell ref="C50:D50"/>
    <mergeCell ref="AA50:AB50"/>
    <mergeCell ref="C51:D51"/>
    <mergeCell ref="AG34:AG40"/>
    <mergeCell ref="C35:D35"/>
    <mergeCell ref="AA35:AB35"/>
    <mergeCell ref="C36:D36"/>
    <mergeCell ref="AA36:AB36"/>
    <mergeCell ref="C37:D37"/>
    <mergeCell ref="AG28:AG33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AA37:AB37"/>
    <mergeCell ref="C38:D38"/>
    <mergeCell ref="AA38:AB38"/>
    <mergeCell ref="C39:D39"/>
    <mergeCell ref="AA39:AB39"/>
    <mergeCell ref="C40:D40"/>
    <mergeCell ref="AA40:AB40"/>
    <mergeCell ref="A28:A33"/>
    <mergeCell ref="C28:D28"/>
    <mergeCell ref="R28:R33"/>
    <mergeCell ref="AA28:AB28"/>
    <mergeCell ref="AA33:AB33"/>
    <mergeCell ref="AG20:AG27"/>
    <mergeCell ref="C21:D21"/>
    <mergeCell ref="AA21:AB21"/>
    <mergeCell ref="C22:D22"/>
    <mergeCell ref="AA22:AB22"/>
    <mergeCell ref="C23:D23"/>
    <mergeCell ref="AA23:AB23"/>
    <mergeCell ref="C24:D24"/>
    <mergeCell ref="AA24:AB24"/>
    <mergeCell ref="C25:D25"/>
    <mergeCell ref="A20:A27"/>
    <mergeCell ref="C20:D20"/>
    <mergeCell ref="R20:R27"/>
    <mergeCell ref="AA20:AB20"/>
    <mergeCell ref="AA25:AB25"/>
    <mergeCell ref="C26:D26"/>
    <mergeCell ref="A12:A19"/>
    <mergeCell ref="AA26:AB26"/>
    <mergeCell ref="C27:D27"/>
    <mergeCell ref="AA27:AB27"/>
    <mergeCell ref="C13:D13"/>
    <mergeCell ref="AA13:AB13"/>
    <mergeCell ref="C14:D14"/>
    <mergeCell ref="AA14:AB14"/>
    <mergeCell ref="C15:D15"/>
    <mergeCell ref="AA15:AB15"/>
    <mergeCell ref="AG9:AG11"/>
    <mergeCell ref="C10:D10"/>
    <mergeCell ref="AA10:AB10"/>
    <mergeCell ref="C11:D11"/>
    <mergeCell ref="AA11:AB11"/>
    <mergeCell ref="C12:D12"/>
    <mergeCell ref="R12:R19"/>
    <mergeCell ref="AA12:AB12"/>
    <mergeCell ref="AG12:AG19"/>
    <mergeCell ref="C16:D16"/>
    <mergeCell ref="AA16:AB16"/>
    <mergeCell ref="C19:D19"/>
    <mergeCell ref="AA19:AB19"/>
    <mergeCell ref="A9:A11"/>
    <mergeCell ref="C9:D9"/>
    <mergeCell ref="R9:R11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</mergeCells>
  <phoneticPr fontId="3" type="noConversion"/>
  <conditionalFormatting sqref="O52:O53 O56:O65 O5:O9 O11:O13 O19:O50">
    <cfRule type="cellIs" dxfId="1535" priority="48" operator="greaterThan">
      <formula>0</formula>
    </cfRule>
  </conditionalFormatting>
  <conditionalFormatting sqref="P5:P7 P56:P58 AE56:AE58 P60:P64 P28:P32 P53 P9 P11:P13 P20:P26 P45:P50 P34:P43 AE5:AE53 AE60:AE65">
    <cfRule type="cellIs" dxfId="1534" priority="52" operator="lessThan">
      <formula>0</formula>
    </cfRule>
  </conditionalFormatting>
  <conditionalFormatting sqref="AF56:AF58 Q52:Q53 Q56:Q65 Q5:Q9 Q11:Q13 Q19:Q50 AF5:AF53 AF60:AF65">
    <cfRule type="cellIs" dxfId="1533" priority="49" operator="greaterThan">
      <formula>1</formula>
    </cfRule>
    <cfRule type="cellIs" dxfId="1532" priority="50" operator="lessThan">
      <formula>0.8</formula>
    </cfRule>
  </conditionalFormatting>
  <conditionalFormatting sqref="AG12:AG13 R12:R13 AG56 R19:R25 AG19:AG25 AG52:AG53 R52:R53 R56:R65 AG5:AG9 R5:R9 AG27:AG50 R27:R50">
    <cfRule type="cellIs" dxfId="1531" priority="54" operator="lessThan">
      <formula>0.8</formula>
    </cfRule>
  </conditionalFormatting>
  <conditionalFormatting sqref="AG41">
    <cfRule type="cellIs" dxfId="1530" priority="56" operator="lessThan">
      <formula>0.8</formula>
    </cfRule>
  </conditionalFormatting>
  <conditionalFormatting sqref="AG20:AG25">
    <cfRule type="cellIs" dxfId="1529" priority="53" operator="lessThan">
      <formula>0.8</formula>
    </cfRule>
  </conditionalFormatting>
  <conditionalFormatting sqref="AG28">
    <cfRule type="cellIs" dxfId="1528" priority="55" operator="lessThan">
      <formula>0.8</formula>
    </cfRule>
  </conditionalFormatting>
  <conditionalFormatting sqref="AG34:AG39">
    <cfRule type="cellIs" dxfId="1527" priority="51" operator="lessThan">
      <formula>0.8</formula>
    </cfRule>
  </conditionalFormatting>
  <conditionalFormatting sqref="AE59">
    <cfRule type="cellIs" dxfId="1526" priority="47" operator="lessThan">
      <formula>0</formula>
    </cfRule>
  </conditionalFormatting>
  <conditionalFormatting sqref="AF59">
    <cfRule type="cellIs" dxfId="1525" priority="45" operator="greaterThan">
      <formula>1</formula>
    </cfRule>
    <cfRule type="cellIs" dxfId="1524" priority="46" operator="lessThan">
      <formula>0.8</formula>
    </cfRule>
  </conditionalFormatting>
  <conditionalFormatting sqref="O14:O15">
    <cfRule type="cellIs" dxfId="1523" priority="40" operator="greaterThan">
      <formula>0</formula>
    </cfRule>
  </conditionalFormatting>
  <conditionalFormatting sqref="P14:P15">
    <cfRule type="cellIs" dxfId="1522" priority="43" operator="lessThan">
      <formula>0</formula>
    </cfRule>
  </conditionalFormatting>
  <conditionalFormatting sqref="Q14:Q15">
    <cfRule type="cellIs" dxfId="1521" priority="41" operator="greaterThan">
      <formula>1</formula>
    </cfRule>
    <cfRule type="cellIs" dxfId="1520" priority="42" operator="lessThan">
      <formula>0.8</formula>
    </cfRule>
  </conditionalFormatting>
  <conditionalFormatting sqref="R14:R15 AG14:AG15">
    <cfRule type="cellIs" dxfId="1519" priority="44" operator="lessThan">
      <formula>0.8</formula>
    </cfRule>
  </conditionalFormatting>
  <conditionalFormatting sqref="O10">
    <cfRule type="cellIs" dxfId="1518" priority="36" operator="greaterThan">
      <formula>0</formula>
    </cfRule>
  </conditionalFormatting>
  <conditionalFormatting sqref="P10">
    <cfRule type="cellIs" dxfId="1517" priority="39" operator="lessThan">
      <formula>0</formula>
    </cfRule>
  </conditionalFormatting>
  <conditionalFormatting sqref="Q10">
    <cfRule type="cellIs" dxfId="1516" priority="37" operator="greaterThan">
      <formula>1</formula>
    </cfRule>
    <cfRule type="cellIs" dxfId="1515" priority="38" operator="lessThan">
      <formula>0.8</formula>
    </cfRule>
  </conditionalFormatting>
  <conditionalFormatting sqref="O51">
    <cfRule type="cellIs" dxfId="1514" priority="31" operator="greaterThan">
      <formula>0</formula>
    </cfRule>
  </conditionalFormatting>
  <conditionalFormatting sqref="P51">
    <cfRule type="cellIs" dxfId="1513" priority="34" operator="lessThan">
      <formula>0</formula>
    </cfRule>
  </conditionalFormatting>
  <conditionalFormatting sqref="Q51">
    <cfRule type="cellIs" dxfId="1512" priority="32" operator="greaterThan">
      <formula>1</formula>
    </cfRule>
    <cfRule type="cellIs" dxfId="1511" priority="33" operator="lessThan">
      <formula>0.8</formula>
    </cfRule>
  </conditionalFormatting>
  <conditionalFormatting sqref="R51 AG51">
    <cfRule type="cellIs" dxfId="1510" priority="35" operator="lessThan">
      <formula>0.8</formula>
    </cfRule>
  </conditionalFormatting>
  <conditionalFormatting sqref="O55">
    <cfRule type="cellIs" dxfId="1509" priority="26" operator="greaterThan">
      <formula>0</formula>
    </cfRule>
  </conditionalFormatting>
  <conditionalFormatting sqref="P55 AE55">
    <cfRule type="cellIs" dxfId="1508" priority="29" operator="lessThan">
      <formula>0</formula>
    </cfRule>
  </conditionalFormatting>
  <conditionalFormatting sqref="Q55 AF55">
    <cfRule type="cellIs" dxfId="1507" priority="27" operator="greaterThan">
      <formula>1</formula>
    </cfRule>
    <cfRule type="cellIs" dxfId="1506" priority="28" operator="lessThan">
      <formula>0.8</formula>
    </cfRule>
  </conditionalFormatting>
  <conditionalFormatting sqref="R55 AG55">
    <cfRule type="cellIs" dxfId="1505" priority="30" operator="lessThan">
      <formula>0.8</formula>
    </cfRule>
  </conditionalFormatting>
  <conditionalFormatting sqref="O16:O17">
    <cfRule type="cellIs" dxfId="1504" priority="21" operator="greaterThan">
      <formula>0</formula>
    </cfRule>
  </conditionalFormatting>
  <conditionalFormatting sqref="P16:P17">
    <cfRule type="cellIs" dxfId="1503" priority="24" operator="lessThan">
      <formula>0</formula>
    </cfRule>
  </conditionalFormatting>
  <conditionalFormatting sqref="Q16:Q17">
    <cfRule type="cellIs" dxfId="1502" priority="22" operator="greaterThan">
      <formula>1</formula>
    </cfRule>
    <cfRule type="cellIs" dxfId="1501" priority="23" operator="lessThan">
      <formula>0.8</formula>
    </cfRule>
  </conditionalFormatting>
  <conditionalFormatting sqref="R16:R17 AG16:AG17">
    <cfRule type="cellIs" dxfId="1500" priority="25" operator="lessThan">
      <formula>0.8</formula>
    </cfRule>
  </conditionalFormatting>
  <conditionalFormatting sqref="R26 AG26">
    <cfRule type="cellIs" dxfId="1499" priority="20" operator="lessThan">
      <formula>0.8</formula>
    </cfRule>
  </conditionalFormatting>
  <conditionalFormatting sqref="AG26">
    <cfRule type="cellIs" dxfId="1498" priority="19" operator="lessThan">
      <formula>0.8</formula>
    </cfRule>
  </conditionalFormatting>
  <conditionalFormatting sqref="O54">
    <cfRule type="cellIs" dxfId="1497" priority="14" operator="greaterThan">
      <formula>0</formula>
    </cfRule>
  </conditionalFormatting>
  <conditionalFormatting sqref="P54 AE54">
    <cfRule type="cellIs" dxfId="1496" priority="17" operator="lessThan">
      <formula>0</formula>
    </cfRule>
  </conditionalFormatting>
  <conditionalFormatting sqref="Q54 AF54">
    <cfRule type="cellIs" dxfId="1495" priority="15" operator="greaterThan">
      <formula>1</formula>
    </cfRule>
    <cfRule type="cellIs" dxfId="1494" priority="16" operator="lessThan">
      <formula>0.8</formula>
    </cfRule>
  </conditionalFormatting>
  <conditionalFormatting sqref="R54 AG54">
    <cfRule type="cellIs" dxfId="1493" priority="18" operator="lessThan">
      <formula>0.8</formula>
    </cfRule>
  </conditionalFormatting>
  <conditionalFormatting sqref="O18">
    <cfRule type="cellIs" dxfId="1492" priority="9" operator="greaterThan">
      <formula>0</formula>
    </cfRule>
  </conditionalFormatting>
  <conditionalFormatting sqref="P18">
    <cfRule type="cellIs" dxfId="1491" priority="12" operator="lessThan">
      <formula>0</formula>
    </cfRule>
  </conditionalFormatting>
  <conditionalFormatting sqref="Q18">
    <cfRule type="cellIs" dxfId="1490" priority="10" operator="greaterThan">
      <formula>1</formula>
    </cfRule>
    <cfRule type="cellIs" dxfId="1489" priority="11" operator="lessThan">
      <formula>0.8</formula>
    </cfRule>
  </conditionalFormatting>
  <conditionalFormatting sqref="AG18 R18">
    <cfRule type="cellIs" dxfId="1488" priority="13" operator="lessThan">
      <formula>0.8</formula>
    </cfRule>
  </conditionalFormatting>
  <conditionalFormatting sqref="P8">
    <cfRule type="cellIs" dxfId="1487" priority="8" operator="lessThan">
      <formula>0</formula>
    </cfRule>
  </conditionalFormatting>
  <conditionalFormatting sqref="P19">
    <cfRule type="cellIs" dxfId="1486" priority="7" operator="lessThan">
      <formula>0</formula>
    </cfRule>
  </conditionalFormatting>
  <conditionalFormatting sqref="P27">
    <cfRule type="cellIs" dxfId="1485" priority="6" operator="lessThan">
      <formula>0</formula>
    </cfRule>
  </conditionalFormatting>
  <conditionalFormatting sqref="P33">
    <cfRule type="cellIs" dxfId="1484" priority="5" operator="lessThan">
      <formula>0</formula>
    </cfRule>
  </conditionalFormatting>
  <conditionalFormatting sqref="P44">
    <cfRule type="cellIs" dxfId="1483" priority="4" operator="lessThan">
      <formula>0</formula>
    </cfRule>
  </conditionalFormatting>
  <conditionalFormatting sqref="P52">
    <cfRule type="cellIs" dxfId="1482" priority="3" operator="lessThan">
      <formula>0</formula>
    </cfRule>
  </conditionalFormatting>
  <conditionalFormatting sqref="P59">
    <cfRule type="cellIs" dxfId="1481" priority="2" operator="lessThan">
      <formula>0</formula>
    </cfRule>
  </conditionalFormatting>
  <conditionalFormatting sqref="P65">
    <cfRule type="cellIs" dxfId="1480" priority="1" operator="lessThan">
      <formula>0</formula>
    </cfRule>
  </conditionalFormatting>
  <dataValidations count="1">
    <dataValidation type="list" allowBlank="1" showInputMessage="1" showErrorMessage="1" sqref="AB8 AA5:AB7 AB57:AB58 AA8:AA58 AB10:AB53 AA59:AB65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7" sqref="A7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612" t="s">
        <v>1955</v>
      </c>
      <c r="C1" s="612"/>
      <c r="D1" s="612"/>
      <c r="E1" s="612"/>
      <c r="F1" s="612"/>
      <c r="G1" s="612"/>
      <c r="H1" s="612"/>
      <c r="I1" s="612"/>
      <c r="J1" s="612"/>
      <c r="K1" s="51"/>
      <c r="L1" s="51"/>
      <c r="M1" s="51"/>
      <c r="N1" s="51"/>
      <c r="O1" s="51"/>
      <c r="P1" s="51"/>
    </row>
    <row r="2" spans="2:17" ht="27.75" customHeight="1">
      <c r="B2" s="613"/>
      <c r="C2" s="613"/>
      <c r="D2" s="613"/>
      <c r="E2" s="613"/>
      <c r="F2" s="613"/>
      <c r="G2" s="613"/>
      <c r="H2" s="613"/>
      <c r="I2" s="613"/>
      <c r="J2" s="613"/>
      <c r="K2" s="53"/>
      <c r="L2" s="53"/>
      <c r="M2" s="53"/>
      <c r="N2" s="51"/>
      <c r="O2" s="51"/>
      <c r="P2" s="51"/>
    </row>
    <row r="3" spans="2:17" ht="46.5" customHeight="1">
      <c r="B3" s="54" t="s">
        <v>1956</v>
      </c>
      <c r="C3" s="614" t="str">
        <f>TEXT('0820 4度C'!A2,"yyyy.mm.ddaaaa")</f>
        <v>2026.08.20星期四</v>
      </c>
      <c r="D3" s="615"/>
      <c r="E3" s="54" t="s">
        <v>153</v>
      </c>
      <c r="F3" s="616">
        <f>'0820 4度C'!D1</f>
        <v>161441</v>
      </c>
      <c r="G3" s="617"/>
      <c r="H3" s="54" t="s">
        <v>154</v>
      </c>
      <c r="I3" s="618">
        <f>'0820 4度C'!F1</f>
        <v>5507244.0200000005</v>
      </c>
      <c r="J3" s="619"/>
      <c r="K3" s="55"/>
      <c r="L3" s="56"/>
      <c r="M3" s="57"/>
      <c r="N3" s="57"/>
    </row>
    <row r="4" spans="2:17" ht="28.5" customHeight="1">
      <c r="B4" s="620" t="s">
        <v>1957</v>
      </c>
      <c r="C4" s="606" t="s">
        <v>1958</v>
      </c>
      <c r="D4" s="607"/>
      <c r="E4" s="623" t="s">
        <v>1959</v>
      </c>
      <c r="F4" s="624"/>
      <c r="G4" s="623" t="s">
        <v>1960</v>
      </c>
      <c r="H4" s="624"/>
      <c r="I4" s="623" t="s">
        <v>1961</v>
      </c>
      <c r="J4" s="624"/>
      <c r="K4" s="604" t="s">
        <v>1962</v>
      </c>
      <c r="L4" s="605"/>
      <c r="M4" s="605" t="s">
        <v>1963</v>
      </c>
      <c r="N4" s="605"/>
    </row>
    <row r="5" spans="2:17" ht="28.5" customHeight="1">
      <c r="B5" s="621"/>
      <c r="C5" s="606" t="s">
        <v>1964</v>
      </c>
      <c r="D5" s="607"/>
      <c r="E5" s="606" t="s">
        <v>1965</v>
      </c>
      <c r="F5" s="607"/>
      <c r="G5" s="608" t="s">
        <v>1966</v>
      </c>
      <c r="H5" s="609"/>
      <c r="I5" s="610" t="s">
        <v>1967</v>
      </c>
      <c r="J5" s="611"/>
      <c r="K5" s="58" t="s">
        <v>1968</v>
      </c>
      <c r="L5" s="59" t="s">
        <v>1969</v>
      </c>
      <c r="M5" s="58" t="s">
        <v>1970</v>
      </c>
      <c r="N5" s="59" t="s">
        <v>1971</v>
      </c>
    </row>
    <row r="6" spans="2:17" ht="28.5" customHeight="1">
      <c r="B6" s="621"/>
      <c r="C6" s="606" t="s">
        <v>169</v>
      </c>
      <c r="D6" s="607"/>
      <c r="E6" s="598">
        <f>AVERAGE(D13:M13)</f>
        <v>155.45521923258082</v>
      </c>
      <c r="F6" s="599">
        <f>AVERAGE(D31:O31,D13:J13)</f>
        <v>162.1438212625672</v>
      </c>
      <c r="G6" s="600">
        <f>AVERAGE(D13:J13)</f>
        <v>162.1438212625672</v>
      </c>
      <c r="H6" s="601"/>
      <c r="I6" s="600">
        <f>AVERAGE(K13:M13)</f>
        <v>139.84848116261259</v>
      </c>
      <c r="J6" s="601"/>
      <c r="K6" s="602">
        <f>'0820 4度C'!Y2</f>
        <v>0</v>
      </c>
      <c r="L6" s="587">
        <f>'0820 4度C'!Z2</f>
        <v>0</v>
      </c>
      <c r="M6" s="603">
        <f>'0820 4度C'!AC2</f>
        <v>55</v>
      </c>
      <c r="N6" s="587">
        <f>'0820 4度C'!AD2</f>
        <v>0</v>
      </c>
    </row>
    <row r="7" spans="2:17" ht="28.5" customHeight="1">
      <c r="B7" s="621"/>
      <c r="C7" s="588" t="s">
        <v>170</v>
      </c>
      <c r="D7" s="589"/>
      <c r="E7" s="590">
        <f>AVERAGE(D14:M14)</f>
        <v>149.02738820750372</v>
      </c>
      <c r="F7" s="591">
        <f>AVERAGE(D32:O32,D14:J14)</f>
        <v>155.59348201683056</v>
      </c>
      <c r="G7" s="592">
        <f>AVERAGE(D14:J14)</f>
        <v>155.59348201683056</v>
      </c>
      <c r="H7" s="593"/>
      <c r="I7" s="592">
        <f>AVERAGE(K14:M14)</f>
        <v>133.70650265240781</v>
      </c>
      <c r="J7" s="593"/>
      <c r="K7" s="602"/>
      <c r="L7" s="587"/>
      <c r="M7" s="603"/>
      <c r="N7" s="587"/>
    </row>
    <row r="8" spans="2:17" ht="28.5" customHeight="1">
      <c r="B8" s="622"/>
      <c r="C8" s="588" t="s">
        <v>171</v>
      </c>
      <c r="D8" s="589"/>
      <c r="E8" s="594">
        <f>AVERAGE(D15:M15)</f>
        <v>0.95804506221992547</v>
      </c>
      <c r="F8" s="595">
        <f>AVERAGE(D15:J15,D33:O33)</f>
        <v>0.95894803715082799</v>
      </c>
      <c r="G8" s="596">
        <f>AVERAGE(D15:J15)</f>
        <v>0.95894803715082799</v>
      </c>
      <c r="H8" s="597"/>
      <c r="I8" s="596">
        <f>AVERAGE(K15:M15)</f>
        <v>0.95593812071448647</v>
      </c>
      <c r="J8" s="597"/>
      <c r="K8" s="602"/>
      <c r="L8" s="587"/>
      <c r="M8" s="603"/>
      <c r="N8" s="587"/>
    </row>
    <row r="9" spans="2:17" ht="28.5" customHeight="1" thickBot="1">
      <c r="H9" s="61"/>
      <c r="K9" s="62" t="s">
        <v>1972</v>
      </c>
      <c r="N9" s="57"/>
      <c r="O9" s="57"/>
      <c r="P9" s="57"/>
      <c r="Q9" s="57"/>
    </row>
    <row r="10" spans="2:17" ht="30" customHeight="1">
      <c r="B10" s="570" t="s">
        <v>1973</v>
      </c>
      <c r="C10" s="571"/>
      <c r="D10" s="572" t="s">
        <v>1974</v>
      </c>
      <c r="E10" s="573"/>
      <c r="F10" s="573"/>
      <c r="G10" s="573"/>
      <c r="H10" s="573"/>
      <c r="I10" s="573"/>
      <c r="J10" s="574"/>
      <c r="K10" s="575" t="s">
        <v>1975</v>
      </c>
      <c r="L10" s="576"/>
      <c r="M10" s="577"/>
      <c r="P10" s="63"/>
      <c r="Q10" s="63"/>
    </row>
    <row r="11" spans="2:17" ht="17.25" customHeight="1">
      <c r="B11" s="578" t="s">
        <v>1976</v>
      </c>
      <c r="C11" s="579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80"/>
      <c r="C12" s="581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582" t="s">
        <v>1977</v>
      </c>
      <c r="C13" s="70" t="s">
        <v>1978</v>
      </c>
      <c r="D13" s="71">
        <f>SUMIFS('0820 4度C'!$K:$K,'0820 4度C'!$A:$A,"新豐6線",'0820 4度C'!$B:$B,"平均")</f>
        <v>130.43478260869566</v>
      </c>
      <c r="E13" s="72">
        <f>SUMIFS('0820 4度C'!$K:$K,'0820 4度C'!$A:$A,"新豐2線",'0820 4度C'!$B:$B,"平均")</f>
        <v>83.333333333333329</v>
      </c>
      <c r="F13" s="73">
        <f>SUMIFS('0820 4度C'!$K:$K,'0820 4度C'!$A:$A,"新豐5線",'0820 4度C'!$B:$B,"平均")</f>
        <v>93.75</v>
      </c>
      <c r="G13" s="73">
        <f>SUMIFS('0820 4度C'!$K:$K,'0820 4度C'!$A:$A,"新豐7線",'0820 4度C'!$B:$B,"平均")</f>
        <v>123.89380530973452</v>
      </c>
      <c r="H13" s="73">
        <f>SUMIFS('0820 4度C'!$K:$K,'0820 4度C'!$A:$A,"新豐3線",'0820 4度C'!$B:$B,"平均")</f>
        <v>281.25</v>
      </c>
      <c r="I13" s="73">
        <f>SUMIFS('0820 4度C'!$K:$K,'0820 4度C'!$A:$A,"新豐1線",'0820 4度C'!$B:$B,"平均")</f>
        <v>112</v>
      </c>
      <c r="J13" s="74">
        <f>SUMIFS('0820 4度C'!$K:$K,'0820 4度C'!$A:$A,"新豐10線",'0820 4度C'!$B:$B,"平均")</f>
        <v>310.34482758620692</v>
      </c>
      <c r="K13" s="75">
        <f>SUMIFS('0820 4度C'!$K:$K,'0820 4度C'!$A:$A,"新豐8線",'0820 4度C'!$B:$B,"平均")</f>
        <v>151.35135135135135</v>
      </c>
      <c r="L13" s="76">
        <f>SUMIFS('0820 4度C'!$K:$K,'0820 4度C'!$A:$A,"新豐9線",'0820 4度C'!$B:$B,"平均")</f>
        <v>125.61983471074382</v>
      </c>
      <c r="M13" s="74">
        <f>SUMIFS('0820 4度C'!$K:$K,'0820 4度C'!$A:$A,"新豐4線",'0820 4度C'!$B:$B,"平均")</f>
        <v>142.57425742574259</v>
      </c>
    </row>
    <row r="14" spans="2:17" ht="39.6" customHeight="1">
      <c r="B14" s="583"/>
      <c r="C14" s="77" t="s">
        <v>1979</v>
      </c>
      <c r="D14" s="78">
        <f>SUMIFS('0820 4度C'!$N:$N,'0820 4度C'!$A:$A,"新豐6線",'0820 4度C'!$B:$B,"平均")</f>
        <v>125.34470028800033</v>
      </c>
      <c r="E14" s="79">
        <f>SUMIFS('0820 4度C'!$N:$N,'0820 4度C'!$A:$A,"新豐2線",'0820 4度C'!$B:$B,"平均")</f>
        <v>79.403855966178298</v>
      </c>
      <c r="F14" s="79">
        <f>SUMIFS('0820 4度C'!$N:$N,'0820 4度C'!$A:$A,"新豐5線",'0820 4度C'!$B:$B,"平均")</f>
        <v>89.911089136611579</v>
      </c>
      <c r="G14" s="79">
        <f>SUMIFS('0820 4度C'!$N:$N,'0820 4度C'!$A:$A,"新豐7線",'0820 4度C'!$B:$B,"平均")</f>
        <v>118.79609951613169</v>
      </c>
      <c r="H14" s="79">
        <f>SUMIFS('0820 4度C'!$N:$N,'0820 4度C'!$A:$A,"新豐3線",'0820 4度C'!$B:$B,"平均")</f>
        <v>269.60746290728298</v>
      </c>
      <c r="I14" s="79">
        <f>SUMIFS('0820 4度C'!$N:$N,'0820 4度C'!$A:$A,"新豐1線",'0820 4度C'!$B:$B,"平均")</f>
        <v>107.56225891338023</v>
      </c>
      <c r="J14" s="80">
        <f>SUMIFS('0820 4度C'!$N:$N,'0820 4度C'!$A:$A,"新豐10線",'0820 4度C'!$B:$B,"平均")</f>
        <v>298.52890739022894</v>
      </c>
      <c r="K14" s="81">
        <f>SUMIFS('0820 4度C'!$N:$N,'0820 4度C'!$A:$A,"新豐8線",'0820 4度C'!$B:$B,"平均")</f>
        <v>144.94955030112104</v>
      </c>
      <c r="L14" s="82">
        <f>SUMIFS('0820 4度C'!$N:$N,'0820 4度C'!$A:$A,"新豐9線",'0820 4度C'!$B:$B,"平均")</f>
        <v>119.75477974205482</v>
      </c>
      <c r="M14" s="80">
        <f>SUMIFS('0820 4度C'!$N:$N,'0820 4度C'!$A:$A,"新豐4線",'0820 4度C'!$B:$B,"平均")</f>
        <v>136.41517791404755</v>
      </c>
    </row>
    <row r="15" spans="2:17" ht="40.15" customHeight="1">
      <c r="B15" s="584"/>
      <c r="C15" s="83" t="s">
        <v>1980</v>
      </c>
      <c r="D15" s="84">
        <f t="shared" ref="D15:M15" si="0">D14/D13</f>
        <v>0.96097603554133582</v>
      </c>
      <c r="E15" s="85">
        <f t="shared" si="0"/>
        <v>0.95284627159413959</v>
      </c>
      <c r="F15" s="85">
        <f t="shared" si="0"/>
        <v>0.95905161745719014</v>
      </c>
      <c r="G15" s="85">
        <f t="shared" si="0"/>
        <v>0.95885423180877716</v>
      </c>
      <c r="H15" s="85">
        <f t="shared" si="0"/>
        <v>0.9586043125592284</v>
      </c>
      <c r="I15" s="85">
        <f t="shared" si="0"/>
        <v>0.96037731172660923</v>
      </c>
      <c r="J15" s="86">
        <f t="shared" si="0"/>
        <v>0.96192647936851539</v>
      </c>
      <c r="K15" s="84">
        <f t="shared" si="0"/>
        <v>0.95770238591812107</v>
      </c>
      <c r="L15" s="85">
        <f t="shared" si="0"/>
        <v>0.9533110755781995</v>
      </c>
      <c r="M15" s="86">
        <f t="shared" si="0"/>
        <v>0.95680090064713896</v>
      </c>
    </row>
    <row r="16" spans="2:17" ht="17.25" customHeight="1">
      <c r="B16" s="585" t="s">
        <v>1981</v>
      </c>
      <c r="C16" s="87" t="s">
        <v>1982</v>
      </c>
      <c r="D16" s="88">
        <f>VLOOKUP("新豐6線",'0820 4度C'!$A:$T,19,0)</f>
        <v>0.70833333333333337</v>
      </c>
      <c r="E16" s="89">
        <f>VLOOKUP("新豐2線",'0820 4度C'!$A:$T,19,0)</f>
        <v>8.3333333333333329E-2</v>
      </c>
      <c r="F16" s="89">
        <f>VLOOKUP("新豐5線",'0820 4度C'!$A:$T,19,0)</f>
        <v>0.20833333333333334</v>
      </c>
      <c r="G16" s="89">
        <f>VLOOKUP("新豐7線",'0820 4度C'!$A:$T,19,0)</f>
        <v>0.20833333333333334</v>
      </c>
      <c r="H16" s="89">
        <f>VLOOKUP("新豐3線",'0820 4度C'!$A:$T,19,0)</f>
        <v>0.20833333333333334</v>
      </c>
      <c r="I16" s="89">
        <f>VLOOKUP("新豐1線",'0820 4度C'!$A:$T,19,0)</f>
        <v>0.20833333333333334</v>
      </c>
      <c r="J16" s="90">
        <f>VLOOKUP("新豐10線",'0820 4度C'!$A:$T,19,0)</f>
        <v>0.20833333333333334</v>
      </c>
      <c r="K16" s="91">
        <f>VLOOKUP("新豐8線",'0820 4度C'!$A:$T,19,0)</f>
        <v>8.3333333333333329E-2</v>
      </c>
      <c r="L16" s="92">
        <f>VLOOKUP("新豐9線",'0820 4度C'!$A:$T,19,0)</f>
        <v>8.3333333333333329E-2</v>
      </c>
      <c r="M16" s="93">
        <f>VLOOKUP("新豐4線",'0820 4度C'!$A:$T,19,0)</f>
        <v>8.3333333333333329E-2</v>
      </c>
    </row>
    <row r="17" spans="2:13" ht="17.25" customHeight="1">
      <c r="B17" s="586"/>
      <c r="C17" s="87" t="s">
        <v>1983</v>
      </c>
      <c r="D17" s="91">
        <f>LOOKUP(2,1/(('0820 4度C'!$A:$A="新豐6線")*('0820 4度C'!$T:$T&lt;&gt;"")),'0820 4度C'!$T:$T)</f>
        <v>0.83680555555555547</v>
      </c>
      <c r="E17" s="89">
        <f>LOOKUP(2,1/(('0820 4度C'!$A:$A="新豐2線")*('0820 4度C'!$T:$T&lt;&gt;"")),'0820 4度C'!$T:$T)</f>
        <v>0.40833333333333333</v>
      </c>
      <c r="F17" s="89">
        <f>LOOKUP(2,1/(('0820 4度C'!$A:$A="新豐5線")*('0820 4度C'!$T:$T&lt;&gt;"")),'0820 4度C'!$T:$T)</f>
        <v>0.81527777777777777</v>
      </c>
      <c r="G17" s="89">
        <f>LOOKUP(2,1/(('0820 4度C'!$A:$A="新豐7線")*('0820 4度C'!$T:$T&lt;&gt;"")),'0820 4度C'!$T:$T)</f>
        <v>0.8173611111111112</v>
      </c>
      <c r="H17" s="89">
        <f>LOOKUP(2,1/(('0820 4度C'!$A:$A="新豐3線")*('0820 4度C'!$T:$T&lt;&gt;"")),'0820 4度C'!$T:$T)</f>
        <v>0.42986111111111108</v>
      </c>
      <c r="I17" s="89">
        <f>LOOKUP(2,1/(('0820 4度C'!$A:$A="新豐1線")*('0820 4度C'!$T:$T&lt;&gt;"")),'0820 4度C'!$T:$T)</f>
        <v>0.80486111111111114</v>
      </c>
      <c r="J17" s="90">
        <f>LOOKUP(2,1/(('0820 4度C'!$A:$A="新豐10線")*('0820 4度C'!$T:$T&lt;&gt;"")),'0820 4度C'!$T:$T)</f>
        <v>0.40624999999999994</v>
      </c>
      <c r="K17" s="88">
        <f>LOOKUP(2,1/(('0820 4度C'!$A:$A="新豐8線")*('0820 4度C'!$T:$T&lt;&gt;"")),'0820 4度C'!$T:$T)</f>
        <v>0.64722222222222214</v>
      </c>
      <c r="L17" s="89">
        <f>LOOKUP(2,1/(('0820 4度C'!$A:$A="新豐9線")*('0820 4度C'!$T:$T&lt;&gt;"")),'0820 4度C'!$T:$T)</f>
        <v>0.69583333333333308</v>
      </c>
      <c r="M17" s="90">
        <f>LOOKUP(2,1/(('0820 4度C'!$A:$A="新豐4線")*('0820 4度C'!$T:$T&lt;&gt;"")),'0820 4度C'!$T:$T)</f>
        <v>0.6284722222222221</v>
      </c>
    </row>
    <row r="18" spans="2:13" ht="17.25" customHeight="1">
      <c r="B18" s="564" t="s">
        <v>1984</v>
      </c>
      <c r="C18" s="94" t="s">
        <v>1985</v>
      </c>
      <c r="D18" s="95">
        <f>SUMIFS('0820 4度C'!$Y:$Y,'0820 4度C'!$A:$A,"新豐6線",'0820 4度C'!$B:$B,"平均")</f>
        <v>0</v>
      </c>
      <c r="E18" s="96">
        <f>SUMIFS('0820 4度C'!$Y:$Y,'0820 4度C'!$A:$A,"新豐2線",'0820 4度C'!$B:$B,"平均")</f>
        <v>0</v>
      </c>
      <c r="F18" s="96">
        <f>SUMIFS('0820 4度C'!$Y:$Y,'0820 4度C'!$A:$A,"新豐5線",'0820 4度C'!$B:$B,"平均")</f>
        <v>0</v>
      </c>
      <c r="G18" s="96">
        <f>SUMIFS('0820 4度C'!$Y:$Y,'0820 4度C'!$A:$A,"新豐7線",'0820 4度C'!$B:$B,"平均")</f>
        <v>0</v>
      </c>
      <c r="H18" s="96">
        <f>SUMIFS('0820 4度C'!$Y:$Y,'0820 4度C'!$A:$A,"新豐3線",'0820 4度C'!$B:$B,"平均")</f>
        <v>0</v>
      </c>
      <c r="I18" s="96">
        <f>SUMIFS('0820 4度C'!$Y:$Y,'0820 4度C'!$A:$A,"新豐1線",'0820 4度C'!$B:$B,"平均")</f>
        <v>0</v>
      </c>
      <c r="J18" s="97">
        <f>SUMIFS('0820 4度C'!$Y:$Y,'0820 4度C'!$A:$A,"新豐10線",'0820 4度C'!$B:$B,"平均")</f>
        <v>0</v>
      </c>
      <c r="K18" s="98">
        <f>SUMIFS('0820 4度C'!$Y:$Y,'0820 4度C'!$A:$A,"新豐8線",'0820 4度C'!$B:$B,"平均")</f>
        <v>0</v>
      </c>
      <c r="L18" s="96">
        <f>SUMIFS('0820 4度C'!$Y:$Y,'0820 4度C'!$A:$A,"新豐9線",'0820 4度C'!$B:$B,"平均")</f>
        <v>0</v>
      </c>
      <c r="M18" s="97">
        <f>SUMIFS('0820 4度C'!$Y:$Y,'0820 4度C'!$A:$A,"新豐4線",'0820 4度C'!$B:$B,"平均")</f>
        <v>0</v>
      </c>
    </row>
    <row r="19" spans="2:13" ht="17.25" customHeight="1">
      <c r="B19" s="565"/>
      <c r="C19" s="94" t="s">
        <v>1986</v>
      </c>
      <c r="D19" s="95">
        <f>SUMIFS('0820 4度C'!$Z:$Z,'0820 4度C'!$A:$A,"新豐6線",'0820 4度C'!$B:$B,"平均")</f>
        <v>0</v>
      </c>
      <c r="E19" s="96">
        <f>SUMIFS('0820 4度C'!$Z:$Z,'0820 4度C'!$A:$A,"新豐2線",'0820 4度C'!$B:$B,"平均")</f>
        <v>0</v>
      </c>
      <c r="F19" s="96">
        <f>SUMIFS('0820 4度C'!$Z:$Z,'0820 4度C'!$A:$A,"新豐5線",'0820 4度C'!$B:$B,"平均")</f>
        <v>0</v>
      </c>
      <c r="G19" s="96">
        <f>SUMIFS('0820 4度C'!$Z:$Z,'0820 4度C'!$A:$A,"新豐7線",'0820 4度C'!$B:$B,"平均")</f>
        <v>0</v>
      </c>
      <c r="H19" s="96">
        <f>SUMIFS('0820 4度C'!$Z:$Z,'0820 4度C'!$A:$A,"新豐3線",'0820 4度C'!$B:$B,"平均")</f>
        <v>0</v>
      </c>
      <c r="I19" s="96">
        <f>SUMIFS('0820 4度C'!$Z:$Z,'0820 4度C'!$A:$A,"新豐1線",'0820 4度C'!$B:$B,"平均")</f>
        <v>0</v>
      </c>
      <c r="J19" s="97">
        <f>SUMIFS('0820 4度C'!$Z:$Z,'0820 4度C'!$A:$A,"新豐10線",'0820 4度C'!$B:$B,"平均")</f>
        <v>0</v>
      </c>
      <c r="K19" s="98">
        <f>SUMIFS('0820 4度C'!$Z:$Z,'0820 4度C'!$A:$A,"新豐8線",'0820 4度C'!$B:$B,"平均")</f>
        <v>0</v>
      </c>
      <c r="L19" s="96">
        <f>SUMIFS('0820 4度C'!$Z:$Z,'0820 4度C'!$A:$A,"新豐9線",'0820 4度C'!$B:$B,"平均")</f>
        <v>0</v>
      </c>
      <c r="M19" s="97">
        <f>SUMIFS('0820 4度C'!$Z:$Z,'0820 4度C'!$A:$A,"新豐4線",'0820 4度C'!$B:$B,"平均")</f>
        <v>0</v>
      </c>
    </row>
    <row r="20" spans="2:13" ht="17.25" customHeight="1">
      <c r="B20" s="564" t="s">
        <v>1987</v>
      </c>
      <c r="C20" s="94" t="s">
        <v>1985</v>
      </c>
      <c r="D20" s="95">
        <f>SUMIFS('0820 4度C'!$AC:$AC,'0820 4度C'!$A:$A,"新豐6線",'0820 4度C'!$B:$B,"平均")</f>
        <v>3</v>
      </c>
      <c r="E20" s="96">
        <f>SUMIFS('0820 4度C'!$AC:$AC,'0820 4度C'!$A:$A,"新豐2線",'0820 4度C'!$B:$B,"平均")</f>
        <v>2</v>
      </c>
      <c r="F20" s="96">
        <f>SUMIFS('0820 4度C'!$AC:$AC,'0820 4度C'!$A:$A,"新豐5線",'0820 4度C'!$B:$B,"平均")</f>
        <v>7</v>
      </c>
      <c r="G20" s="96">
        <f>SUMIFS('0820 4度C'!$AC:$AC,'0820 4度C'!$A:$A,"新豐7線",'0820 4度C'!$B:$B,"平均")</f>
        <v>7</v>
      </c>
      <c r="H20" s="96">
        <f>SUMIFS('0820 4度C'!$AC:$AC,'0820 4度C'!$A:$A,"新豐3線",'0820 4度C'!$B:$B,"平均")</f>
        <v>3</v>
      </c>
      <c r="I20" s="96">
        <f>SUMIFS('0820 4度C'!$AC:$AC,'0820 4度C'!$A:$A,"新豐1線",'0820 4度C'!$B:$B,"平均")</f>
        <v>7</v>
      </c>
      <c r="J20" s="97">
        <f>SUMIFS('0820 4度C'!$AC:$AC,'0820 4度C'!$A:$A,"新豐10線",'0820 4度C'!$B:$B,"平均")</f>
        <v>6</v>
      </c>
      <c r="K20" s="98">
        <f>SUMIFS('0820 4度C'!$AC:$AC,'0820 4度C'!$A:$A,"新豐8線",'0820 4度C'!$B:$B,"平均")</f>
        <v>7</v>
      </c>
      <c r="L20" s="96">
        <f>SUMIFS('0820 4度C'!$AC:$AC,'0820 4度C'!$A:$A,"新豐9線",'0820 4度C'!$B:$B,"平均")</f>
        <v>7</v>
      </c>
      <c r="M20" s="97">
        <f>SUMIFS('0820 4度C'!$AC:$AC,'0820 4度C'!$A:$A,"新豐4線",'0820 4度C'!$B:$B,"平均")</f>
        <v>6</v>
      </c>
    </row>
    <row r="21" spans="2:13" ht="17.25" customHeight="1">
      <c r="B21" s="565"/>
      <c r="C21" s="94" t="s">
        <v>1988</v>
      </c>
      <c r="D21" s="95">
        <f>SUMIFS('0820 4度C'!$AD:$AD,'0820 4度C'!$A:$A,"新豐6線",'0820 4度C'!$B:$B,"平均")</f>
        <v>0</v>
      </c>
      <c r="E21" s="96">
        <f>SUMIFS('0820 4度C'!$AD:$AD,'0820 4度C'!$A:$A,"新豐2線",'0820 4度C'!$B:$B,"平均")</f>
        <v>0</v>
      </c>
      <c r="F21" s="96">
        <f>SUMIFS('0820 4度C'!$AD:$AD,'0820 4度C'!$A:$A,"新豐5線",'0820 4度C'!$B:$B,"平均")</f>
        <v>0</v>
      </c>
      <c r="G21" s="96">
        <f>SUMIFS('0820 4度C'!$AD:$AD,'0820 4度C'!$A:$A,"新豐7線",'0820 4度C'!$B:$B,"平均")</f>
        <v>0</v>
      </c>
      <c r="H21" s="96">
        <f>SUMIFS('0820 4度C'!$AD:$AD,'0820 4度C'!$A:$A,"新豐3線",'0820 4度C'!$B:$B,"平均")</f>
        <v>0</v>
      </c>
      <c r="I21" s="96">
        <f>SUMIFS('0820 4度C'!$AD:$AD,'0820 4度C'!$A:$A,"新豐1線",'0820 4度C'!$B:$B,"平均")</f>
        <v>0</v>
      </c>
      <c r="J21" s="97">
        <f>SUMIFS('0820 4度C'!$AD:$AD,'0820 4度C'!$A:$A,"新豐10線",'0820 4度C'!$B:$B,"平均")</f>
        <v>0</v>
      </c>
      <c r="K21" s="98">
        <f>SUMIFS('0820 4度C'!$AD:$AD,'0820 4度C'!$A:$A,"新豐8線",'0820 4度C'!$B:$B,"平均")</f>
        <v>0</v>
      </c>
      <c r="L21" s="96">
        <f>SUMIFS('0820 4度C'!$AD:$AD,'0820 4度C'!$A:$A,"新豐9線",'0820 4度C'!$B:$B,"平均")</f>
        <v>0</v>
      </c>
      <c r="M21" s="97">
        <f>SUMIFS('0820 4度C'!$AD:$AD,'0820 4度C'!$A:$A,"新豐4線",'0820 4度C'!$B:$B,"平均")</f>
        <v>0</v>
      </c>
    </row>
    <row r="22" spans="2:13" ht="17.25" customHeight="1">
      <c r="B22" s="566" t="s">
        <v>1989</v>
      </c>
      <c r="C22" s="567"/>
      <c r="D22" s="99">
        <f>SUMIFS('0820 4度C'!$I:$I,'0820 4度C'!$A:$A,"新豐6線",'0820 4度C'!$B:$B,"平均")</f>
        <v>15.333333333333334</v>
      </c>
      <c r="E22" s="100">
        <f>SUMIFS('0820 4度C'!$I:$I,'0820 4度C'!$A:$A,"新豐2線",'0820 4度C'!$B:$B,"平均")</f>
        <v>18</v>
      </c>
      <c r="F22" s="100">
        <f>SUMIFS('0820 4度C'!$I:$I,'0820 4度C'!$A:$A,"新豐5線",'0820 4度C'!$B:$B,"平均")</f>
        <v>18.285714285714285</v>
      </c>
      <c r="G22" s="100">
        <f>SUMIFS('0820 4度C'!$I:$I,'0820 4度C'!$A:$A,"新豐7線",'0820 4度C'!$B:$B,"平均")</f>
        <v>16.142857142857142</v>
      </c>
      <c r="H22" s="100">
        <f>SUMIFS('0820 4度C'!$I:$I,'0820 4度C'!$A:$A,"新豐3線",'0820 4度C'!$B:$B,"平均")</f>
        <v>10.666666666666666</v>
      </c>
      <c r="I22" s="100">
        <f>SUMIFS('0820 4度C'!$I:$I,'0820 4度C'!$A:$A,"新豐1線",'0820 4度C'!$B:$B,"平均")</f>
        <v>17.857142857142858</v>
      </c>
      <c r="J22" s="101">
        <f>SUMIFS('0820 4度C'!$I:$I,'0820 4度C'!$A:$A,"新豐10線",'0820 4度C'!$B:$B,"平均")</f>
        <v>9.6666666666666661</v>
      </c>
      <c r="K22" s="99">
        <f>SUMIFS('0820 4度C'!$I:$I,'0820 4度C'!$A:$A,"新豐8線",'0820 4度C'!$B:$B,"平均")</f>
        <v>15.857142857142858</v>
      </c>
      <c r="L22" s="100">
        <f>SUMIFS('0820 4度C'!$I:$I,'0820 4度C'!$A:$A,"新豐9線",'0820 4度C'!$B:$B,"平均")</f>
        <v>17.285714285714285</v>
      </c>
      <c r="M22" s="101">
        <f>SUMIFS('0820 4度C'!$I:$I,'0820 4度C'!$A:$A,"新豐4線",'0820 4度C'!$B:$B,"平均")</f>
        <v>16.833333333333332</v>
      </c>
    </row>
    <row r="23" spans="2:13" ht="17.25" customHeight="1">
      <c r="B23" s="566" t="s">
        <v>1990</v>
      </c>
      <c r="C23" s="567"/>
      <c r="D23" s="102" t="s">
        <v>202</v>
      </c>
      <c r="E23" s="103" t="s">
        <v>203</v>
      </c>
      <c r="F23" s="103" t="s">
        <v>1991</v>
      </c>
      <c r="G23" s="103" t="s">
        <v>1991</v>
      </c>
      <c r="H23" s="103" t="s">
        <v>205</v>
      </c>
      <c r="I23" s="103" t="s">
        <v>202</v>
      </c>
      <c r="J23" s="104" t="s">
        <v>205</v>
      </c>
      <c r="K23" s="102" t="s">
        <v>1992</v>
      </c>
      <c r="L23" s="103" t="s">
        <v>1992</v>
      </c>
      <c r="M23" s="104" t="s">
        <v>1992</v>
      </c>
    </row>
    <row r="24" spans="2:13" ht="17.25" customHeight="1">
      <c r="B24" s="566" t="s">
        <v>1993</v>
      </c>
      <c r="C24" s="567"/>
      <c r="D24" s="102"/>
      <c r="E24" s="103"/>
      <c r="F24" s="103" t="s">
        <v>1994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68" t="s">
        <v>1995</v>
      </c>
      <c r="C25" s="569"/>
      <c r="D25" s="105"/>
      <c r="E25" s="106" t="s">
        <v>1996</v>
      </c>
      <c r="F25" s="562" t="s">
        <v>1997</v>
      </c>
      <c r="G25" s="563"/>
      <c r="H25" s="106" t="s">
        <v>1998</v>
      </c>
      <c r="I25" s="106" t="s">
        <v>1999</v>
      </c>
      <c r="J25" s="107" t="s">
        <v>1998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47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0"/>
  <sheetViews>
    <sheetView topLeftCell="B1" zoomScale="80" zoomScaleNormal="80" workbookViewId="0">
      <pane ySplit="4" topLeftCell="A41" activePane="bottomLeft" state="frozen"/>
      <selection activeCell="A7" sqref="A7"/>
      <selection pane="bottomLeft" activeCell="U68" sqref="U68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41" customWidth="1"/>
    <col min="20" max="20" width="7.625" style="41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0</v>
      </c>
      <c r="B1" s="1"/>
      <c r="C1" s="2" t="s">
        <v>1</v>
      </c>
      <c r="D1" s="3">
        <f>SUM(F5:F69)</f>
        <v>161441</v>
      </c>
      <c r="E1" s="383" t="s">
        <v>2000</v>
      </c>
      <c r="F1" s="1">
        <f>SUM(G5:G69)</f>
        <v>5507244.0200000005</v>
      </c>
      <c r="G1" s="1" t="s">
        <v>3</v>
      </c>
      <c r="H1" s="5">
        <f>L8+L11+L47+L55+L19+L62+L35+L43+L27+L69</f>
        <v>155.92857142857144</v>
      </c>
      <c r="I1" s="676" t="s">
        <v>2001</v>
      </c>
      <c r="J1" s="676"/>
      <c r="K1" s="676"/>
      <c r="L1" s="676" t="s">
        <v>2002</v>
      </c>
      <c r="M1" s="676"/>
      <c r="N1" s="676"/>
      <c r="O1" s="676" t="s">
        <v>6</v>
      </c>
      <c r="P1" s="676"/>
      <c r="Q1" s="676"/>
      <c r="R1" s="676"/>
      <c r="S1" s="676" t="s">
        <v>2003</v>
      </c>
      <c r="T1" s="676"/>
      <c r="U1" s="676"/>
      <c r="V1" s="676"/>
      <c r="W1" s="676"/>
      <c r="X1" s="676"/>
      <c r="Y1" s="6" t="s">
        <v>2004</v>
      </c>
      <c r="Z1" s="7" t="s">
        <v>9</v>
      </c>
      <c r="AA1" s="677" t="s">
        <v>10</v>
      </c>
      <c r="AB1" s="677"/>
      <c r="AC1" s="8" t="s">
        <v>2004</v>
      </c>
      <c r="AD1" s="7" t="s">
        <v>276</v>
      </c>
      <c r="AE1" s="676" t="s">
        <v>12</v>
      </c>
      <c r="AF1" s="678"/>
      <c r="AG1" s="678"/>
    </row>
    <row r="2" spans="1:33" ht="26.25" customHeight="1">
      <c r="A2" s="35">
        <v>46254</v>
      </c>
      <c r="B2" s="36" t="s">
        <v>621</v>
      </c>
      <c r="C2" s="2" t="s">
        <v>13</v>
      </c>
      <c r="D2" s="10">
        <f>AVERAGE(N8,N11,N47,N55,N19,N62,N27,N35,N43,N69)</f>
        <v>149.02738820750375</v>
      </c>
      <c r="E2" s="11" t="s">
        <v>14</v>
      </c>
      <c r="F2" s="12">
        <f>F1/D1</f>
        <v>34.113044517811467</v>
      </c>
      <c r="G2" s="1" t="s">
        <v>2005</v>
      </c>
      <c r="H2" s="382">
        <f>COUNT(H5:H69)</f>
        <v>5</v>
      </c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14">
        <f>SUM(Y8+Y11+Y19+Y27+Y35+Y43+Y47+Y55+Y62+Y69)</f>
        <v>0</v>
      </c>
      <c r="Z2" s="14">
        <f>SUM(Z8+Z11+Z19+Z27+Z35+Z43+Z47+Z55+Z62+Z69)</f>
        <v>0</v>
      </c>
      <c r="AA2" s="677"/>
      <c r="AB2" s="677"/>
      <c r="AC2" s="14">
        <v>55</v>
      </c>
      <c r="AD2" s="14">
        <f>SUM(AD8+AD11+AD19+AD27+AD35+AD43+AD47+AD55+AD62+AD69)</f>
        <v>0</v>
      </c>
      <c r="AE2" s="678"/>
      <c r="AF2" s="678"/>
      <c r="AG2" s="678"/>
    </row>
    <row r="3" spans="1:33" ht="40.5" customHeight="1">
      <c r="A3" s="632" t="s">
        <v>16</v>
      </c>
      <c r="B3" s="632" t="s">
        <v>17</v>
      </c>
      <c r="C3" s="632" t="s">
        <v>18</v>
      </c>
      <c r="D3" s="632"/>
      <c r="E3" s="674" t="s">
        <v>2006</v>
      </c>
      <c r="F3" s="632" t="s">
        <v>20</v>
      </c>
      <c r="G3" s="674" t="s">
        <v>2007</v>
      </c>
      <c r="H3" s="667" t="s">
        <v>22</v>
      </c>
      <c r="I3" s="665" t="s">
        <v>23</v>
      </c>
      <c r="J3" s="662" t="s">
        <v>24</v>
      </c>
      <c r="K3" s="672" t="s">
        <v>13</v>
      </c>
      <c r="L3" s="665" t="s">
        <v>23</v>
      </c>
      <c r="M3" s="662" t="s">
        <v>24</v>
      </c>
      <c r="N3" s="672" t="s">
        <v>2008</v>
      </c>
      <c r="O3" s="665" t="s">
        <v>2009</v>
      </c>
      <c r="P3" s="672" t="s">
        <v>13</v>
      </c>
      <c r="Q3" s="663" t="s">
        <v>27</v>
      </c>
      <c r="R3" s="641" t="s">
        <v>28</v>
      </c>
      <c r="S3" s="673" t="s">
        <v>29</v>
      </c>
      <c r="T3" s="673"/>
      <c r="U3" s="667" t="s">
        <v>30</v>
      </c>
      <c r="V3" s="667" t="s">
        <v>2010</v>
      </c>
      <c r="W3" s="632" t="s">
        <v>2011</v>
      </c>
      <c r="X3" s="632"/>
      <c r="Y3" s="668" t="s">
        <v>2012</v>
      </c>
      <c r="Z3" s="631"/>
      <c r="AA3" s="669" t="s">
        <v>2013</v>
      </c>
      <c r="AB3" s="670"/>
      <c r="AC3" s="668" t="s">
        <v>2014</v>
      </c>
      <c r="AD3" s="631"/>
      <c r="AE3" s="662" t="s">
        <v>2015</v>
      </c>
      <c r="AF3" s="663" t="s">
        <v>27</v>
      </c>
      <c r="AG3" s="641" t="s">
        <v>2016</v>
      </c>
    </row>
    <row r="4" spans="1:33" ht="15.75" customHeight="1">
      <c r="A4" s="632"/>
      <c r="B4" s="632"/>
      <c r="C4" s="632"/>
      <c r="D4" s="632"/>
      <c r="E4" s="675"/>
      <c r="F4" s="632"/>
      <c r="G4" s="675"/>
      <c r="H4" s="667"/>
      <c r="I4" s="665"/>
      <c r="J4" s="662"/>
      <c r="K4" s="672"/>
      <c r="L4" s="665"/>
      <c r="M4" s="662"/>
      <c r="N4" s="672"/>
      <c r="O4" s="665"/>
      <c r="P4" s="672"/>
      <c r="Q4" s="663"/>
      <c r="R4" s="641"/>
      <c r="S4" s="388" t="s">
        <v>39</v>
      </c>
      <c r="T4" s="388" t="s">
        <v>40</v>
      </c>
      <c r="U4" s="667"/>
      <c r="V4" s="667"/>
      <c r="W4" s="383" t="s">
        <v>2017</v>
      </c>
      <c r="X4" s="383" t="s">
        <v>2018</v>
      </c>
      <c r="Y4" s="387" t="s">
        <v>2019</v>
      </c>
      <c r="Z4" s="387" t="s">
        <v>2020</v>
      </c>
      <c r="AA4" s="671"/>
      <c r="AB4" s="670"/>
      <c r="AC4" s="387" t="s">
        <v>2021</v>
      </c>
      <c r="AD4" s="387" t="s">
        <v>2022</v>
      </c>
      <c r="AE4" s="662"/>
      <c r="AF4" s="663"/>
      <c r="AG4" s="641"/>
    </row>
    <row r="5" spans="1:33">
      <c r="A5" s="664" t="s">
        <v>2023</v>
      </c>
      <c r="B5" s="42" t="s">
        <v>92</v>
      </c>
      <c r="C5" s="666" t="s">
        <v>93</v>
      </c>
      <c r="D5" s="666"/>
      <c r="E5" s="42">
        <v>50.92</v>
      </c>
      <c r="F5" s="388">
        <v>1882</v>
      </c>
      <c r="G5" s="383">
        <f t="shared" ref="G5:G7" si="0">E5*F5</f>
        <v>95831.44</v>
      </c>
      <c r="H5" s="37" t="s">
        <v>91</v>
      </c>
      <c r="I5" s="384">
        <v>15</v>
      </c>
      <c r="J5" s="39">
        <v>2000</v>
      </c>
      <c r="K5" s="17">
        <f t="shared" ref="K5:K68" si="1">J5/I5</f>
        <v>133.33333333333334</v>
      </c>
      <c r="L5" s="384">
        <v>15</v>
      </c>
      <c r="M5" s="18">
        <f t="shared" ref="M5:M7" si="2">F5/V5*60</f>
        <v>1913.8983050847473</v>
      </c>
      <c r="N5" s="17">
        <f t="shared" ref="N5:N68" si="3">M5/L5</f>
        <v>127.59322033898316</v>
      </c>
      <c r="O5" s="19">
        <f t="shared" ref="O5:O68" si="4">L5-I5</f>
        <v>0</v>
      </c>
      <c r="P5" s="20">
        <f t="shared" ref="P5:P68" si="5">N5-K5</f>
        <v>-5.7401129943501843</v>
      </c>
      <c r="Q5" s="385">
        <f t="shared" ref="Q5:Q68" si="6">N5/K5</f>
        <v>0.95694915254237367</v>
      </c>
      <c r="R5" s="637">
        <f>Q8</f>
        <v>0.96097603554133582</v>
      </c>
      <c r="S5" s="40">
        <v>0.70833333333333337</v>
      </c>
      <c r="T5" s="40">
        <v>0.74930555555555556</v>
      </c>
      <c r="U5" s="383"/>
      <c r="V5" s="386">
        <f t="shared" ref="V5:V7" si="7">(T5-S5)*24*60</f>
        <v>58.99999999999995</v>
      </c>
      <c r="W5" s="23"/>
      <c r="X5" s="23"/>
      <c r="Y5" s="24"/>
      <c r="Z5" s="24"/>
      <c r="AA5" s="632"/>
      <c r="AB5" s="632"/>
      <c r="AC5" s="25">
        <v>3</v>
      </c>
      <c r="AD5" s="25"/>
      <c r="AE5" s="19">
        <f t="shared" ref="AE5:AE54" si="8">M5-J5</f>
        <v>-86.101694915252665</v>
      </c>
      <c r="AF5" s="385">
        <f t="shared" ref="AF5:AF68" si="9">M5/J5</f>
        <v>0.95694915254237367</v>
      </c>
      <c r="AG5" s="637">
        <f>AF8</f>
        <v>0.96097603554133582</v>
      </c>
    </row>
    <row r="6" spans="1:33">
      <c r="A6" s="665" t="s">
        <v>2024</v>
      </c>
      <c r="B6" s="42" t="s">
        <v>92</v>
      </c>
      <c r="C6" s="666" t="s">
        <v>94</v>
      </c>
      <c r="D6" s="666"/>
      <c r="E6" s="42">
        <v>50.98</v>
      </c>
      <c r="F6" s="388">
        <v>2049</v>
      </c>
      <c r="G6" s="383">
        <f t="shared" si="0"/>
        <v>104458.01999999999</v>
      </c>
      <c r="H6" s="37" t="s">
        <v>91</v>
      </c>
      <c r="I6" s="384">
        <v>16</v>
      </c>
      <c r="J6" s="39">
        <v>2000</v>
      </c>
      <c r="K6" s="17">
        <f t="shared" si="1"/>
        <v>125</v>
      </c>
      <c r="L6" s="384">
        <v>16</v>
      </c>
      <c r="M6" s="18">
        <f t="shared" si="2"/>
        <v>1920.937500000002</v>
      </c>
      <c r="N6" s="17">
        <f t="shared" si="3"/>
        <v>120.05859375000013</v>
      </c>
      <c r="O6" s="19">
        <f t="shared" si="4"/>
        <v>0</v>
      </c>
      <c r="P6" s="20">
        <f t="shared" si="5"/>
        <v>-4.9414062499998721</v>
      </c>
      <c r="Q6" s="385">
        <f t="shared" si="6"/>
        <v>0.96046875000000098</v>
      </c>
      <c r="R6" s="637"/>
      <c r="S6" s="40">
        <v>0.75486111111111109</v>
      </c>
      <c r="T6" s="40">
        <v>0.79930555555555549</v>
      </c>
      <c r="U6" s="383">
        <f t="shared" ref="U6:U7" si="10">IF(S6=TIME(17,0,0),"",(S6-T5)*24*60)</f>
        <v>7.9999999999999716</v>
      </c>
      <c r="V6" s="386">
        <f t="shared" si="7"/>
        <v>63.999999999999929</v>
      </c>
      <c r="W6" s="23"/>
      <c r="X6" s="23"/>
      <c r="Y6" s="23"/>
      <c r="Z6" s="23"/>
      <c r="AA6" s="632"/>
      <c r="AB6" s="632"/>
      <c r="AC6" s="25"/>
      <c r="AD6" s="25"/>
      <c r="AE6" s="19">
        <f t="shared" si="8"/>
        <v>-79.062499999997954</v>
      </c>
      <c r="AF6" s="385">
        <f t="shared" si="9"/>
        <v>0.96046875000000098</v>
      </c>
      <c r="AG6" s="637"/>
    </row>
    <row r="7" spans="1:33">
      <c r="A7" s="665" t="s">
        <v>2024</v>
      </c>
      <c r="B7" s="42" t="s">
        <v>92</v>
      </c>
      <c r="C7" s="660" t="s">
        <v>109</v>
      </c>
      <c r="D7" s="661"/>
      <c r="E7" s="42">
        <v>50.49</v>
      </c>
      <c r="F7" s="388">
        <v>1577</v>
      </c>
      <c r="G7" s="383">
        <f t="shared" si="0"/>
        <v>79622.73</v>
      </c>
      <c r="H7" s="37" t="s">
        <v>91</v>
      </c>
      <c r="I7" s="384">
        <v>15</v>
      </c>
      <c r="J7" s="39">
        <v>2000</v>
      </c>
      <c r="K7" s="17">
        <f t="shared" si="1"/>
        <v>133.33333333333334</v>
      </c>
      <c r="L7" s="384">
        <v>15</v>
      </c>
      <c r="M7" s="18">
        <f t="shared" si="2"/>
        <v>1931.0204081632658</v>
      </c>
      <c r="N7" s="17">
        <f t="shared" si="3"/>
        <v>128.73469387755105</v>
      </c>
      <c r="O7" s="19">
        <f t="shared" si="4"/>
        <v>0</v>
      </c>
      <c r="P7" s="20">
        <f t="shared" si="5"/>
        <v>-4.5986394557822905</v>
      </c>
      <c r="Q7" s="385">
        <f t="shared" si="6"/>
        <v>0.96551020408163279</v>
      </c>
      <c r="R7" s="637"/>
      <c r="S7" s="40">
        <v>0.8027777777777777</v>
      </c>
      <c r="T7" s="40">
        <v>0.83680555555555547</v>
      </c>
      <c r="U7" s="383">
        <f t="shared" si="10"/>
        <v>4.9999999999999822</v>
      </c>
      <c r="V7" s="386">
        <f t="shared" si="7"/>
        <v>48.999999999999986</v>
      </c>
      <c r="W7" s="23"/>
      <c r="X7" s="23"/>
      <c r="Y7" s="26"/>
      <c r="Z7" s="26"/>
      <c r="AA7" s="627"/>
      <c r="AB7" s="628"/>
      <c r="AC7" s="27"/>
      <c r="AD7" s="27"/>
      <c r="AE7" s="19">
        <f t="shared" si="8"/>
        <v>-68.979591836734244</v>
      </c>
      <c r="AF7" s="385">
        <f t="shared" si="9"/>
        <v>0.96551020408163291</v>
      </c>
      <c r="AG7" s="637"/>
    </row>
    <row r="8" spans="1:33">
      <c r="A8" s="665" t="s">
        <v>2024</v>
      </c>
      <c r="B8" s="42" t="s">
        <v>2025</v>
      </c>
      <c r="C8" s="638"/>
      <c r="D8" s="638"/>
      <c r="E8" s="391"/>
      <c r="F8" s="44"/>
      <c r="G8" s="17"/>
      <c r="H8" s="388"/>
      <c r="I8" s="29">
        <v>15.333333333333334</v>
      </c>
      <c r="J8" s="39">
        <v>2000</v>
      </c>
      <c r="K8" s="17">
        <f t="shared" si="1"/>
        <v>130.43478260869566</v>
      </c>
      <c r="L8" s="29">
        <v>15.333333333333334</v>
      </c>
      <c r="M8" s="18">
        <f>AVERAGE(M5:M7)</f>
        <v>1921.9520710826716</v>
      </c>
      <c r="N8" s="17">
        <f t="shared" si="3"/>
        <v>125.34470028800033</v>
      </c>
      <c r="O8" s="19">
        <f t="shared" si="4"/>
        <v>0</v>
      </c>
      <c r="P8" s="20">
        <f t="shared" si="5"/>
        <v>-5.0900823206953305</v>
      </c>
      <c r="Q8" s="385">
        <f t="shared" si="6"/>
        <v>0.96097603554133582</v>
      </c>
      <c r="R8" s="637"/>
      <c r="S8" s="40"/>
      <c r="T8" s="40"/>
      <c r="U8" s="383"/>
      <c r="V8" s="386"/>
      <c r="W8" s="17"/>
      <c r="X8" s="17"/>
      <c r="Y8" s="30">
        <f>SUM(Y5:Y7)</f>
        <v>0</v>
      </c>
      <c r="Z8" s="30">
        <f>SUM(Z5:Z7)</f>
        <v>0</v>
      </c>
      <c r="AA8" s="631"/>
      <c r="AB8" s="631"/>
      <c r="AC8" s="30">
        <v>3</v>
      </c>
      <c r="AD8" s="30">
        <f>SUM(AD5:AD7)</f>
        <v>0</v>
      </c>
      <c r="AE8" s="19">
        <f t="shared" si="8"/>
        <v>-78.047928917328363</v>
      </c>
      <c r="AF8" s="385">
        <f t="shared" si="9"/>
        <v>0.96097603554133582</v>
      </c>
      <c r="AG8" s="637"/>
    </row>
    <row r="9" spans="1:33" ht="15.75" customHeight="1">
      <c r="A9" s="659" t="s">
        <v>2026</v>
      </c>
      <c r="B9" s="42" t="s">
        <v>96</v>
      </c>
      <c r="C9" s="660" t="s">
        <v>100</v>
      </c>
      <c r="D9" s="661"/>
      <c r="E9" s="42">
        <v>39.619999999999997</v>
      </c>
      <c r="F9" s="388">
        <v>4047</v>
      </c>
      <c r="G9" s="383">
        <f t="shared" ref="G9:G10" si="11">E9*F9</f>
        <v>160342.13999999998</v>
      </c>
      <c r="H9" s="37" t="s">
        <v>91</v>
      </c>
      <c r="I9" s="384">
        <v>19</v>
      </c>
      <c r="J9" s="39">
        <v>1500</v>
      </c>
      <c r="K9" s="17">
        <f t="shared" si="1"/>
        <v>78.94736842105263</v>
      </c>
      <c r="L9" s="384">
        <v>19</v>
      </c>
      <c r="M9" s="18">
        <f t="shared" ref="M9:M10" si="12">F9/V9*60</f>
        <v>1428.3529411764705</v>
      </c>
      <c r="N9" s="17">
        <f t="shared" si="3"/>
        <v>75.17647058823529</v>
      </c>
      <c r="O9" s="19">
        <f t="shared" si="4"/>
        <v>0</v>
      </c>
      <c r="P9" s="20">
        <f t="shared" si="5"/>
        <v>-3.7708978328173401</v>
      </c>
      <c r="Q9" s="385">
        <f t="shared" si="6"/>
        <v>0.95223529411764707</v>
      </c>
      <c r="R9" s="637">
        <f>Q11</f>
        <v>0.95284627159413959</v>
      </c>
      <c r="S9" s="40">
        <v>8.3333333333333329E-2</v>
      </c>
      <c r="T9" s="40">
        <v>0.2013888888888889</v>
      </c>
      <c r="U9" s="383"/>
      <c r="V9" s="386">
        <f t="shared" ref="V9:V10" si="13">(T9-S9)*24*60</f>
        <v>170</v>
      </c>
      <c r="W9" s="23">
        <f>T9</f>
        <v>0.2013888888888889</v>
      </c>
      <c r="X9" s="23">
        <f>S10</f>
        <v>0.2215277777777778</v>
      </c>
      <c r="Y9" s="23"/>
      <c r="Z9" s="23"/>
      <c r="AA9" s="632"/>
      <c r="AB9" s="632"/>
      <c r="AC9" s="25">
        <v>2</v>
      </c>
      <c r="AD9" s="25"/>
      <c r="AE9" s="19">
        <f t="shared" si="8"/>
        <v>-71.647058823529505</v>
      </c>
      <c r="AF9" s="385">
        <f t="shared" si="9"/>
        <v>0.95223529411764696</v>
      </c>
      <c r="AG9" s="637">
        <f>AF11</f>
        <v>0.95284627159413959</v>
      </c>
    </row>
    <row r="10" spans="1:33" ht="15.75" customHeight="1">
      <c r="A10" s="659" t="s">
        <v>2027</v>
      </c>
      <c r="B10" s="42" t="s">
        <v>96</v>
      </c>
      <c r="C10" s="660" t="s">
        <v>97</v>
      </c>
      <c r="D10" s="661"/>
      <c r="E10" s="42">
        <v>39.799999999999997</v>
      </c>
      <c r="F10" s="388">
        <v>6412</v>
      </c>
      <c r="G10" s="383">
        <f t="shared" si="11"/>
        <v>255197.59999999998</v>
      </c>
      <c r="H10" s="37" t="s">
        <v>91</v>
      </c>
      <c r="I10" s="384">
        <v>17</v>
      </c>
      <c r="J10" s="39">
        <v>1500</v>
      </c>
      <c r="K10" s="17">
        <f t="shared" si="1"/>
        <v>88.235294117647058</v>
      </c>
      <c r="L10" s="384">
        <v>17</v>
      </c>
      <c r="M10" s="18">
        <f t="shared" si="12"/>
        <v>1430.1858736059482</v>
      </c>
      <c r="N10" s="17">
        <f t="shared" si="3"/>
        <v>84.128580800349894</v>
      </c>
      <c r="O10" s="19">
        <f t="shared" si="4"/>
        <v>0</v>
      </c>
      <c r="P10" s="20">
        <f t="shared" si="5"/>
        <v>-4.1067133172971637</v>
      </c>
      <c r="Q10" s="385">
        <f t="shared" si="6"/>
        <v>0.95345724907063212</v>
      </c>
      <c r="R10" s="637"/>
      <c r="S10" s="40">
        <v>0.2215277777777778</v>
      </c>
      <c r="T10" s="40">
        <v>0.40833333333333333</v>
      </c>
      <c r="U10" s="383">
        <f t="shared" ref="U10" si="14">IF(S10=TIME(17,0,0),"",(S10-T9)*24*60)</f>
        <v>29.000000000000018</v>
      </c>
      <c r="V10" s="386">
        <f t="shared" si="13"/>
        <v>268.99999999999994</v>
      </c>
      <c r="W10" s="23"/>
      <c r="X10" s="23"/>
      <c r="Y10" s="23"/>
      <c r="Z10" s="23"/>
      <c r="AA10" s="632"/>
      <c r="AB10" s="632"/>
      <c r="AC10" s="25"/>
      <c r="AD10" s="25"/>
      <c r="AE10" s="19">
        <f t="shared" si="8"/>
        <v>-69.814126394051755</v>
      </c>
      <c r="AF10" s="385">
        <f t="shared" si="9"/>
        <v>0.95345724907063212</v>
      </c>
      <c r="AG10" s="637"/>
    </row>
    <row r="11" spans="1:33" ht="16.5" customHeight="1">
      <c r="A11" s="659" t="s">
        <v>306</v>
      </c>
      <c r="B11" s="42" t="s">
        <v>2028</v>
      </c>
      <c r="C11" s="638"/>
      <c r="D11" s="638"/>
      <c r="E11" s="391"/>
      <c r="F11" s="39"/>
      <c r="G11" s="18"/>
      <c r="H11" s="388"/>
      <c r="I11" s="29">
        <v>18</v>
      </c>
      <c r="J11" s="39">
        <v>1500</v>
      </c>
      <c r="K11" s="17">
        <f t="shared" si="1"/>
        <v>83.333333333333329</v>
      </c>
      <c r="L11" s="29">
        <v>18</v>
      </c>
      <c r="M11" s="18">
        <f>AVERAGE(M9:M10)</f>
        <v>1429.2694073912094</v>
      </c>
      <c r="N11" s="17">
        <f t="shared" si="3"/>
        <v>79.403855966178298</v>
      </c>
      <c r="O11" s="19">
        <f t="shared" si="4"/>
        <v>0</v>
      </c>
      <c r="P11" s="20">
        <f t="shared" si="5"/>
        <v>-3.9294773671550303</v>
      </c>
      <c r="Q11" s="385">
        <f t="shared" si="6"/>
        <v>0.95284627159413959</v>
      </c>
      <c r="R11" s="637"/>
      <c r="S11" s="40"/>
      <c r="T11" s="40"/>
      <c r="U11" s="17"/>
      <c r="V11" s="386"/>
      <c r="W11" s="17"/>
      <c r="X11" s="17"/>
      <c r="Y11" s="30">
        <f>SUM(Y9:Y10)</f>
        <v>0</v>
      </c>
      <c r="Z11" s="30">
        <f>SUM(Z9:Z10)</f>
        <v>0</v>
      </c>
      <c r="AA11" s="631"/>
      <c r="AB11" s="631"/>
      <c r="AC11" s="30">
        <v>2</v>
      </c>
      <c r="AD11" s="30">
        <f>SUM(AD9:AD10)</f>
        <v>0</v>
      </c>
      <c r="AE11" s="19">
        <f t="shared" si="8"/>
        <v>-70.73059260879063</v>
      </c>
      <c r="AF11" s="385">
        <f t="shared" si="9"/>
        <v>0.95284627159413959</v>
      </c>
      <c r="AG11" s="637"/>
    </row>
    <row r="12" spans="1:33" ht="16.5" customHeight="1">
      <c r="A12" s="657" t="s">
        <v>2029</v>
      </c>
      <c r="B12" s="388" t="s">
        <v>101</v>
      </c>
      <c r="C12" s="653" t="s">
        <v>102</v>
      </c>
      <c r="D12" s="653"/>
      <c r="E12" s="42">
        <v>31.11</v>
      </c>
      <c r="F12" s="388">
        <v>3148</v>
      </c>
      <c r="G12" s="383">
        <f t="shared" ref="G12:G18" si="15">E12*F12</f>
        <v>97934.28</v>
      </c>
      <c r="H12" s="37" t="s">
        <v>91</v>
      </c>
      <c r="I12" s="384">
        <v>14</v>
      </c>
      <c r="J12" s="39">
        <v>2000</v>
      </c>
      <c r="K12" s="17">
        <f t="shared" si="1"/>
        <v>142.85714285714286</v>
      </c>
      <c r="L12" s="384">
        <v>14</v>
      </c>
      <c r="M12" s="18">
        <f t="shared" ref="M12:M18" si="16">F12/V12*60</f>
        <v>1907.8787878787875</v>
      </c>
      <c r="N12" s="17">
        <f t="shared" si="3"/>
        <v>136.27705627705626</v>
      </c>
      <c r="O12" s="19">
        <f t="shared" si="4"/>
        <v>0</v>
      </c>
      <c r="P12" s="20">
        <f t="shared" si="5"/>
        <v>-6.5800865800866006</v>
      </c>
      <c r="Q12" s="385">
        <f t="shared" si="6"/>
        <v>0.95393939393939375</v>
      </c>
      <c r="R12" s="637">
        <f>Q19</f>
        <v>0.95905161745719014</v>
      </c>
      <c r="S12" s="40">
        <v>0.20833333333333334</v>
      </c>
      <c r="T12" s="40">
        <v>0.27708333333333335</v>
      </c>
      <c r="U12" s="383"/>
      <c r="V12" s="386">
        <f t="shared" ref="V12:V18" si="17">(T12-S12)*24*60</f>
        <v>99.000000000000014</v>
      </c>
      <c r="W12" s="23"/>
      <c r="X12" s="23"/>
      <c r="Y12" s="28"/>
      <c r="Z12" s="28"/>
      <c r="AA12" s="632"/>
      <c r="AB12" s="632"/>
      <c r="AC12" s="25">
        <v>7</v>
      </c>
      <c r="AD12" s="25"/>
      <c r="AE12" s="19">
        <f t="shared" si="8"/>
        <v>-92.121212121212466</v>
      </c>
      <c r="AF12" s="385">
        <f t="shared" si="9"/>
        <v>0.95393939393939375</v>
      </c>
      <c r="AG12" s="637">
        <f>AF19</f>
        <v>0.95905161745719014</v>
      </c>
    </row>
    <row r="13" spans="1:33" ht="16.5" customHeight="1">
      <c r="A13" s="658" t="s">
        <v>53</v>
      </c>
      <c r="B13" s="388" t="s">
        <v>103</v>
      </c>
      <c r="C13" s="653" t="s">
        <v>105</v>
      </c>
      <c r="D13" s="653"/>
      <c r="E13" s="42">
        <v>41</v>
      </c>
      <c r="F13" s="388">
        <v>1636</v>
      </c>
      <c r="G13" s="383">
        <f t="shared" si="15"/>
        <v>67076</v>
      </c>
      <c r="H13" s="37" t="s">
        <v>91</v>
      </c>
      <c r="I13" s="384">
        <v>26</v>
      </c>
      <c r="J13" s="39">
        <v>1500</v>
      </c>
      <c r="K13" s="17">
        <f t="shared" si="1"/>
        <v>57.692307692307693</v>
      </c>
      <c r="L13" s="384">
        <v>26</v>
      </c>
      <c r="M13" s="18">
        <f t="shared" si="16"/>
        <v>1443.5294117647059</v>
      </c>
      <c r="N13" s="17">
        <f t="shared" si="3"/>
        <v>55.520361990950228</v>
      </c>
      <c r="O13" s="19">
        <f t="shared" si="4"/>
        <v>0</v>
      </c>
      <c r="P13" s="20">
        <f t="shared" si="5"/>
        <v>-2.1719457013574655</v>
      </c>
      <c r="Q13" s="385">
        <f t="shared" si="6"/>
        <v>0.96235294117647063</v>
      </c>
      <c r="R13" s="637"/>
      <c r="S13" s="40">
        <v>0.28194444444444444</v>
      </c>
      <c r="T13" s="40">
        <v>0.32916666666666666</v>
      </c>
      <c r="U13" s="383">
        <f t="shared" ref="U13:U18" si="18">IF(S13=TIME(17,0,0),"",(S13-T12)*24*60)</f>
        <v>6.9999999999999751</v>
      </c>
      <c r="V13" s="386">
        <f t="shared" si="17"/>
        <v>68</v>
      </c>
      <c r="W13" s="23"/>
      <c r="X13" s="23"/>
      <c r="Y13" s="23"/>
      <c r="Z13" s="23"/>
      <c r="AA13" s="632"/>
      <c r="AB13" s="632"/>
      <c r="AC13" s="25"/>
      <c r="AD13" s="25"/>
      <c r="AE13" s="19">
        <f t="shared" si="8"/>
        <v>-56.470588235294144</v>
      </c>
      <c r="AF13" s="385">
        <f t="shared" si="9"/>
        <v>0.96235294117647052</v>
      </c>
      <c r="AG13" s="637"/>
    </row>
    <row r="14" spans="1:33" ht="16.5" customHeight="1">
      <c r="A14" s="658" t="s">
        <v>2029</v>
      </c>
      <c r="B14" s="388" t="s">
        <v>96</v>
      </c>
      <c r="C14" s="653" t="s">
        <v>98</v>
      </c>
      <c r="D14" s="653"/>
      <c r="E14" s="42">
        <v>39.46</v>
      </c>
      <c r="F14" s="388">
        <v>2282</v>
      </c>
      <c r="G14" s="383">
        <f t="shared" si="15"/>
        <v>90047.72</v>
      </c>
      <c r="H14" s="37" t="s">
        <v>91</v>
      </c>
      <c r="I14" s="384">
        <v>15</v>
      </c>
      <c r="J14" s="39">
        <v>1500</v>
      </c>
      <c r="K14" s="17">
        <f t="shared" si="1"/>
        <v>100</v>
      </c>
      <c r="L14" s="384">
        <v>15</v>
      </c>
      <c r="M14" s="18">
        <f t="shared" si="16"/>
        <v>1441.2631578947371</v>
      </c>
      <c r="N14" s="17">
        <f t="shared" si="3"/>
        <v>96.0842105263158</v>
      </c>
      <c r="O14" s="19">
        <f t="shared" si="4"/>
        <v>0</v>
      </c>
      <c r="P14" s="20">
        <f t="shared" si="5"/>
        <v>-3.9157894736841996</v>
      </c>
      <c r="Q14" s="385">
        <f t="shared" si="6"/>
        <v>0.96084210526315805</v>
      </c>
      <c r="R14" s="637"/>
      <c r="S14" s="40">
        <v>0.33402777777777776</v>
      </c>
      <c r="T14" s="40">
        <v>0.39999999999999997</v>
      </c>
      <c r="U14" s="383">
        <f t="shared" si="18"/>
        <v>6.9999999999999751</v>
      </c>
      <c r="V14" s="386">
        <f t="shared" si="17"/>
        <v>94.999999999999986</v>
      </c>
      <c r="W14" s="23"/>
      <c r="X14" s="23"/>
      <c r="Y14" s="23"/>
      <c r="Z14" s="23"/>
      <c r="AA14" s="632"/>
      <c r="AB14" s="632"/>
      <c r="AC14" s="25"/>
      <c r="AD14" s="25"/>
      <c r="AE14" s="19">
        <f t="shared" si="8"/>
        <v>-58.736842105262895</v>
      </c>
      <c r="AF14" s="385">
        <f t="shared" si="9"/>
        <v>0.96084210526315805</v>
      </c>
      <c r="AG14" s="637"/>
    </row>
    <row r="15" spans="1:33" ht="16.5" customHeight="1">
      <c r="A15" s="658" t="s">
        <v>53</v>
      </c>
      <c r="B15" s="388" t="s">
        <v>96</v>
      </c>
      <c r="C15" s="653" t="s">
        <v>99</v>
      </c>
      <c r="D15" s="653"/>
      <c r="E15" s="42">
        <v>39.520000000000003</v>
      </c>
      <c r="F15" s="388">
        <v>2184</v>
      </c>
      <c r="G15" s="383">
        <f t="shared" si="15"/>
        <v>86311.680000000008</v>
      </c>
      <c r="H15" s="37" t="s">
        <v>91</v>
      </c>
      <c r="I15" s="384">
        <v>19</v>
      </c>
      <c r="J15" s="39">
        <v>1500</v>
      </c>
      <c r="K15" s="17">
        <f t="shared" si="1"/>
        <v>78.94736842105263</v>
      </c>
      <c r="L15" s="384">
        <v>19</v>
      </c>
      <c r="M15" s="18">
        <f t="shared" si="16"/>
        <v>1440</v>
      </c>
      <c r="N15" s="17">
        <f t="shared" si="3"/>
        <v>75.78947368421052</v>
      </c>
      <c r="O15" s="19">
        <f t="shared" si="4"/>
        <v>0</v>
      </c>
      <c r="P15" s="20">
        <f t="shared" si="5"/>
        <v>-3.1578947368421098</v>
      </c>
      <c r="Q15" s="385">
        <f t="shared" si="6"/>
        <v>0.96</v>
      </c>
      <c r="R15" s="637"/>
      <c r="S15" s="40">
        <v>0.40416666666666662</v>
      </c>
      <c r="T15" s="40">
        <v>0.46736111111111106</v>
      </c>
      <c r="U15" s="383">
        <f t="shared" si="18"/>
        <v>5.9999999999999787</v>
      </c>
      <c r="V15" s="386">
        <f t="shared" si="17"/>
        <v>91</v>
      </c>
      <c r="W15" s="23"/>
      <c r="X15" s="23"/>
      <c r="Y15" s="23"/>
      <c r="Z15" s="23"/>
      <c r="AA15" s="632"/>
      <c r="AB15" s="632"/>
      <c r="AC15" s="25"/>
      <c r="AD15" s="25"/>
      <c r="AE15" s="19">
        <f t="shared" si="8"/>
        <v>-60</v>
      </c>
      <c r="AF15" s="385">
        <f t="shared" si="9"/>
        <v>0.96</v>
      </c>
      <c r="AG15" s="637"/>
    </row>
    <row r="16" spans="1:33" ht="16.5" customHeight="1">
      <c r="A16" s="658" t="s">
        <v>53</v>
      </c>
      <c r="B16" s="388" t="s">
        <v>92</v>
      </c>
      <c r="C16" s="653" t="s">
        <v>108</v>
      </c>
      <c r="D16" s="653"/>
      <c r="E16" s="42">
        <v>54.5</v>
      </c>
      <c r="F16" s="388">
        <v>1050</v>
      </c>
      <c r="G16" s="383">
        <f t="shared" si="15"/>
        <v>57225</v>
      </c>
      <c r="H16" s="37" t="s">
        <v>91</v>
      </c>
      <c r="I16" s="384">
        <v>19</v>
      </c>
      <c r="J16" s="39">
        <v>1500</v>
      </c>
      <c r="K16" s="17">
        <f t="shared" si="1"/>
        <v>78.94736842105263</v>
      </c>
      <c r="L16" s="384">
        <v>19</v>
      </c>
      <c r="M16" s="18">
        <f t="shared" si="16"/>
        <v>1431.8181818181818</v>
      </c>
      <c r="N16" s="17">
        <f t="shared" si="3"/>
        <v>75.358851674641144</v>
      </c>
      <c r="O16" s="19">
        <f t="shared" si="4"/>
        <v>0</v>
      </c>
      <c r="P16" s="20">
        <f t="shared" si="5"/>
        <v>-3.5885167464114858</v>
      </c>
      <c r="Q16" s="385">
        <f t="shared" si="6"/>
        <v>0.95454545454545447</v>
      </c>
      <c r="R16" s="637"/>
      <c r="S16" s="40">
        <v>0.70833333333333337</v>
      </c>
      <c r="T16" s="40">
        <v>0.73888888888888893</v>
      </c>
      <c r="U16" s="383" t="str">
        <f t="shared" si="18"/>
        <v/>
      </c>
      <c r="V16" s="386">
        <f t="shared" si="17"/>
        <v>44</v>
      </c>
      <c r="W16" s="23"/>
      <c r="X16" s="23"/>
      <c r="Y16" s="23"/>
      <c r="Z16" s="23"/>
      <c r="AA16" s="632"/>
      <c r="AB16" s="632"/>
      <c r="AC16" s="25"/>
      <c r="AD16" s="25"/>
      <c r="AE16" s="19">
        <f t="shared" si="8"/>
        <v>-68.181818181818244</v>
      </c>
      <c r="AF16" s="385">
        <f t="shared" si="9"/>
        <v>0.95454545454545447</v>
      </c>
      <c r="AG16" s="637"/>
    </row>
    <row r="17" spans="1:33" ht="16.5" customHeight="1">
      <c r="A17" s="658" t="s">
        <v>2029</v>
      </c>
      <c r="B17" s="388" t="s">
        <v>92</v>
      </c>
      <c r="C17" s="392" t="s">
        <v>107</v>
      </c>
      <c r="D17" s="393"/>
      <c r="E17" s="42">
        <v>50.67</v>
      </c>
      <c r="F17" s="388">
        <v>1353</v>
      </c>
      <c r="G17" s="383">
        <f t="shared" si="15"/>
        <v>68556.510000000009</v>
      </c>
      <c r="H17" s="37" t="s">
        <v>91</v>
      </c>
      <c r="I17" s="384">
        <v>17</v>
      </c>
      <c r="J17" s="39">
        <v>2000</v>
      </c>
      <c r="K17" s="17">
        <f t="shared" si="1"/>
        <v>117.64705882352941</v>
      </c>
      <c r="L17" s="384">
        <v>17</v>
      </c>
      <c r="M17" s="18">
        <f t="shared" si="16"/>
        <v>1932.857142857142</v>
      </c>
      <c r="N17" s="17">
        <f t="shared" si="3"/>
        <v>113.69747899159658</v>
      </c>
      <c r="O17" s="19">
        <f t="shared" si="4"/>
        <v>0</v>
      </c>
      <c r="P17" s="20">
        <f t="shared" si="5"/>
        <v>-3.949579831932823</v>
      </c>
      <c r="Q17" s="385">
        <f t="shared" si="6"/>
        <v>0.96642857142857097</v>
      </c>
      <c r="R17" s="637"/>
      <c r="S17" s="40">
        <v>0.74444444444444446</v>
      </c>
      <c r="T17" s="40">
        <v>0.77361111111111114</v>
      </c>
      <c r="U17" s="383">
        <f t="shared" si="18"/>
        <v>7.9999999999999716</v>
      </c>
      <c r="V17" s="386">
        <f t="shared" si="17"/>
        <v>42.000000000000014</v>
      </c>
      <c r="W17" s="23"/>
      <c r="X17" s="23"/>
      <c r="Y17" s="26"/>
      <c r="Z17" s="26"/>
      <c r="AA17" s="389"/>
      <c r="AB17" s="390"/>
      <c r="AC17" s="25"/>
      <c r="AD17" s="25"/>
      <c r="AE17" s="19">
        <f t="shared" si="8"/>
        <v>-67.14285714285802</v>
      </c>
      <c r="AF17" s="385">
        <f t="shared" si="9"/>
        <v>0.96642857142857097</v>
      </c>
      <c r="AG17" s="637"/>
    </row>
    <row r="18" spans="1:33" ht="16.5" customHeight="1">
      <c r="A18" s="658" t="s">
        <v>53</v>
      </c>
      <c r="B18" s="388" t="s">
        <v>92</v>
      </c>
      <c r="C18" s="392" t="s">
        <v>114</v>
      </c>
      <c r="D18" s="393"/>
      <c r="E18" s="42">
        <v>54.09</v>
      </c>
      <c r="F18" s="388">
        <v>1752</v>
      </c>
      <c r="G18" s="383">
        <f t="shared" si="15"/>
        <v>94765.680000000008</v>
      </c>
      <c r="H18" s="37" t="s">
        <v>91</v>
      </c>
      <c r="I18" s="384">
        <v>18</v>
      </c>
      <c r="J18" s="39">
        <v>2000</v>
      </c>
      <c r="K18" s="17">
        <f t="shared" si="1"/>
        <v>111.11111111111111</v>
      </c>
      <c r="L18" s="384">
        <v>18</v>
      </c>
      <c r="M18" s="18">
        <f t="shared" si="16"/>
        <v>1911.2727272727286</v>
      </c>
      <c r="N18" s="17">
        <f t="shared" si="3"/>
        <v>106.18181818181826</v>
      </c>
      <c r="O18" s="19">
        <f t="shared" si="4"/>
        <v>0</v>
      </c>
      <c r="P18" s="20">
        <f t="shared" si="5"/>
        <v>-4.9292929292928562</v>
      </c>
      <c r="Q18" s="385">
        <f t="shared" si="6"/>
        <v>0.95563636363636428</v>
      </c>
      <c r="R18" s="637"/>
      <c r="S18" s="40">
        <v>0.77708333333333335</v>
      </c>
      <c r="T18" s="40">
        <v>0.81527777777777777</v>
      </c>
      <c r="U18" s="383">
        <f t="shared" si="18"/>
        <v>4.9999999999999822</v>
      </c>
      <c r="V18" s="386">
        <f t="shared" si="17"/>
        <v>54.999999999999964</v>
      </c>
      <c r="W18" s="23"/>
      <c r="X18" s="23"/>
      <c r="Y18" s="26"/>
      <c r="Z18" s="26"/>
      <c r="AA18" s="389"/>
      <c r="AB18" s="390"/>
      <c r="AC18" s="25"/>
      <c r="AD18" s="25"/>
      <c r="AE18" s="19">
        <f t="shared" si="8"/>
        <v>-88.727272727271384</v>
      </c>
      <c r="AF18" s="385">
        <f t="shared" si="9"/>
        <v>0.95563636363636428</v>
      </c>
      <c r="AG18" s="637"/>
    </row>
    <row r="19" spans="1:33" ht="16.5" customHeight="1">
      <c r="A19" s="658" t="s">
        <v>53</v>
      </c>
      <c r="B19" s="42" t="s">
        <v>2028</v>
      </c>
      <c r="C19" s="638"/>
      <c r="D19" s="638"/>
      <c r="E19" s="391"/>
      <c r="F19" s="44"/>
      <c r="G19" s="17"/>
      <c r="H19" s="388"/>
      <c r="I19" s="29">
        <v>18.285714285714285</v>
      </c>
      <c r="J19" s="39">
        <v>1714.2857142857142</v>
      </c>
      <c r="K19" s="17">
        <f t="shared" si="1"/>
        <v>93.75</v>
      </c>
      <c r="L19" s="29">
        <v>18.285714285714285</v>
      </c>
      <c r="M19" s="18">
        <f>AVERAGE(M12:M18)</f>
        <v>1644.0884870694688</v>
      </c>
      <c r="N19" s="17">
        <f t="shared" si="3"/>
        <v>89.911089136611579</v>
      </c>
      <c r="O19" s="19">
        <f t="shared" si="4"/>
        <v>0</v>
      </c>
      <c r="P19" s="20">
        <f t="shared" si="5"/>
        <v>-3.8389108633884206</v>
      </c>
      <c r="Q19" s="385">
        <f t="shared" si="6"/>
        <v>0.95905161745719014</v>
      </c>
      <c r="R19" s="637"/>
      <c r="S19" s="40"/>
      <c r="T19" s="40"/>
      <c r="U19" s="383"/>
      <c r="V19" s="386"/>
      <c r="W19" s="17"/>
      <c r="X19" s="17"/>
      <c r="Y19" s="30">
        <f>SUM(Y12:Y18)</f>
        <v>0</v>
      </c>
      <c r="Z19" s="30">
        <f>SUM(Z12:Z18)</f>
        <v>0</v>
      </c>
      <c r="AA19" s="631"/>
      <c r="AB19" s="631"/>
      <c r="AC19" s="30">
        <v>7</v>
      </c>
      <c r="AD19" s="30">
        <f>SUM(AD12:AD18)</f>
        <v>0</v>
      </c>
      <c r="AE19" s="19">
        <f t="shared" si="8"/>
        <v>-70.197227216245437</v>
      </c>
      <c r="AF19" s="385">
        <f t="shared" si="9"/>
        <v>0.95905161745719014</v>
      </c>
      <c r="AG19" s="637"/>
    </row>
    <row r="20" spans="1:33" ht="15.75" customHeight="1">
      <c r="A20" s="655" t="s">
        <v>2030</v>
      </c>
      <c r="B20" s="42" t="s">
        <v>92</v>
      </c>
      <c r="C20" s="653" t="s">
        <v>110</v>
      </c>
      <c r="D20" s="653"/>
      <c r="E20" s="42">
        <v>50.67</v>
      </c>
      <c r="F20" s="388">
        <v>1609</v>
      </c>
      <c r="G20" s="383">
        <f t="shared" ref="G20:G26" si="19">E20*F20</f>
        <v>81528.03</v>
      </c>
      <c r="H20" s="37" t="s">
        <v>91</v>
      </c>
      <c r="I20" s="384">
        <v>17</v>
      </c>
      <c r="J20" s="39">
        <v>2000</v>
      </c>
      <c r="K20" s="17">
        <f t="shared" si="1"/>
        <v>117.64705882352941</v>
      </c>
      <c r="L20" s="384">
        <v>17</v>
      </c>
      <c r="M20" s="18">
        <f t="shared" ref="M20:M26" si="20">F20/V20*60</f>
        <v>1930.799999999999</v>
      </c>
      <c r="N20" s="17">
        <f t="shared" si="3"/>
        <v>113.57647058823524</v>
      </c>
      <c r="O20" s="19">
        <f t="shared" si="4"/>
        <v>0</v>
      </c>
      <c r="P20" s="20">
        <f t="shared" si="5"/>
        <v>-4.0705882352941671</v>
      </c>
      <c r="Q20" s="385">
        <f t="shared" si="6"/>
        <v>0.96539999999999959</v>
      </c>
      <c r="R20" s="637">
        <f>Q27</f>
        <v>0.95885423180877716</v>
      </c>
      <c r="S20" s="40">
        <v>0.20833333333333334</v>
      </c>
      <c r="T20" s="40">
        <v>0.24305555555555558</v>
      </c>
      <c r="U20" s="383"/>
      <c r="V20" s="386">
        <f t="shared" ref="V20:V26" si="21">(T20-S20)*24*60</f>
        <v>50.000000000000021</v>
      </c>
      <c r="W20" s="23"/>
      <c r="X20" s="23"/>
      <c r="Y20" s="28"/>
      <c r="Z20" s="28"/>
      <c r="AA20" s="632"/>
      <c r="AB20" s="632"/>
      <c r="AC20" s="25">
        <v>7</v>
      </c>
      <c r="AD20" s="25"/>
      <c r="AE20" s="19">
        <f t="shared" si="8"/>
        <v>-69.200000000000955</v>
      </c>
      <c r="AF20" s="385">
        <f t="shared" si="9"/>
        <v>0.96539999999999948</v>
      </c>
      <c r="AG20" s="637">
        <f>AF27</f>
        <v>0.95885423180877716</v>
      </c>
    </row>
    <row r="21" spans="1:33" ht="15.75" customHeight="1">
      <c r="A21" s="656" t="s">
        <v>58</v>
      </c>
      <c r="B21" s="42" t="s">
        <v>92</v>
      </c>
      <c r="C21" s="653" t="s">
        <v>111</v>
      </c>
      <c r="D21" s="653"/>
      <c r="E21" s="42">
        <v>57.73</v>
      </c>
      <c r="F21" s="388">
        <v>2155</v>
      </c>
      <c r="G21" s="383">
        <f t="shared" si="19"/>
        <v>124408.15</v>
      </c>
      <c r="H21" s="37" t="s">
        <v>91</v>
      </c>
      <c r="I21" s="384">
        <v>14</v>
      </c>
      <c r="J21" s="39">
        <v>2000</v>
      </c>
      <c r="K21" s="17">
        <f t="shared" si="1"/>
        <v>142.85714285714286</v>
      </c>
      <c r="L21" s="384">
        <v>14</v>
      </c>
      <c r="M21" s="18">
        <f t="shared" si="20"/>
        <v>1901.4705882352928</v>
      </c>
      <c r="N21" s="17">
        <f t="shared" si="3"/>
        <v>135.81932773109233</v>
      </c>
      <c r="O21" s="19">
        <f t="shared" si="4"/>
        <v>0</v>
      </c>
      <c r="P21" s="20">
        <f t="shared" si="5"/>
        <v>-7.0378151260505319</v>
      </c>
      <c r="Q21" s="385">
        <f t="shared" si="6"/>
        <v>0.95073529411764623</v>
      </c>
      <c r="R21" s="637"/>
      <c r="S21" s="40">
        <v>0.24861111111111114</v>
      </c>
      <c r="T21" s="40">
        <v>0.29583333333333339</v>
      </c>
      <c r="U21" s="383">
        <f t="shared" ref="U21:U26" si="22">IF(S21=TIME(17,0,0),"",(S21-T20)*24*60)</f>
        <v>8.0000000000000107</v>
      </c>
      <c r="V21" s="386">
        <f t="shared" si="21"/>
        <v>68.000000000000043</v>
      </c>
      <c r="W21" s="23"/>
      <c r="X21" s="383"/>
      <c r="Y21" s="383"/>
      <c r="Z21" s="383"/>
      <c r="AA21" s="632"/>
      <c r="AB21" s="632"/>
      <c r="AC21" s="25"/>
      <c r="AD21" s="25"/>
      <c r="AE21" s="19">
        <f t="shared" si="8"/>
        <v>-98.52941176470722</v>
      </c>
      <c r="AF21" s="385">
        <f t="shared" si="9"/>
        <v>0.95073529411764635</v>
      </c>
      <c r="AG21" s="637"/>
    </row>
    <row r="22" spans="1:33" ht="15.75" customHeight="1">
      <c r="A22" s="656" t="s">
        <v>58</v>
      </c>
      <c r="B22" s="42" t="s">
        <v>92</v>
      </c>
      <c r="C22" s="653" t="s">
        <v>112</v>
      </c>
      <c r="D22" s="653"/>
      <c r="E22" s="42">
        <v>53.27</v>
      </c>
      <c r="F22" s="388">
        <v>1295</v>
      </c>
      <c r="G22" s="383">
        <f t="shared" si="19"/>
        <v>68984.650000000009</v>
      </c>
      <c r="H22" s="37" t="s">
        <v>91</v>
      </c>
      <c r="I22" s="384">
        <v>16</v>
      </c>
      <c r="J22" s="39">
        <v>2000</v>
      </c>
      <c r="K22" s="17">
        <f t="shared" si="1"/>
        <v>125</v>
      </c>
      <c r="L22" s="384">
        <v>16</v>
      </c>
      <c r="M22" s="18">
        <f t="shared" si="20"/>
        <v>1942.4999999999991</v>
      </c>
      <c r="N22" s="17">
        <f t="shared" si="3"/>
        <v>121.40624999999994</v>
      </c>
      <c r="O22" s="19">
        <f t="shared" si="4"/>
        <v>0</v>
      </c>
      <c r="P22" s="20">
        <f t="shared" si="5"/>
        <v>-3.5937500000000568</v>
      </c>
      <c r="Q22" s="385">
        <f t="shared" si="6"/>
        <v>0.9712499999999995</v>
      </c>
      <c r="R22" s="637"/>
      <c r="S22" s="40">
        <v>0.30000000000000004</v>
      </c>
      <c r="T22" s="40">
        <v>0.32777777777777783</v>
      </c>
      <c r="U22" s="383">
        <f t="shared" si="22"/>
        <v>5.9999999999999787</v>
      </c>
      <c r="V22" s="386">
        <f t="shared" si="21"/>
        <v>40.000000000000014</v>
      </c>
      <c r="W22" s="23"/>
      <c r="X22" s="383"/>
      <c r="Y22" s="383"/>
      <c r="Z22" s="383"/>
      <c r="AA22" s="632"/>
      <c r="AB22" s="632"/>
      <c r="AC22" s="25"/>
      <c r="AD22" s="25"/>
      <c r="AE22" s="19">
        <f t="shared" si="8"/>
        <v>-57.500000000000909</v>
      </c>
      <c r="AF22" s="385">
        <f t="shared" si="9"/>
        <v>0.9712499999999995</v>
      </c>
      <c r="AG22" s="637"/>
    </row>
    <row r="23" spans="1:33" ht="15.75" customHeight="1">
      <c r="A23" s="656" t="s">
        <v>58</v>
      </c>
      <c r="B23" s="42" t="s">
        <v>92</v>
      </c>
      <c r="C23" s="653" t="s">
        <v>1852</v>
      </c>
      <c r="D23" s="653"/>
      <c r="E23" s="42">
        <v>56.43</v>
      </c>
      <c r="F23" s="388">
        <v>2983</v>
      </c>
      <c r="G23" s="383">
        <f t="shared" si="19"/>
        <v>168330.69</v>
      </c>
      <c r="H23" s="37" t="s">
        <v>91</v>
      </c>
      <c r="I23" s="384">
        <v>25</v>
      </c>
      <c r="J23" s="39">
        <v>2000</v>
      </c>
      <c r="K23" s="17">
        <f t="shared" si="1"/>
        <v>80</v>
      </c>
      <c r="L23" s="384">
        <v>25</v>
      </c>
      <c r="M23" s="18">
        <f t="shared" si="20"/>
        <v>1904.0425531914896</v>
      </c>
      <c r="N23" s="17">
        <f t="shared" si="3"/>
        <v>76.161702127659581</v>
      </c>
      <c r="O23" s="19">
        <f t="shared" si="4"/>
        <v>0</v>
      </c>
      <c r="P23" s="20">
        <f t="shared" si="5"/>
        <v>-3.8382978723404193</v>
      </c>
      <c r="Q23" s="385">
        <f t="shared" si="6"/>
        <v>0.95202127659574476</v>
      </c>
      <c r="R23" s="637"/>
      <c r="S23" s="40">
        <v>0.33125000000000004</v>
      </c>
      <c r="T23" s="40">
        <v>0.39652777777777781</v>
      </c>
      <c r="U23" s="383">
        <f t="shared" si="22"/>
        <v>4.9999999999999822</v>
      </c>
      <c r="V23" s="386">
        <f t="shared" si="21"/>
        <v>93.999999999999986</v>
      </c>
      <c r="W23" s="23"/>
      <c r="X23" s="383"/>
      <c r="Y23" s="383"/>
      <c r="Z23" s="383"/>
      <c r="AA23" s="632"/>
      <c r="AB23" s="632"/>
      <c r="AC23" s="25"/>
      <c r="AD23" s="25"/>
      <c r="AE23" s="19">
        <f t="shared" si="8"/>
        <v>-95.95744680851044</v>
      </c>
      <c r="AF23" s="385">
        <f t="shared" si="9"/>
        <v>0.95202127659574476</v>
      </c>
      <c r="AG23" s="637"/>
    </row>
    <row r="24" spans="1:33" ht="15.75" customHeight="1">
      <c r="A24" s="656" t="s">
        <v>58</v>
      </c>
      <c r="B24" s="42" t="s">
        <v>92</v>
      </c>
      <c r="C24" s="653" t="s">
        <v>113</v>
      </c>
      <c r="D24" s="653"/>
      <c r="E24" s="42">
        <v>56.43</v>
      </c>
      <c r="F24" s="388">
        <v>1016</v>
      </c>
      <c r="G24" s="383">
        <f t="shared" si="19"/>
        <v>57332.88</v>
      </c>
      <c r="H24" s="37" t="s">
        <v>91</v>
      </c>
      <c r="I24" s="384">
        <v>13</v>
      </c>
      <c r="J24" s="39">
        <v>2000</v>
      </c>
      <c r="K24" s="17">
        <f t="shared" si="1"/>
        <v>153.84615384615384</v>
      </c>
      <c r="L24" s="384">
        <v>13</v>
      </c>
      <c r="M24" s="18">
        <f t="shared" si="20"/>
        <v>1904.9999999999975</v>
      </c>
      <c r="N24" s="17">
        <f t="shared" si="3"/>
        <v>146.53846153846135</v>
      </c>
      <c r="O24" s="19">
        <f t="shared" si="4"/>
        <v>0</v>
      </c>
      <c r="P24" s="20">
        <f t="shared" si="5"/>
        <v>-7.3076923076924913</v>
      </c>
      <c r="Q24" s="385">
        <f t="shared" si="6"/>
        <v>0.95249999999999879</v>
      </c>
      <c r="R24" s="637"/>
      <c r="S24" s="40">
        <v>0.70833333333333337</v>
      </c>
      <c r="T24" s="40">
        <v>0.73055555555555562</v>
      </c>
      <c r="U24" s="383" t="str">
        <f t="shared" si="22"/>
        <v/>
      </c>
      <c r="V24" s="386">
        <f t="shared" si="21"/>
        <v>32.000000000000043</v>
      </c>
      <c r="W24" s="23"/>
      <c r="X24" s="23"/>
      <c r="Y24" s="383"/>
      <c r="Z24" s="383"/>
      <c r="AA24" s="632"/>
      <c r="AB24" s="632"/>
      <c r="AC24" s="25"/>
      <c r="AD24" s="25"/>
      <c r="AE24" s="19">
        <f t="shared" si="8"/>
        <v>-95.000000000002501</v>
      </c>
      <c r="AF24" s="385">
        <f t="shared" si="9"/>
        <v>0.95249999999999879</v>
      </c>
      <c r="AG24" s="637"/>
    </row>
    <row r="25" spans="1:33" ht="15.75" customHeight="1">
      <c r="A25" s="656" t="s">
        <v>58</v>
      </c>
      <c r="B25" s="42" t="s">
        <v>92</v>
      </c>
      <c r="C25" s="653" t="s">
        <v>140</v>
      </c>
      <c r="D25" s="653"/>
      <c r="E25" s="42">
        <v>51.06</v>
      </c>
      <c r="F25" s="388">
        <v>2469</v>
      </c>
      <c r="G25" s="383">
        <f t="shared" si="19"/>
        <v>126067.14</v>
      </c>
      <c r="H25" s="37" t="s">
        <v>91</v>
      </c>
      <c r="I25" s="384">
        <v>13</v>
      </c>
      <c r="J25" s="39">
        <v>2000</v>
      </c>
      <c r="K25" s="17">
        <f t="shared" si="1"/>
        <v>153.84615384615384</v>
      </c>
      <c r="L25" s="384">
        <v>13</v>
      </c>
      <c r="M25" s="18">
        <f t="shared" si="20"/>
        <v>1923.8961038961029</v>
      </c>
      <c r="N25" s="17">
        <f t="shared" si="3"/>
        <v>147.99200799200793</v>
      </c>
      <c r="O25" s="19">
        <f t="shared" si="4"/>
        <v>0</v>
      </c>
      <c r="P25" s="20">
        <f t="shared" si="5"/>
        <v>-5.8541458541459122</v>
      </c>
      <c r="Q25" s="385">
        <f t="shared" si="6"/>
        <v>0.96194805194805155</v>
      </c>
      <c r="R25" s="637"/>
      <c r="S25" s="40">
        <v>0.73611111111111116</v>
      </c>
      <c r="T25" s="40">
        <v>0.78958333333333341</v>
      </c>
      <c r="U25" s="383">
        <f t="shared" si="22"/>
        <v>7.9999999999999716</v>
      </c>
      <c r="V25" s="386">
        <f t="shared" si="21"/>
        <v>77.000000000000043</v>
      </c>
      <c r="W25" s="23"/>
      <c r="X25" s="28"/>
      <c r="Y25" s="28"/>
      <c r="Z25" s="28"/>
      <c r="AA25" s="632"/>
      <c r="AB25" s="632"/>
      <c r="AC25" s="25"/>
      <c r="AD25" s="25"/>
      <c r="AE25" s="19">
        <f t="shared" si="8"/>
        <v>-76.103896103897114</v>
      </c>
      <c r="AF25" s="385">
        <f t="shared" si="9"/>
        <v>0.96194805194805144</v>
      </c>
      <c r="AG25" s="637"/>
    </row>
    <row r="26" spans="1:33" ht="15.75" customHeight="1">
      <c r="A26" s="656" t="s">
        <v>58</v>
      </c>
      <c r="B26" s="42" t="s">
        <v>92</v>
      </c>
      <c r="C26" s="679" t="s">
        <v>95</v>
      </c>
      <c r="D26" s="680"/>
      <c r="E26" s="42">
        <v>50.67</v>
      </c>
      <c r="F26" s="388">
        <v>1022</v>
      </c>
      <c r="G26" s="383">
        <f t="shared" si="19"/>
        <v>51784.740000000005</v>
      </c>
      <c r="H26" s="37" t="s">
        <v>91</v>
      </c>
      <c r="I26" s="384">
        <v>15</v>
      </c>
      <c r="J26" s="39">
        <v>2000</v>
      </c>
      <c r="K26" s="17">
        <f t="shared" si="1"/>
        <v>133.33333333333334</v>
      </c>
      <c r="L26" s="384">
        <v>15</v>
      </c>
      <c r="M26" s="18">
        <f t="shared" si="20"/>
        <v>1916.2499999999975</v>
      </c>
      <c r="N26" s="17">
        <f t="shared" si="3"/>
        <v>127.74999999999983</v>
      </c>
      <c r="O26" s="19">
        <f t="shared" si="4"/>
        <v>0</v>
      </c>
      <c r="P26" s="20">
        <f t="shared" si="5"/>
        <v>-5.5833333333335133</v>
      </c>
      <c r="Q26" s="385">
        <f t="shared" si="6"/>
        <v>0.95812499999999867</v>
      </c>
      <c r="R26" s="637"/>
      <c r="S26" s="40">
        <v>0.79513888888888895</v>
      </c>
      <c r="T26" s="40">
        <v>0.8173611111111112</v>
      </c>
      <c r="U26" s="383">
        <f t="shared" si="22"/>
        <v>7.9999999999999716</v>
      </c>
      <c r="V26" s="386">
        <f t="shared" si="21"/>
        <v>32.000000000000043</v>
      </c>
      <c r="W26" s="23"/>
      <c r="X26" s="28"/>
      <c r="Y26" s="136"/>
      <c r="Z26" s="136"/>
      <c r="AA26" s="627"/>
      <c r="AB26" s="628"/>
      <c r="AC26" s="25"/>
      <c r="AD26" s="25"/>
      <c r="AE26" s="19">
        <f t="shared" si="8"/>
        <v>-83.750000000002501</v>
      </c>
      <c r="AF26" s="385">
        <f t="shared" si="9"/>
        <v>0.95812499999999878</v>
      </c>
      <c r="AG26" s="637"/>
    </row>
    <row r="27" spans="1:33" ht="15.75" customHeight="1">
      <c r="A27" s="656" t="s">
        <v>58</v>
      </c>
      <c r="B27" s="42" t="s">
        <v>49</v>
      </c>
      <c r="C27" s="638"/>
      <c r="D27" s="638"/>
      <c r="E27" s="391"/>
      <c r="F27" s="388"/>
      <c r="G27" s="383"/>
      <c r="H27" s="388"/>
      <c r="I27" s="29">
        <v>16.142857142857142</v>
      </c>
      <c r="J27" s="39">
        <v>2000</v>
      </c>
      <c r="K27" s="17">
        <f t="shared" si="1"/>
        <v>123.89380530973452</v>
      </c>
      <c r="L27" s="29">
        <v>16.142857142857142</v>
      </c>
      <c r="M27" s="18">
        <f>AVERAGE(M20:M26)</f>
        <v>1917.7084636175543</v>
      </c>
      <c r="N27" s="17">
        <f t="shared" si="3"/>
        <v>118.79609951613169</v>
      </c>
      <c r="O27" s="19">
        <f t="shared" si="4"/>
        <v>0</v>
      </c>
      <c r="P27" s="20">
        <f t="shared" si="5"/>
        <v>-5.0977057936028274</v>
      </c>
      <c r="Q27" s="385">
        <f t="shared" si="6"/>
        <v>0.95885423180877716</v>
      </c>
      <c r="R27" s="637"/>
      <c r="S27" s="40"/>
      <c r="T27" s="40"/>
      <c r="U27" s="17"/>
      <c r="V27" s="386"/>
      <c r="W27" s="17"/>
      <c r="X27" s="17"/>
      <c r="Y27" s="30">
        <f>SUM(Y20:Y26)</f>
        <v>0</v>
      </c>
      <c r="Z27" s="30">
        <f>SUM(Z20:Z26)</f>
        <v>0</v>
      </c>
      <c r="AA27" s="631"/>
      <c r="AB27" s="631"/>
      <c r="AC27" s="30">
        <v>7</v>
      </c>
      <c r="AD27" s="30">
        <f>SUM(AD20:AD26)</f>
        <v>0</v>
      </c>
      <c r="AE27" s="19">
        <f t="shared" si="8"/>
        <v>-82.291536382445656</v>
      </c>
      <c r="AF27" s="385">
        <f t="shared" si="9"/>
        <v>0.95885423180877716</v>
      </c>
      <c r="AG27" s="637"/>
    </row>
    <row r="28" spans="1:33" ht="15.75" customHeight="1">
      <c r="A28" s="654" t="s">
        <v>62</v>
      </c>
      <c r="B28" s="42" t="s">
        <v>116</v>
      </c>
      <c r="C28" s="653" t="s">
        <v>117</v>
      </c>
      <c r="D28" s="653"/>
      <c r="E28" s="42">
        <v>31.29</v>
      </c>
      <c r="F28" s="388">
        <v>4900</v>
      </c>
      <c r="G28" s="383">
        <f t="shared" ref="G28:G34" si="23">E28*F28</f>
        <v>153321</v>
      </c>
      <c r="H28" s="37">
        <v>2</v>
      </c>
      <c r="I28" s="384">
        <v>18</v>
      </c>
      <c r="J28" s="39">
        <v>2400</v>
      </c>
      <c r="K28" s="17">
        <f t="shared" si="1"/>
        <v>133.33333333333334</v>
      </c>
      <c r="L28" s="384">
        <v>18</v>
      </c>
      <c r="M28" s="18">
        <f t="shared" ref="M28:M34" si="24">F28/V28*60</f>
        <v>2296.875</v>
      </c>
      <c r="N28" s="17">
        <f t="shared" si="3"/>
        <v>127.60416666666667</v>
      </c>
      <c r="O28" s="19">
        <f t="shared" si="4"/>
        <v>0</v>
      </c>
      <c r="P28" s="20">
        <f t="shared" si="5"/>
        <v>-5.7291666666666714</v>
      </c>
      <c r="Q28" s="385">
        <f t="shared" si="6"/>
        <v>0.95703125</v>
      </c>
      <c r="R28" s="637">
        <f>Q35</f>
        <v>0.95770238591812107</v>
      </c>
      <c r="S28" s="40">
        <v>8.3333333333333329E-2</v>
      </c>
      <c r="T28" s="40">
        <v>0.17222222222222222</v>
      </c>
      <c r="U28" s="383"/>
      <c r="V28" s="386">
        <f t="shared" ref="V28:V34" si="25">(T28-S28)*24*60</f>
        <v>128</v>
      </c>
      <c r="W28" s="23">
        <f>T28</f>
        <v>0.17222222222222222</v>
      </c>
      <c r="X28" s="23">
        <f>S29</f>
        <v>0.19097222222222221</v>
      </c>
      <c r="Y28" s="23"/>
      <c r="Z28" s="23"/>
      <c r="AA28" s="632"/>
      <c r="AB28" s="632"/>
      <c r="AC28" s="25">
        <v>7</v>
      </c>
      <c r="AD28" s="25"/>
      <c r="AE28" s="19">
        <f t="shared" si="8"/>
        <v>-103.125</v>
      </c>
      <c r="AF28" s="385">
        <f t="shared" si="9"/>
        <v>0.95703125</v>
      </c>
      <c r="AG28" s="637">
        <f>AF35</f>
        <v>0.95770238591812107</v>
      </c>
    </row>
    <row r="29" spans="1:33" ht="15.75" customHeight="1">
      <c r="A29" s="654" t="s">
        <v>62</v>
      </c>
      <c r="B29" s="42" t="s">
        <v>116</v>
      </c>
      <c r="C29" s="653" t="s">
        <v>118</v>
      </c>
      <c r="D29" s="653"/>
      <c r="E29" s="42">
        <v>26.37</v>
      </c>
      <c r="F29" s="388">
        <v>6228</v>
      </c>
      <c r="G29" s="383">
        <f t="shared" si="23"/>
        <v>164232.36000000002</v>
      </c>
      <c r="H29" s="37" t="s">
        <v>91</v>
      </c>
      <c r="I29" s="384">
        <v>18</v>
      </c>
      <c r="J29" s="39">
        <v>2400</v>
      </c>
      <c r="K29" s="17">
        <f t="shared" si="1"/>
        <v>133.33333333333334</v>
      </c>
      <c r="L29" s="384">
        <v>18</v>
      </c>
      <c r="M29" s="18">
        <f t="shared" si="24"/>
        <v>2292.5153374233132</v>
      </c>
      <c r="N29" s="17">
        <f t="shared" si="3"/>
        <v>127.36196319018407</v>
      </c>
      <c r="O29" s="19">
        <f t="shared" si="4"/>
        <v>0</v>
      </c>
      <c r="P29" s="20">
        <f t="shared" si="5"/>
        <v>-5.9713701431492723</v>
      </c>
      <c r="Q29" s="385">
        <f t="shared" si="6"/>
        <v>0.95521472392638052</v>
      </c>
      <c r="R29" s="637"/>
      <c r="S29" s="40">
        <v>0.19097222222222221</v>
      </c>
      <c r="T29" s="40">
        <v>0.30416666666666664</v>
      </c>
      <c r="U29" s="383">
        <f t="shared" ref="U29:U34" si="26">(S29-T28)*24*60</f>
        <v>26.999999999999986</v>
      </c>
      <c r="V29" s="386">
        <f t="shared" si="25"/>
        <v>162.99999999999997</v>
      </c>
      <c r="W29" s="23"/>
      <c r="X29" s="23"/>
      <c r="Y29" s="23"/>
      <c r="Z29" s="23"/>
      <c r="AA29" s="632"/>
      <c r="AB29" s="632"/>
      <c r="AC29" s="25"/>
      <c r="AD29" s="25"/>
      <c r="AE29" s="19">
        <f t="shared" si="8"/>
        <v>-107.48466257668679</v>
      </c>
      <c r="AF29" s="385">
        <f t="shared" si="9"/>
        <v>0.95521472392638052</v>
      </c>
      <c r="AG29" s="637"/>
    </row>
    <row r="30" spans="1:33" ht="15.75" customHeight="1">
      <c r="A30" s="654" t="s">
        <v>62</v>
      </c>
      <c r="B30" s="42" t="s">
        <v>116</v>
      </c>
      <c r="C30" s="653" t="s">
        <v>124</v>
      </c>
      <c r="D30" s="653"/>
      <c r="E30" s="42">
        <v>24.43</v>
      </c>
      <c r="F30" s="388">
        <v>3800</v>
      </c>
      <c r="G30" s="383">
        <f t="shared" si="23"/>
        <v>92834</v>
      </c>
      <c r="H30" s="37">
        <v>2</v>
      </c>
      <c r="I30" s="384">
        <v>14</v>
      </c>
      <c r="J30" s="39">
        <v>2400</v>
      </c>
      <c r="K30" s="17">
        <f t="shared" si="1"/>
        <v>171.42857142857142</v>
      </c>
      <c r="L30" s="384">
        <v>14</v>
      </c>
      <c r="M30" s="18">
        <f t="shared" si="24"/>
        <v>2303.0303030303039</v>
      </c>
      <c r="N30" s="17">
        <f t="shared" si="3"/>
        <v>164.50216450216456</v>
      </c>
      <c r="O30" s="19">
        <f t="shared" si="4"/>
        <v>0</v>
      </c>
      <c r="P30" s="20">
        <f t="shared" si="5"/>
        <v>-6.9264069264068553</v>
      </c>
      <c r="Q30" s="385">
        <f t="shared" si="6"/>
        <v>0.95959595959596</v>
      </c>
      <c r="R30" s="637"/>
      <c r="S30" s="40">
        <v>0.30763888888888885</v>
      </c>
      <c r="T30" s="40">
        <v>0.37638888888888883</v>
      </c>
      <c r="U30" s="383">
        <f t="shared" si="26"/>
        <v>4.9999999999999822</v>
      </c>
      <c r="V30" s="386">
        <f t="shared" si="25"/>
        <v>98.999999999999972</v>
      </c>
      <c r="W30" s="23"/>
      <c r="X30" s="23"/>
      <c r="Y30" s="23"/>
      <c r="Z30" s="23"/>
      <c r="AA30" s="632"/>
      <c r="AB30" s="632"/>
      <c r="AC30" s="25"/>
      <c r="AD30" s="25"/>
      <c r="AE30" s="19">
        <f t="shared" si="8"/>
        <v>-96.969696969696088</v>
      </c>
      <c r="AF30" s="385">
        <f t="shared" si="9"/>
        <v>0.95959595959596</v>
      </c>
      <c r="AG30" s="637"/>
    </row>
    <row r="31" spans="1:33" ht="15.75" customHeight="1">
      <c r="A31" s="654" t="s">
        <v>62</v>
      </c>
      <c r="B31" s="42" t="s">
        <v>116</v>
      </c>
      <c r="C31" s="653" t="s">
        <v>149</v>
      </c>
      <c r="D31" s="653"/>
      <c r="E31" s="42">
        <v>24.25</v>
      </c>
      <c r="F31" s="388">
        <v>3116</v>
      </c>
      <c r="G31" s="383">
        <f t="shared" si="23"/>
        <v>75563</v>
      </c>
      <c r="H31" s="37" t="s">
        <v>91</v>
      </c>
      <c r="I31" s="384">
        <v>16</v>
      </c>
      <c r="J31" s="39">
        <v>2400</v>
      </c>
      <c r="K31" s="17">
        <f t="shared" si="1"/>
        <v>150</v>
      </c>
      <c r="L31" s="384">
        <v>16</v>
      </c>
      <c r="M31" s="18">
        <f t="shared" si="24"/>
        <v>2279.9999999999991</v>
      </c>
      <c r="N31" s="17">
        <f t="shared" si="3"/>
        <v>142.49999999999994</v>
      </c>
      <c r="O31" s="19">
        <f t="shared" si="4"/>
        <v>0</v>
      </c>
      <c r="P31" s="20">
        <f t="shared" si="5"/>
        <v>-7.5000000000000568</v>
      </c>
      <c r="Q31" s="385">
        <f t="shared" si="6"/>
        <v>0.94999999999999962</v>
      </c>
      <c r="R31" s="637"/>
      <c r="S31" s="40">
        <v>0.37986111111111104</v>
      </c>
      <c r="T31" s="40">
        <v>0.4368055555555555</v>
      </c>
      <c r="U31" s="383">
        <f t="shared" si="26"/>
        <v>4.9999999999999822</v>
      </c>
      <c r="V31" s="386">
        <f t="shared" si="25"/>
        <v>82.000000000000028</v>
      </c>
      <c r="W31" s="23"/>
      <c r="X31" s="23"/>
      <c r="Y31" s="23"/>
      <c r="Z31" s="23"/>
      <c r="AA31" s="632"/>
      <c r="AB31" s="632"/>
      <c r="AC31" s="25"/>
      <c r="AD31" s="25"/>
      <c r="AE31" s="19">
        <f t="shared" si="8"/>
        <v>-120.00000000000091</v>
      </c>
      <c r="AF31" s="385">
        <f t="shared" si="9"/>
        <v>0.94999999999999962</v>
      </c>
      <c r="AG31" s="637"/>
    </row>
    <row r="32" spans="1:33" ht="15.75" customHeight="1">
      <c r="A32" s="654" t="s">
        <v>62</v>
      </c>
      <c r="B32" s="42" t="s">
        <v>116</v>
      </c>
      <c r="C32" s="653" t="s">
        <v>150</v>
      </c>
      <c r="D32" s="653"/>
      <c r="E32" s="42">
        <v>23.89</v>
      </c>
      <c r="F32" s="388">
        <v>2243</v>
      </c>
      <c r="G32" s="383">
        <f t="shared" si="23"/>
        <v>53585.270000000004</v>
      </c>
      <c r="H32" s="37" t="s">
        <v>91</v>
      </c>
      <c r="I32" s="384">
        <v>13</v>
      </c>
      <c r="J32" s="39">
        <v>2400</v>
      </c>
      <c r="K32" s="17">
        <f t="shared" si="1"/>
        <v>184.61538461538461</v>
      </c>
      <c r="L32" s="384">
        <v>13</v>
      </c>
      <c r="M32" s="18">
        <f t="shared" si="24"/>
        <v>2320.3448275862056</v>
      </c>
      <c r="N32" s="17">
        <f t="shared" si="3"/>
        <v>178.48806366047737</v>
      </c>
      <c r="O32" s="19">
        <f t="shared" si="4"/>
        <v>0</v>
      </c>
      <c r="P32" s="20">
        <f t="shared" si="5"/>
        <v>-6.1273209549072476</v>
      </c>
      <c r="Q32" s="385">
        <f t="shared" si="6"/>
        <v>0.96681034482758577</v>
      </c>
      <c r="R32" s="637"/>
      <c r="S32" s="40">
        <v>0.44027777777777771</v>
      </c>
      <c r="T32" s="40">
        <v>0.48055555555555551</v>
      </c>
      <c r="U32" s="383">
        <f t="shared" si="26"/>
        <v>4.9999999999999822</v>
      </c>
      <c r="V32" s="386">
        <f t="shared" si="25"/>
        <v>58.000000000000036</v>
      </c>
      <c r="W32" s="23">
        <f>T32</f>
        <v>0.48055555555555551</v>
      </c>
      <c r="X32" s="23">
        <f>S33</f>
        <v>0.5215277777777777</v>
      </c>
      <c r="Y32" s="23"/>
      <c r="Z32" s="23"/>
      <c r="AA32" s="632"/>
      <c r="AB32" s="632"/>
      <c r="AC32" s="25"/>
      <c r="AD32" s="25"/>
      <c r="AE32" s="19">
        <f t="shared" si="8"/>
        <v>-79.655172413794389</v>
      </c>
      <c r="AF32" s="385">
        <f t="shared" si="9"/>
        <v>0.96681034482758565</v>
      </c>
      <c r="AG32" s="637"/>
    </row>
    <row r="33" spans="1:33" ht="15.75" customHeight="1">
      <c r="A33" s="654" t="s">
        <v>62</v>
      </c>
      <c r="B33" s="42" t="s">
        <v>116</v>
      </c>
      <c r="C33" s="653" t="s">
        <v>117</v>
      </c>
      <c r="D33" s="653"/>
      <c r="E33" s="42">
        <v>31.29</v>
      </c>
      <c r="F33" s="388">
        <v>3666</v>
      </c>
      <c r="G33" s="383">
        <f t="shared" si="23"/>
        <v>114709.14</v>
      </c>
      <c r="H33" s="37" t="s">
        <v>91</v>
      </c>
      <c r="I33" s="384">
        <v>18</v>
      </c>
      <c r="J33" s="39">
        <v>2400</v>
      </c>
      <c r="K33" s="17">
        <f t="shared" si="1"/>
        <v>133.33333333333334</v>
      </c>
      <c r="L33" s="384">
        <v>18</v>
      </c>
      <c r="M33" s="18">
        <f t="shared" si="24"/>
        <v>2291.2500000000009</v>
      </c>
      <c r="N33" s="17">
        <f t="shared" si="3"/>
        <v>127.29166666666671</v>
      </c>
      <c r="O33" s="19">
        <f t="shared" si="4"/>
        <v>0</v>
      </c>
      <c r="P33" s="20">
        <f t="shared" si="5"/>
        <v>-6.0416666666666288</v>
      </c>
      <c r="Q33" s="385">
        <f t="shared" si="6"/>
        <v>0.95468750000000024</v>
      </c>
      <c r="R33" s="637"/>
      <c r="S33" s="40">
        <v>0.5215277777777777</v>
      </c>
      <c r="T33" s="40">
        <v>0.58819444444444435</v>
      </c>
      <c r="U33" s="383">
        <f t="shared" si="26"/>
        <v>58.99999999999995</v>
      </c>
      <c r="V33" s="386">
        <f t="shared" si="25"/>
        <v>95.999999999999972</v>
      </c>
      <c r="W33" s="23"/>
      <c r="X33" s="23"/>
      <c r="Y33" s="23"/>
      <c r="Z33" s="23"/>
      <c r="AA33" s="632"/>
      <c r="AB33" s="632"/>
      <c r="AC33" s="25"/>
      <c r="AD33" s="25"/>
      <c r="AE33" s="19">
        <f t="shared" si="8"/>
        <v>-108.74999999999909</v>
      </c>
      <c r="AF33" s="385">
        <f t="shared" si="9"/>
        <v>0.95468750000000036</v>
      </c>
      <c r="AG33" s="637"/>
    </row>
    <row r="34" spans="1:33" ht="15.75" customHeight="1">
      <c r="A34" s="654" t="s">
        <v>62</v>
      </c>
      <c r="B34" s="42" t="s">
        <v>116</v>
      </c>
      <c r="C34" s="653" t="s">
        <v>124</v>
      </c>
      <c r="D34" s="653"/>
      <c r="E34" s="42">
        <v>24.43</v>
      </c>
      <c r="F34" s="388">
        <v>2997</v>
      </c>
      <c r="G34" s="383">
        <f t="shared" si="23"/>
        <v>73216.710000000006</v>
      </c>
      <c r="H34" s="37" t="s">
        <v>91</v>
      </c>
      <c r="I34" s="384">
        <v>14</v>
      </c>
      <c r="J34" s="39">
        <v>2400</v>
      </c>
      <c r="K34" s="17">
        <f t="shared" si="1"/>
        <v>171.42857142857142</v>
      </c>
      <c r="L34" s="384">
        <v>14</v>
      </c>
      <c r="M34" s="18">
        <f t="shared" si="24"/>
        <v>2305.3846153846143</v>
      </c>
      <c r="N34" s="17">
        <f t="shared" si="3"/>
        <v>164.67032967032961</v>
      </c>
      <c r="O34" s="19">
        <f t="shared" si="4"/>
        <v>0</v>
      </c>
      <c r="P34" s="20">
        <f t="shared" si="5"/>
        <v>-6.7582417582418088</v>
      </c>
      <c r="Q34" s="385">
        <f t="shared" si="6"/>
        <v>0.96057692307692277</v>
      </c>
      <c r="R34" s="637"/>
      <c r="S34" s="40">
        <v>0.59305555555555545</v>
      </c>
      <c r="T34" s="40">
        <v>0.64722222222222214</v>
      </c>
      <c r="U34" s="383">
        <f t="shared" si="26"/>
        <v>6.9999999999999751</v>
      </c>
      <c r="V34" s="386">
        <f t="shared" si="25"/>
        <v>78.000000000000043</v>
      </c>
      <c r="W34" s="23"/>
      <c r="X34" s="23"/>
      <c r="Y34" s="23"/>
      <c r="Z34" s="23"/>
      <c r="AA34" s="632"/>
      <c r="AB34" s="632"/>
      <c r="AC34" s="25"/>
      <c r="AD34" s="25"/>
      <c r="AE34" s="19">
        <f t="shared" si="8"/>
        <v>-94.615384615385665</v>
      </c>
      <c r="AF34" s="385">
        <f t="shared" si="9"/>
        <v>0.96057692307692266</v>
      </c>
      <c r="AG34" s="637"/>
    </row>
    <row r="35" spans="1:33" ht="15.75" customHeight="1">
      <c r="A35" s="654" t="s">
        <v>62</v>
      </c>
      <c r="B35" s="42" t="s">
        <v>49</v>
      </c>
      <c r="C35" s="638"/>
      <c r="D35" s="638"/>
      <c r="E35" s="391"/>
      <c r="F35" s="388"/>
      <c r="G35" s="383"/>
      <c r="H35" s="388"/>
      <c r="I35" s="29">
        <v>15.857142857142858</v>
      </c>
      <c r="J35" s="39">
        <v>2400</v>
      </c>
      <c r="K35" s="17">
        <f t="shared" si="1"/>
        <v>151.35135135135135</v>
      </c>
      <c r="L35" s="29">
        <v>15.857142857142858</v>
      </c>
      <c r="M35" s="18">
        <f>AVERAGE(M28:M34)</f>
        <v>2298.4857262034907</v>
      </c>
      <c r="N35" s="17">
        <f t="shared" si="3"/>
        <v>144.94955030112104</v>
      </c>
      <c r="O35" s="19">
        <f t="shared" si="4"/>
        <v>0</v>
      </c>
      <c r="P35" s="20">
        <f t="shared" si="5"/>
        <v>-6.4018010502303184</v>
      </c>
      <c r="Q35" s="385">
        <f t="shared" si="6"/>
        <v>0.95770238591812107</v>
      </c>
      <c r="R35" s="637"/>
      <c r="S35" s="40"/>
      <c r="T35" s="40"/>
      <c r="U35" s="383"/>
      <c r="V35" s="386"/>
      <c r="W35" s="383"/>
      <c r="X35" s="383"/>
      <c r="Y35" s="30">
        <f>SUM(Y28:Y34)</f>
        <v>0</v>
      </c>
      <c r="Z35" s="30">
        <f>SUM(Z28:Z34)</f>
        <v>0</v>
      </c>
      <c r="AA35" s="631"/>
      <c r="AB35" s="631"/>
      <c r="AC35" s="30">
        <v>7</v>
      </c>
      <c r="AD35" s="30">
        <f>SUM(AD28:AD34)</f>
        <v>0</v>
      </c>
      <c r="AE35" s="19">
        <f t="shared" si="8"/>
        <v>-101.51427379650931</v>
      </c>
      <c r="AF35" s="385">
        <f t="shared" si="9"/>
        <v>0.95770238591812107</v>
      </c>
      <c r="AG35" s="637"/>
    </row>
    <row r="36" spans="1:33" ht="15.75" customHeight="1">
      <c r="A36" s="651" t="s">
        <v>2031</v>
      </c>
      <c r="B36" s="42" t="s">
        <v>116</v>
      </c>
      <c r="C36" s="633" t="s">
        <v>123</v>
      </c>
      <c r="D36" s="633"/>
      <c r="E36" s="42">
        <v>26.18</v>
      </c>
      <c r="F36" s="388">
        <v>5991</v>
      </c>
      <c r="G36" s="383">
        <f t="shared" ref="G36:G42" si="27">E36*F36</f>
        <v>156844.38</v>
      </c>
      <c r="H36" s="37" t="s">
        <v>91</v>
      </c>
      <c r="I36" s="384">
        <v>20</v>
      </c>
      <c r="J36" s="39">
        <v>2400</v>
      </c>
      <c r="K36" s="17">
        <f t="shared" si="1"/>
        <v>120</v>
      </c>
      <c r="L36" s="384">
        <v>20</v>
      </c>
      <c r="M36" s="18">
        <f t="shared" ref="M36:M42" si="28">F36/V36*60</f>
        <v>2289.554140127389</v>
      </c>
      <c r="N36" s="17">
        <f t="shared" si="3"/>
        <v>114.47770700636946</v>
      </c>
      <c r="O36" s="19">
        <f t="shared" si="4"/>
        <v>0</v>
      </c>
      <c r="P36" s="20">
        <f t="shared" si="5"/>
        <v>-5.5222929936305434</v>
      </c>
      <c r="Q36" s="385">
        <f t="shared" si="6"/>
        <v>0.95398089171974543</v>
      </c>
      <c r="R36" s="637">
        <f>Q43</f>
        <v>0.9533110755781995</v>
      </c>
      <c r="S36" s="40">
        <v>8.3333333333333329E-2</v>
      </c>
      <c r="T36" s="40">
        <v>0.19236111111111109</v>
      </c>
      <c r="U36" s="383"/>
      <c r="V36" s="386">
        <f t="shared" ref="V36:V42" si="29">(T36-S36)*24*60</f>
        <v>156.99999999999997</v>
      </c>
      <c r="W36" s="28">
        <f>T36</f>
        <v>0.19236111111111109</v>
      </c>
      <c r="X36" s="28">
        <f>S37</f>
        <v>0.20972222222222217</v>
      </c>
      <c r="Y36" s="28"/>
      <c r="Z36" s="28"/>
      <c r="AA36" s="632"/>
      <c r="AB36" s="632"/>
      <c r="AC36" s="25">
        <v>7</v>
      </c>
      <c r="AD36" s="25"/>
      <c r="AE36" s="19">
        <f t="shared" si="8"/>
        <v>-110.44585987261098</v>
      </c>
      <c r="AF36" s="385">
        <f t="shared" si="9"/>
        <v>0.95398089171974543</v>
      </c>
      <c r="AG36" s="637">
        <f>AF43</f>
        <v>0.9533110755781995</v>
      </c>
    </row>
    <row r="37" spans="1:33" ht="15.75" customHeight="1">
      <c r="A37" s="651" t="s">
        <v>2032</v>
      </c>
      <c r="B37" s="42" t="s">
        <v>116</v>
      </c>
      <c r="C37" s="633" t="s">
        <v>147</v>
      </c>
      <c r="D37" s="633"/>
      <c r="E37" s="42">
        <v>25.98</v>
      </c>
      <c r="F37" s="388">
        <v>2436</v>
      </c>
      <c r="G37" s="383">
        <f t="shared" si="27"/>
        <v>63287.28</v>
      </c>
      <c r="H37" s="37" t="s">
        <v>91</v>
      </c>
      <c r="I37" s="384">
        <v>17</v>
      </c>
      <c r="J37" s="39">
        <v>2400</v>
      </c>
      <c r="K37" s="17">
        <f t="shared" si="1"/>
        <v>141.1764705882353</v>
      </c>
      <c r="L37" s="384">
        <v>17</v>
      </c>
      <c r="M37" s="18">
        <f t="shared" si="28"/>
        <v>2283.7500000000009</v>
      </c>
      <c r="N37" s="17">
        <f t="shared" si="3"/>
        <v>134.33823529411771</v>
      </c>
      <c r="O37" s="19">
        <f t="shared" si="4"/>
        <v>0</v>
      </c>
      <c r="P37" s="20">
        <f t="shared" si="5"/>
        <v>-6.8382352941175952</v>
      </c>
      <c r="Q37" s="385">
        <f t="shared" si="6"/>
        <v>0.95156250000000042</v>
      </c>
      <c r="R37" s="637"/>
      <c r="S37" s="40">
        <v>0.20972222222222217</v>
      </c>
      <c r="T37" s="40">
        <v>0.2541666666666666</v>
      </c>
      <c r="U37" s="383">
        <f t="shared" ref="U37:U42" si="30">(S37-T36)*24*60</f>
        <v>24.99999999999995</v>
      </c>
      <c r="V37" s="386">
        <f t="shared" si="29"/>
        <v>63.999999999999972</v>
      </c>
      <c r="W37" s="383"/>
      <c r="X37" s="383"/>
      <c r="Y37" s="383"/>
      <c r="Z37" s="383"/>
      <c r="AA37" s="632"/>
      <c r="AB37" s="632"/>
      <c r="AC37" s="25"/>
      <c r="AD37" s="25"/>
      <c r="AE37" s="19">
        <f t="shared" si="8"/>
        <v>-116.24999999999909</v>
      </c>
      <c r="AF37" s="385">
        <f t="shared" si="9"/>
        <v>0.95156250000000042</v>
      </c>
      <c r="AG37" s="637"/>
    </row>
    <row r="38" spans="1:33">
      <c r="A38" s="652" t="s">
        <v>2031</v>
      </c>
      <c r="B38" s="42" t="s">
        <v>116</v>
      </c>
      <c r="C38" s="633" t="s">
        <v>119</v>
      </c>
      <c r="D38" s="633"/>
      <c r="E38" s="42">
        <v>26.18</v>
      </c>
      <c r="F38" s="388">
        <v>4600</v>
      </c>
      <c r="G38" s="383">
        <f t="shared" si="27"/>
        <v>120428</v>
      </c>
      <c r="H38" s="37">
        <v>2</v>
      </c>
      <c r="I38" s="384">
        <v>18</v>
      </c>
      <c r="J38" s="39">
        <v>2400</v>
      </c>
      <c r="K38" s="17">
        <f t="shared" si="1"/>
        <v>133.33333333333334</v>
      </c>
      <c r="L38" s="384">
        <v>18</v>
      </c>
      <c r="M38" s="18">
        <f t="shared" si="28"/>
        <v>2280.9917355371908</v>
      </c>
      <c r="N38" s="17">
        <f t="shared" si="3"/>
        <v>126.72176308539949</v>
      </c>
      <c r="O38" s="19">
        <f t="shared" si="4"/>
        <v>0</v>
      </c>
      <c r="P38" s="20">
        <f t="shared" si="5"/>
        <v>-6.6115702479338552</v>
      </c>
      <c r="Q38" s="385">
        <f t="shared" si="6"/>
        <v>0.95041322314049614</v>
      </c>
      <c r="R38" s="637"/>
      <c r="S38" s="40">
        <v>0.25763888888888881</v>
      </c>
      <c r="T38" s="40">
        <v>0.34166666666666656</v>
      </c>
      <c r="U38" s="383">
        <f t="shared" si="30"/>
        <v>4.9999999999999822</v>
      </c>
      <c r="V38" s="386">
        <f t="shared" si="29"/>
        <v>120.99999999999997</v>
      </c>
      <c r="W38" s="383"/>
      <c r="X38" s="383"/>
      <c r="Y38" s="383"/>
      <c r="Z38" s="383"/>
      <c r="AA38" s="632"/>
      <c r="AB38" s="632"/>
      <c r="AC38" s="25"/>
      <c r="AD38" s="25"/>
      <c r="AE38" s="19">
        <f t="shared" si="8"/>
        <v>-119.00826446280917</v>
      </c>
      <c r="AF38" s="385">
        <f t="shared" si="9"/>
        <v>0.95041322314049614</v>
      </c>
      <c r="AG38" s="637"/>
    </row>
    <row r="39" spans="1:33">
      <c r="A39" s="652" t="s">
        <v>2032</v>
      </c>
      <c r="B39" s="42" t="s">
        <v>116</v>
      </c>
      <c r="C39" s="633" t="s">
        <v>121</v>
      </c>
      <c r="D39" s="633"/>
      <c r="E39" s="42">
        <v>25.99</v>
      </c>
      <c r="F39" s="388">
        <v>3736</v>
      </c>
      <c r="G39" s="383">
        <f t="shared" si="27"/>
        <v>97098.64</v>
      </c>
      <c r="H39" s="37" t="s">
        <v>91</v>
      </c>
      <c r="I39" s="384">
        <v>14</v>
      </c>
      <c r="J39" s="39">
        <v>2400</v>
      </c>
      <c r="K39" s="17">
        <f t="shared" si="1"/>
        <v>171.42857142857142</v>
      </c>
      <c r="L39" s="384">
        <v>14</v>
      </c>
      <c r="M39" s="18">
        <f t="shared" si="28"/>
        <v>2287.3469387755108</v>
      </c>
      <c r="N39" s="17">
        <f t="shared" si="3"/>
        <v>163.38192419825077</v>
      </c>
      <c r="O39" s="19">
        <f t="shared" si="4"/>
        <v>0</v>
      </c>
      <c r="P39" s="20">
        <f t="shared" si="5"/>
        <v>-8.0466472303206444</v>
      </c>
      <c r="Q39" s="385">
        <f t="shared" si="6"/>
        <v>0.95306122448979624</v>
      </c>
      <c r="R39" s="637"/>
      <c r="S39" s="40">
        <v>0.34513888888888877</v>
      </c>
      <c r="T39" s="40">
        <v>0.41319444444444431</v>
      </c>
      <c r="U39" s="383">
        <f t="shared" si="30"/>
        <v>4.9999999999999822</v>
      </c>
      <c r="V39" s="386">
        <f t="shared" si="29"/>
        <v>97.999999999999972</v>
      </c>
      <c r="W39" s="23"/>
      <c r="X39" s="23"/>
      <c r="Y39" s="23"/>
      <c r="Z39" s="23"/>
      <c r="AA39" s="632"/>
      <c r="AB39" s="632"/>
      <c r="AC39" s="25"/>
      <c r="AD39" s="25"/>
      <c r="AE39" s="19">
        <f t="shared" si="8"/>
        <v>-112.65306122448919</v>
      </c>
      <c r="AF39" s="385">
        <f t="shared" si="9"/>
        <v>0.95306122448979613</v>
      </c>
      <c r="AG39" s="637"/>
    </row>
    <row r="40" spans="1:33">
      <c r="A40" s="652" t="s">
        <v>2031</v>
      </c>
      <c r="B40" s="42" t="s">
        <v>116</v>
      </c>
      <c r="C40" s="633" t="s">
        <v>126</v>
      </c>
      <c r="D40" s="633"/>
      <c r="E40" s="42">
        <v>34.1</v>
      </c>
      <c r="F40" s="388">
        <v>3400</v>
      </c>
      <c r="G40" s="383">
        <f t="shared" si="27"/>
        <v>115940</v>
      </c>
      <c r="H40" s="37">
        <v>2</v>
      </c>
      <c r="I40" s="384">
        <v>17</v>
      </c>
      <c r="J40" s="39">
        <v>1600</v>
      </c>
      <c r="K40" s="17">
        <f t="shared" si="1"/>
        <v>94.117647058823536</v>
      </c>
      <c r="L40" s="384">
        <v>17</v>
      </c>
      <c r="M40" s="18">
        <f t="shared" si="28"/>
        <v>1522.3880597014925</v>
      </c>
      <c r="N40" s="17">
        <f t="shared" si="3"/>
        <v>89.552238805970148</v>
      </c>
      <c r="O40" s="19">
        <f t="shared" si="4"/>
        <v>0</v>
      </c>
      <c r="P40" s="20">
        <f t="shared" si="5"/>
        <v>-4.5654082528533877</v>
      </c>
      <c r="Q40" s="385">
        <f t="shared" si="6"/>
        <v>0.95149253731343275</v>
      </c>
      <c r="R40" s="637"/>
      <c r="S40" s="40">
        <v>0.41736111111111096</v>
      </c>
      <c r="T40" s="40">
        <v>0.51041666666666652</v>
      </c>
      <c r="U40" s="383">
        <f t="shared" si="30"/>
        <v>5.9999999999999787</v>
      </c>
      <c r="V40" s="386">
        <f t="shared" si="29"/>
        <v>134</v>
      </c>
      <c r="W40" s="23">
        <f>T40</f>
        <v>0.51041666666666652</v>
      </c>
      <c r="X40" s="23">
        <f>S41</f>
        <v>0.55138888888888871</v>
      </c>
      <c r="Y40" s="23"/>
      <c r="Z40" s="23"/>
      <c r="AA40" s="632"/>
      <c r="AB40" s="632"/>
      <c r="AC40" s="25"/>
      <c r="AD40" s="25"/>
      <c r="AE40" s="19">
        <f t="shared" si="8"/>
        <v>-77.611940298507534</v>
      </c>
      <c r="AF40" s="385">
        <f t="shared" si="9"/>
        <v>0.95149253731343275</v>
      </c>
      <c r="AG40" s="637"/>
    </row>
    <row r="41" spans="1:33">
      <c r="A41" s="652" t="s">
        <v>2032</v>
      </c>
      <c r="B41" s="42" t="s">
        <v>116</v>
      </c>
      <c r="C41" s="633" t="s">
        <v>119</v>
      </c>
      <c r="D41" s="633"/>
      <c r="E41" s="42">
        <v>26.18</v>
      </c>
      <c r="F41" s="388">
        <v>3605</v>
      </c>
      <c r="G41" s="383">
        <f t="shared" si="27"/>
        <v>94378.9</v>
      </c>
      <c r="H41" s="37" t="s">
        <v>91</v>
      </c>
      <c r="I41" s="384">
        <v>18</v>
      </c>
      <c r="J41" s="39">
        <v>2400</v>
      </c>
      <c r="K41" s="17">
        <f t="shared" si="1"/>
        <v>133.33333333333334</v>
      </c>
      <c r="L41" s="384">
        <v>18</v>
      </c>
      <c r="M41" s="18">
        <f t="shared" si="28"/>
        <v>2301.0638297872347</v>
      </c>
      <c r="N41" s="17">
        <f t="shared" si="3"/>
        <v>127.83687943262414</v>
      </c>
      <c r="O41" s="19">
        <f t="shared" si="4"/>
        <v>0</v>
      </c>
      <c r="P41" s="20">
        <f t="shared" si="5"/>
        <v>-5.4964539007091986</v>
      </c>
      <c r="Q41" s="385">
        <f t="shared" si="6"/>
        <v>0.95877659574468099</v>
      </c>
      <c r="R41" s="637"/>
      <c r="S41" s="40">
        <v>0.55138888888888871</v>
      </c>
      <c r="T41" s="40">
        <v>0.61666666666666647</v>
      </c>
      <c r="U41" s="383">
        <f t="shared" si="30"/>
        <v>58.99999999999995</v>
      </c>
      <c r="V41" s="386">
        <f t="shared" si="29"/>
        <v>93.999999999999986</v>
      </c>
      <c r="W41" s="23"/>
      <c r="X41" s="23"/>
      <c r="Y41" s="23"/>
      <c r="Z41" s="23"/>
      <c r="AA41" s="632"/>
      <c r="AB41" s="632"/>
      <c r="AC41" s="25"/>
      <c r="AD41" s="25"/>
      <c r="AE41" s="19">
        <f t="shared" si="8"/>
        <v>-98.936170212765319</v>
      </c>
      <c r="AF41" s="385">
        <f t="shared" si="9"/>
        <v>0.9587765957446811</v>
      </c>
      <c r="AG41" s="637"/>
    </row>
    <row r="42" spans="1:33">
      <c r="A42" s="652" t="s">
        <v>2032</v>
      </c>
      <c r="B42" s="42" t="s">
        <v>116</v>
      </c>
      <c r="C42" s="633" t="s">
        <v>126</v>
      </c>
      <c r="D42" s="633"/>
      <c r="E42" s="42">
        <v>34.1</v>
      </c>
      <c r="F42" s="388">
        <v>2720</v>
      </c>
      <c r="G42" s="383">
        <f t="shared" si="27"/>
        <v>92752</v>
      </c>
      <c r="H42" s="37" t="s">
        <v>91</v>
      </c>
      <c r="I42" s="384">
        <v>17</v>
      </c>
      <c r="J42" s="39">
        <v>1600</v>
      </c>
      <c r="K42" s="17">
        <f t="shared" si="1"/>
        <v>94.117647058823536</v>
      </c>
      <c r="L42" s="384">
        <v>17</v>
      </c>
      <c r="M42" s="18">
        <f t="shared" si="28"/>
        <v>1525.2336448598139</v>
      </c>
      <c r="N42" s="17">
        <f t="shared" si="3"/>
        <v>89.719626168224352</v>
      </c>
      <c r="O42" s="19">
        <f t="shared" si="4"/>
        <v>0</v>
      </c>
      <c r="P42" s="20">
        <f t="shared" si="5"/>
        <v>-4.3980208905991844</v>
      </c>
      <c r="Q42" s="385">
        <f t="shared" si="6"/>
        <v>0.95327102803738362</v>
      </c>
      <c r="R42" s="637"/>
      <c r="S42" s="40">
        <v>0.62152777777777757</v>
      </c>
      <c r="T42" s="40">
        <v>0.69583333333333308</v>
      </c>
      <c r="U42" s="383">
        <f t="shared" si="30"/>
        <v>6.9999999999999751</v>
      </c>
      <c r="V42" s="386">
        <f t="shared" si="29"/>
        <v>106.99999999999994</v>
      </c>
      <c r="W42" s="23"/>
      <c r="X42" s="23"/>
      <c r="Y42" s="26"/>
      <c r="Z42" s="26"/>
      <c r="AA42" s="627"/>
      <c r="AB42" s="628"/>
      <c r="AC42" s="25"/>
      <c r="AD42" s="25"/>
      <c r="AE42" s="19">
        <f t="shared" si="8"/>
        <v>-74.766355140186079</v>
      </c>
      <c r="AF42" s="385">
        <f t="shared" si="9"/>
        <v>0.95327102803738373</v>
      </c>
      <c r="AG42" s="637"/>
    </row>
    <row r="43" spans="1:33">
      <c r="A43" s="652" t="s">
        <v>67</v>
      </c>
      <c r="B43" s="44" t="s">
        <v>2033</v>
      </c>
      <c r="C43" s="638"/>
      <c r="D43" s="638"/>
      <c r="E43" s="391"/>
      <c r="F43" s="44"/>
      <c r="G43" s="17"/>
      <c r="H43" s="388"/>
      <c r="I43" s="29">
        <v>17.285714285714285</v>
      </c>
      <c r="J43" s="39">
        <v>2171.4285714285716</v>
      </c>
      <c r="K43" s="17">
        <f t="shared" si="1"/>
        <v>125.61983471074382</v>
      </c>
      <c r="L43" s="29">
        <v>17.285714285714285</v>
      </c>
      <c r="M43" s="18">
        <f>AVERAGE(M36:M42)</f>
        <v>2070.0469069698047</v>
      </c>
      <c r="N43" s="17">
        <f t="shared" si="3"/>
        <v>119.75477974205482</v>
      </c>
      <c r="O43" s="19">
        <f t="shared" si="4"/>
        <v>0</v>
      </c>
      <c r="P43" s="20">
        <f t="shared" si="5"/>
        <v>-5.8650549686889946</v>
      </c>
      <c r="Q43" s="385">
        <f t="shared" si="6"/>
        <v>0.9533110755781995</v>
      </c>
      <c r="R43" s="637"/>
      <c r="S43" s="40"/>
      <c r="T43" s="40"/>
      <c r="U43" s="17"/>
      <c r="V43" s="386"/>
      <c r="W43" s="17"/>
      <c r="X43" s="17"/>
      <c r="Y43" s="30">
        <f>SUM(Y36:Y42)</f>
        <v>0</v>
      </c>
      <c r="Z43" s="30">
        <f>SUM(Z36:Z42)</f>
        <v>0</v>
      </c>
      <c r="AA43" s="631"/>
      <c r="AB43" s="631"/>
      <c r="AC43" s="30">
        <v>7</v>
      </c>
      <c r="AD43" s="30">
        <f>SUM(AD36:AD42)</f>
        <v>0</v>
      </c>
      <c r="AE43" s="19">
        <f t="shared" si="8"/>
        <v>-101.38166445876686</v>
      </c>
      <c r="AF43" s="385">
        <f t="shared" si="9"/>
        <v>0.9533110755781995</v>
      </c>
      <c r="AG43" s="637"/>
    </row>
    <row r="44" spans="1:33" ht="15.75" customHeight="1">
      <c r="A44" s="648" t="s">
        <v>70</v>
      </c>
      <c r="B44" s="42" t="s">
        <v>127</v>
      </c>
      <c r="C44" s="625" t="s">
        <v>128</v>
      </c>
      <c r="D44" s="626"/>
      <c r="E44" s="42">
        <v>21.13</v>
      </c>
      <c r="F44" s="388">
        <v>5115</v>
      </c>
      <c r="G44" s="383">
        <f t="shared" ref="G44:G46" si="31">E44*F44</f>
        <v>108079.95</v>
      </c>
      <c r="H44" s="37" t="s">
        <v>91</v>
      </c>
      <c r="I44" s="384">
        <v>10</v>
      </c>
      <c r="J44" s="39">
        <v>3000</v>
      </c>
      <c r="K44" s="17">
        <f t="shared" si="1"/>
        <v>300</v>
      </c>
      <c r="L44" s="384">
        <v>10</v>
      </c>
      <c r="M44" s="18">
        <f t="shared" ref="M44:M46" si="32">F44/V44*60</f>
        <v>2868.2242990654208</v>
      </c>
      <c r="N44" s="18">
        <f t="shared" si="3"/>
        <v>286.82242990654208</v>
      </c>
      <c r="O44" s="19">
        <f t="shared" si="4"/>
        <v>0</v>
      </c>
      <c r="P44" s="20">
        <f t="shared" si="5"/>
        <v>-13.177570093457916</v>
      </c>
      <c r="Q44" s="385">
        <f t="shared" si="6"/>
        <v>0.95607476635514033</v>
      </c>
      <c r="R44" s="643">
        <f>Q47</f>
        <v>0.9586043125592284</v>
      </c>
      <c r="S44" s="40">
        <v>0.20833333333333334</v>
      </c>
      <c r="T44" s="40">
        <v>0.28263888888888888</v>
      </c>
      <c r="U44" s="28"/>
      <c r="V44" s="386">
        <f t="shared" ref="V44:V46" si="33">(T44-S44)*24*60</f>
        <v>106.99999999999999</v>
      </c>
      <c r="W44" s="23"/>
      <c r="X44" s="23"/>
      <c r="Y44" s="26"/>
      <c r="Z44" s="26"/>
      <c r="AA44" s="627"/>
      <c r="AB44" s="628"/>
      <c r="AC44" s="25">
        <v>3</v>
      </c>
      <c r="AD44" s="25"/>
      <c r="AE44" s="19">
        <f t="shared" si="8"/>
        <v>-131.77570093457916</v>
      </c>
      <c r="AF44" s="385">
        <f t="shared" si="9"/>
        <v>0.95607476635514033</v>
      </c>
      <c r="AG44" s="643">
        <f>AF47</f>
        <v>0.95860431255922818</v>
      </c>
    </row>
    <row r="45" spans="1:33" ht="15.75" customHeight="1">
      <c r="A45" s="649" t="s">
        <v>70</v>
      </c>
      <c r="B45" s="42" t="s">
        <v>127</v>
      </c>
      <c r="C45" s="625" t="s">
        <v>129</v>
      </c>
      <c r="D45" s="626"/>
      <c r="E45" s="42">
        <v>27.17</v>
      </c>
      <c r="F45" s="388">
        <v>4279</v>
      </c>
      <c r="G45" s="383">
        <f t="shared" si="31"/>
        <v>116260.43000000001</v>
      </c>
      <c r="H45" s="37" t="s">
        <v>91</v>
      </c>
      <c r="I45" s="384">
        <v>10</v>
      </c>
      <c r="J45" s="39">
        <v>3000</v>
      </c>
      <c r="K45" s="17">
        <f t="shared" si="1"/>
        <v>300</v>
      </c>
      <c r="L45" s="384">
        <v>10</v>
      </c>
      <c r="M45" s="18">
        <f t="shared" si="32"/>
        <v>2884.7191011235955</v>
      </c>
      <c r="N45" s="18">
        <f t="shared" si="3"/>
        <v>288.47191011235952</v>
      </c>
      <c r="O45" s="19">
        <f t="shared" si="4"/>
        <v>0</v>
      </c>
      <c r="P45" s="20">
        <f t="shared" si="5"/>
        <v>-11.528089887640476</v>
      </c>
      <c r="Q45" s="385">
        <f t="shared" si="6"/>
        <v>0.96157303370786507</v>
      </c>
      <c r="R45" s="644"/>
      <c r="S45" s="40">
        <v>0.28749999999999998</v>
      </c>
      <c r="T45" s="40">
        <v>0.34930555555555554</v>
      </c>
      <c r="U45" s="383">
        <f t="shared" ref="U45:U46" si="34">(S45-T44)*24*60</f>
        <v>6.9999999999999751</v>
      </c>
      <c r="V45" s="386">
        <f t="shared" si="33"/>
        <v>89</v>
      </c>
      <c r="W45" s="23"/>
      <c r="X45" s="23"/>
      <c r="Y45" s="26"/>
      <c r="Z45" s="26"/>
      <c r="AA45" s="627"/>
      <c r="AB45" s="628"/>
      <c r="AC45" s="25"/>
      <c r="AD45" s="25"/>
      <c r="AE45" s="19">
        <f t="shared" si="8"/>
        <v>-115.28089887640454</v>
      </c>
      <c r="AF45" s="385">
        <f t="shared" si="9"/>
        <v>0.96157303370786518</v>
      </c>
      <c r="AG45" s="644"/>
    </row>
    <row r="46" spans="1:33" ht="15.75" customHeight="1">
      <c r="A46" s="649" t="s">
        <v>70</v>
      </c>
      <c r="B46" s="42" t="s">
        <v>127</v>
      </c>
      <c r="C46" s="625" t="s">
        <v>1857</v>
      </c>
      <c r="D46" s="626"/>
      <c r="E46" s="42">
        <v>33.770000000000003</v>
      </c>
      <c r="F46" s="388">
        <v>5222</v>
      </c>
      <c r="G46" s="383">
        <f t="shared" si="31"/>
        <v>176346.94</v>
      </c>
      <c r="H46" s="37" t="s">
        <v>91</v>
      </c>
      <c r="I46" s="384">
        <v>12</v>
      </c>
      <c r="J46" s="39">
        <v>3000</v>
      </c>
      <c r="K46" s="17">
        <f t="shared" si="1"/>
        <v>250</v>
      </c>
      <c r="L46" s="384">
        <v>12</v>
      </c>
      <c r="M46" s="18">
        <f t="shared" si="32"/>
        <v>2874.4954128440363</v>
      </c>
      <c r="N46" s="18">
        <f t="shared" si="3"/>
        <v>239.54128440366969</v>
      </c>
      <c r="O46" s="19">
        <f t="shared" si="4"/>
        <v>0</v>
      </c>
      <c r="P46" s="20">
        <f t="shared" si="5"/>
        <v>-10.458715596330308</v>
      </c>
      <c r="Q46" s="385">
        <f t="shared" si="6"/>
        <v>0.95816513761467881</v>
      </c>
      <c r="R46" s="644"/>
      <c r="S46" s="40">
        <v>0.35416666666666663</v>
      </c>
      <c r="T46" s="40">
        <v>0.42986111111111108</v>
      </c>
      <c r="U46" s="383">
        <f t="shared" si="34"/>
        <v>6.9999999999999751</v>
      </c>
      <c r="V46" s="386">
        <f t="shared" si="33"/>
        <v>109.00000000000001</v>
      </c>
      <c r="W46" s="23"/>
      <c r="X46" s="23"/>
      <c r="Y46" s="26"/>
      <c r="Z46" s="26"/>
      <c r="AA46" s="627"/>
      <c r="AB46" s="628"/>
      <c r="AC46" s="25"/>
      <c r="AD46" s="25"/>
      <c r="AE46" s="19">
        <f t="shared" si="8"/>
        <v>-125.50458715596369</v>
      </c>
      <c r="AF46" s="385">
        <f t="shared" si="9"/>
        <v>0.95816513761467881</v>
      </c>
      <c r="AG46" s="644"/>
    </row>
    <row r="47" spans="1:33" ht="15.75" customHeight="1">
      <c r="A47" s="650" t="s">
        <v>70</v>
      </c>
      <c r="B47" s="42" t="s">
        <v>49</v>
      </c>
      <c r="C47" s="629"/>
      <c r="D47" s="630"/>
      <c r="E47" s="396"/>
      <c r="F47" s="388"/>
      <c r="G47" s="383"/>
      <c r="H47" s="388"/>
      <c r="I47" s="29">
        <v>10.666666666666666</v>
      </c>
      <c r="J47" s="39">
        <v>3000</v>
      </c>
      <c r="K47" s="17">
        <f t="shared" si="1"/>
        <v>281.25</v>
      </c>
      <c r="L47" s="29">
        <v>10.666666666666666</v>
      </c>
      <c r="M47" s="18">
        <f>AVERAGE(M44:M46)</f>
        <v>2875.8129376776847</v>
      </c>
      <c r="N47" s="17">
        <f t="shared" si="3"/>
        <v>269.60746290728298</v>
      </c>
      <c r="O47" s="19">
        <f t="shared" si="4"/>
        <v>0</v>
      </c>
      <c r="P47" s="20">
        <f t="shared" si="5"/>
        <v>-11.642537092717021</v>
      </c>
      <c r="Q47" s="385">
        <f t="shared" si="6"/>
        <v>0.9586043125592284</v>
      </c>
      <c r="R47" s="645"/>
      <c r="S47" s="40"/>
      <c r="T47" s="40"/>
      <c r="U47" s="383"/>
      <c r="V47" s="386"/>
      <c r="W47" s="23"/>
      <c r="X47" s="23"/>
      <c r="Y47" s="30">
        <f>SUM(Y44:Y46)</f>
        <v>0</v>
      </c>
      <c r="Z47" s="30">
        <f>SUM(Z44:Z46)</f>
        <v>0</v>
      </c>
      <c r="AA47" s="646"/>
      <c r="AB47" s="647"/>
      <c r="AC47" s="30">
        <v>3</v>
      </c>
      <c r="AD47" s="30">
        <f>SUM(AD44:AD46)</f>
        <v>0</v>
      </c>
      <c r="AE47" s="19">
        <f t="shared" si="8"/>
        <v>-124.18706232231534</v>
      </c>
      <c r="AF47" s="385">
        <f t="shared" si="9"/>
        <v>0.95860431255922818</v>
      </c>
      <c r="AG47" s="645"/>
    </row>
    <row r="48" spans="1:33" ht="15.75" customHeight="1">
      <c r="A48" s="641" t="s">
        <v>76</v>
      </c>
      <c r="B48" s="42" t="s">
        <v>92</v>
      </c>
      <c r="C48" s="633" t="s">
        <v>133</v>
      </c>
      <c r="D48" s="633"/>
      <c r="E48" s="42">
        <v>59.04</v>
      </c>
      <c r="F48" s="48">
        <v>1435</v>
      </c>
      <c r="G48" s="383">
        <f t="shared" ref="G48:G54" si="35">E48*F48</f>
        <v>84722.4</v>
      </c>
      <c r="H48" s="37" t="s">
        <v>91</v>
      </c>
      <c r="I48" s="384">
        <v>19</v>
      </c>
      <c r="J48" s="39">
        <v>2000</v>
      </c>
      <c r="K48" s="17">
        <f t="shared" si="1"/>
        <v>105.26315789473684</v>
      </c>
      <c r="L48" s="384">
        <v>19</v>
      </c>
      <c r="M48" s="18">
        <f t="shared" ref="M48" si="36">F48/V48*60</f>
        <v>1913.3333333333333</v>
      </c>
      <c r="N48" s="18">
        <f t="shared" si="3"/>
        <v>100.7017543859649</v>
      </c>
      <c r="O48" s="19">
        <f t="shared" si="4"/>
        <v>0</v>
      </c>
      <c r="P48" s="20">
        <f t="shared" si="5"/>
        <v>-4.5614035087719316</v>
      </c>
      <c r="Q48" s="385">
        <f t="shared" si="6"/>
        <v>0.95666666666666667</v>
      </c>
      <c r="R48" s="637">
        <f>Q55</f>
        <v>0.96037731172660923</v>
      </c>
      <c r="S48" s="40">
        <v>0.20833333333333334</v>
      </c>
      <c r="T48" s="40">
        <v>0.23958333333333334</v>
      </c>
      <c r="U48" s="28"/>
      <c r="V48" s="386">
        <f t="shared" ref="V48:V54" si="37">(T48-S48)*24*60</f>
        <v>45</v>
      </c>
      <c r="W48" s="23"/>
      <c r="X48" s="23"/>
      <c r="Y48" s="28"/>
      <c r="Z48" s="28"/>
      <c r="AA48" s="632"/>
      <c r="AB48" s="632"/>
      <c r="AC48" s="25">
        <v>7</v>
      </c>
      <c r="AD48" s="25"/>
      <c r="AE48" s="19">
        <f t="shared" si="8"/>
        <v>-86.666666666666742</v>
      </c>
      <c r="AF48" s="385">
        <f t="shared" si="9"/>
        <v>0.95666666666666667</v>
      </c>
      <c r="AG48" s="637">
        <f>AF55</f>
        <v>0.96037731172660923</v>
      </c>
    </row>
    <row r="49" spans="1:33" ht="15.75" customHeight="1">
      <c r="A49" s="641" t="s">
        <v>76</v>
      </c>
      <c r="B49" s="42" t="s">
        <v>103</v>
      </c>
      <c r="C49" s="633" t="s">
        <v>132</v>
      </c>
      <c r="D49" s="633"/>
      <c r="E49" s="42">
        <v>51.44</v>
      </c>
      <c r="F49" s="48">
        <v>3210</v>
      </c>
      <c r="G49" s="383">
        <f t="shared" si="35"/>
        <v>165122.4</v>
      </c>
      <c r="H49" s="37" t="s">
        <v>91</v>
      </c>
      <c r="I49" s="384">
        <v>18</v>
      </c>
      <c r="J49" s="39">
        <v>2000</v>
      </c>
      <c r="K49" s="17">
        <f t="shared" si="1"/>
        <v>111.11111111111111</v>
      </c>
      <c r="L49" s="384">
        <v>18</v>
      </c>
      <c r="M49" s="18">
        <f>F49/V49*60</f>
        <v>1906.9306930693076</v>
      </c>
      <c r="N49" s="18">
        <f t="shared" si="3"/>
        <v>105.94059405940598</v>
      </c>
      <c r="O49" s="19">
        <f t="shared" si="4"/>
        <v>0</v>
      </c>
      <c r="P49" s="20">
        <f t="shared" si="5"/>
        <v>-5.1705170517051329</v>
      </c>
      <c r="Q49" s="385">
        <f t="shared" si="6"/>
        <v>0.95346534653465376</v>
      </c>
      <c r="R49" s="637"/>
      <c r="S49" s="40">
        <v>0.24444444444444446</v>
      </c>
      <c r="T49" s="40">
        <v>0.31458333333333333</v>
      </c>
      <c r="U49" s="383">
        <f t="shared" ref="U49:U54" si="38">IF(S49=TIME(17,0,0),"",(S49-T48)*24*60)</f>
        <v>7.0000000000000151</v>
      </c>
      <c r="V49" s="386">
        <f t="shared" si="37"/>
        <v>100.99999999999996</v>
      </c>
      <c r="W49" s="23"/>
      <c r="X49" s="23"/>
      <c r="Y49" s="23"/>
      <c r="Z49" s="23"/>
      <c r="AA49" s="632"/>
      <c r="AB49" s="632"/>
      <c r="AC49" s="25"/>
      <c r="AD49" s="25"/>
      <c r="AE49" s="19">
        <f t="shared" si="8"/>
        <v>-93.069306930692392</v>
      </c>
      <c r="AF49" s="385">
        <f t="shared" si="9"/>
        <v>0.95346534653465376</v>
      </c>
      <c r="AG49" s="637"/>
    </row>
    <row r="50" spans="1:33" ht="15.75" customHeight="1">
      <c r="A50" s="641" t="s">
        <v>76</v>
      </c>
      <c r="B50" s="42" t="s">
        <v>92</v>
      </c>
      <c r="C50" s="625" t="s">
        <v>135</v>
      </c>
      <c r="D50" s="626"/>
      <c r="E50" s="42">
        <v>51.44</v>
      </c>
      <c r="F50" s="48">
        <v>1491</v>
      </c>
      <c r="G50" s="383">
        <f t="shared" si="35"/>
        <v>76697.039999999994</v>
      </c>
      <c r="H50" s="37" t="s">
        <v>91</v>
      </c>
      <c r="I50" s="384">
        <v>25</v>
      </c>
      <c r="J50" s="39">
        <v>2000</v>
      </c>
      <c r="K50" s="17">
        <f t="shared" si="1"/>
        <v>80</v>
      </c>
      <c r="L50" s="384">
        <v>25</v>
      </c>
      <c r="M50" s="18">
        <f t="shared" ref="M50:M54" si="39">F50/V50*60</f>
        <v>1944.782608695652</v>
      </c>
      <c r="N50" s="18">
        <f t="shared" si="3"/>
        <v>77.791304347826085</v>
      </c>
      <c r="O50" s="19">
        <f t="shared" si="4"/>
        <v>0</v>
      </c>
      <c r="P50" s="20">
        <f t="shared" si="5"/>
        <v>-2.2086956521739154</v>
      </c>
      <c r="Q50" s="385">
        <f t="shared" si="6"/>
        <v>0.97239130434782606</v>
      </c>
      <c r="R50" s="637"/>
      <c r="S50" s="40">
        <v>0.31874999999999998</v>
      </c>
      <c r="T50" s="40">
        <v>0.35069444444444442</v>
      </c>
      <c r="U50" s="383">
        <f t="shared" si="38"/>
        <v>5.9999999999999787</v>
      </c>
      <c r="V50" s="386">
        <f t="shared" si="37"/>
        <v>46</v>
      </c>
      <c r="W50" s="23"/>
      <c r="X50" s="23"/>
      <c r="Y50" s="26"/>
      <c r="Z50" s="26"/>
      <c r="AA50" s="632"/>
      <c r="AB50" s="632"/>
      <c r="AC50" s="25"/>
      <c r="AD50" s="25"/>
      <c r="AE50" s="19">
        <f t="shared" si="8"/>
        <v>-55.217391304347984</v>
      </c>
      <c r="AF50" s="385">
        <f t="shared" si="9"/>
        <v>0.97239130434782606</v>
      </c>
      <c r="AG50" s="637"/>
    </row>
    <row r="51" spans="1:33" ht="15.75" customHeight="1">
      <c r="A51" s="641" t="s">
        <v>76</v>
      </c>
      <c r="B51" s="42" t="s">
        <v>96</v>
      </c>
      <c r="C51" s="394" t="s">
        <v>136</v>
      </c>
      <c r="D51" s="395"/>
      <c r="E51" s="42">
        <v>46</v>
      </c>
      <c r="F51" s="48">
        <v>1278</v>
      </c>
      <c r="G51" s="383">
        <f t="shared" si="35"/>
        <v>58788</v>
      </c>
      <c r="H51" s="37" t="s">
        <v>91</v>
      </c>
      <c r="I51" s="384">
        <v>16</v>
      </c>
      <c r="J51" s="39">
        <v>2000</v>
      </c>
      <c r="K51" s="17">
        <f t="shared" si="1"/>
        <v>125</v>
      </c>
      <c r="L51" s="384">
        <v>16</v>
      </c>
      <c r="M51" s="18">
        <f t="shared" si="39"/>
        <v>1916.9999999999993</v>
      </c>
      <c r="N51" s="18">
        <f t="shared" si="3"/>
        <v>119.81249999999996</v>
      </c>
      <c r="O51" s="19">
        <f t="shared" si="4"/>
        <v>0</v>
      </c>
      <c r="P51" s="20">
        <f t="shared" si="5"/>
        <v>-5.1875000000000426</v>
      </c>
      <c r="Q51" s="385">
        <f t="shared" si="6"/>
        <v>0.95849999999999969</v>
      </c>
      <c r="R51" s="637"/>
      <c r="S51" s="40">
        <v>0.35624999999999996</v>
      </c>
      <c r="T51" s="40">
        <v>0.38402777777777775</v>
      </c>
      <c r="U51" s="383">
        <f t="shared" si="38"/>
        <v>7.9999999999999716</v>
      </c>
      <c r="V51" s="386">
        <f t="shared" si="37"/>
        <v>40.000000000000014</v>
      </c>
      <c r="W51" s="23"/>
      <c r="X51" s="23"/>
      <c r="Y51" s="26"/>
      <c r="Z51" s="26"/>
      <c r="AA51" s="632"/>
      <c r="AB51" s="632"/>
      <c r="AC51" s="25"/>
      <c r="AD51" s="25"/>
      <c r="AE51" s="19">
        <f t="shared" si="8"/>
        <v>-83.000000000000682</v>
      </c>
      <c r="AF51" s="385">
        <f t="shared" si="9"/>
        <v>0.95849999999999969</v>
      </c>
      <c r="AG51" s="637"/>
    </row>
    <row r="52" spans="1:33" ht="15.75" customHeight="1">
      <c r="A52" s="641" t="s">
        <v>76</v>
      </c>
      <c r="B52" s="42" t="s">
        <v>96</v>
      </c>
      <c r="C52" s="394" t="s">
        <v>137</v>
      </c>
      <c r="D52" s="395"/>
      <c r="E52" s="42">
        <v>46</v>
      </c>
      <c r="F52" s="48">
        <v>1563</v>
      </c>
      <c r="G52" s="383">
        <f t="shared" si="35"/>
        <v>71898</v>
      </c>
      <c r="H52" s="37" t="s">
        <v>91</v>
      </c>
      <c r="I52" s="384">
        <v>17</v>
      </c>
      <c r="J52" s="39">
        <v>2000</v>
      </c>
      <c r="K52" s="17">
        <f t="shared" si="1"/>
        <v>117.64705882352941</v>
      </c>
      <c r="L52" s="384">
        <v>17</v>
      </c>
      <c r="M52" s="18">
        <f t="shared" si="39"/>
        <v>1913.8775510204086</v>
      </c>
      <c r="N52" s="18">
        <f t="shared" si="3"/>
        <v>112.58103241296521</v>
      </c>
      <c r="O52" s="19">
        <f t="shared" si="4"/>
        <v>0</v>
      </c>
      <c r="P52" s="20">
        <f t="shared" si="5"/>
        <v>-5.0660264105641915</v>
      </c>
      <c r="Q52" s="385">
        <f t="shared" si="6"/>
        <v>0.95693877551020434</v>
      </c>
      <c r="R52" s="637"/>
      <c r="S52" s="40">
        <v>0.38888888888888884</v>
      </c>
      <c r="T52" s="40">
        <v>0.42291666666666661</v>
      </c>
      <c r="U52" s="383">
        <f t="shared" si="38"/>
        <v>6.9999999999999751</v>
      </c>
      <c r="V52" s="386">
        <f t="shared" si="37"/>
        <v>48.999999999999986</v>
      </c>
      <c r="W52" s="23"/>
      <c r="X52" s="23"/>
      <c r="Y52" s="26"/>
      <c r="Z52" s="26"/>
      <c r="AA52" s="632"/>
      <c r="AB52" s="632"/>
      <c r="AC52" s="25"/>
      <c r="AD52" s="25"/>
      <c r="AE52" s="19">
        <f t="shared" si="8"/>
        <v>-86.122448979591354</v>
      </c>
      <c r="AF52" s="385">
        <f t="shared" si="9"/>
        <v>0.95693877551020434</v>
      </c>
      <c r="AG52" s="637"/>
    </row>
    <row r="53" spans="1:33" ht="15.75" customHeight="1">
      <c r="A53" s="641" t="s">
        <v>76</v>
      </c>
      <c r="B53" s="42" t="s">
        <v>92</v>
      </c>
      <c r="C53" s="625" t="s">
        <v>138</v>
      </c>
      <c r="D53" s="626"/>
      <c r="E53" s="42">
        <v>55.56</v>
      </c>
      <c r="F53" s="48">
        <v>2210</v>
      </c>
      <c r="G53" s="383">
        <f t="shared" si="35"/>
        <v>122787.6</v>
      </c>
      <c r="H53" s="37" t="s">
        <v>91</v>
      </c>
      <c r="I53" s="384">
        <v>17</v>
      </c>
      <c r="J53" s="39">
        <v>2000</v>
      </c>
      <c r="K53" s="17">
        <f t="shared" si="1"/>
        <v>117.64705882352941</v>
      </c>
      <c r="L53" s="384">
        <v>17</v>
      </c>
      <c r="M53" s="18">
        <f t="shared" si="39"/>
        <v>1921.7391304347807</v>
      </c>
      <c r="N53" s="18">
        <f t="shared" si="3"/>
        <v>113.04347826086945</v>
      </c>
      <c r="O53" s="19">
        <f t="shared" si="4"/>
        <v>0</v>
      </c>
      <c r="P53" s="20">
        <f t="shared" si="5"/>
        <v>-4.6035805626599569</v>
      </c>
      <c r="Q53" s="385">
        <f t="shared" si="6"/>
        <v>0.96086956521739042</v>
      </c>
      <c r="R53" s="637"/>
      <c r="S53" s="40">
        <v>0.70833333333333337</v>
      </c>
      <c r="T53" s="40">
        <v>0.75625000000000009</v>
      </c>
      <c r="U53" s="383" t="str">
        <f t="shared" si="38"/>
        <v/>
      </c>
      <c r="V53" s="386">
        <f t="shared" si="37"/>
        <v>69.000000000000071</v>
      </c>
      <c r="W53" s="23"/>
      <c r="X53" s="23"/>
      <c r="Y53" s="26"/>
      <c r="Z53" s="26"/>
      <c r="AA53" s="627"/>
      <c r="AB53" s="628"/>
      <c r="AC53" s="25"/>
      <c r="AD53" s="25"/>
      <c r="AE53" s="19">
        <f t="shared" si="8"/>
        <v>-78.260869565219309</v>
      </c>
      <c r="AF53" s="385">
        <f t="shared" si="9"/>
        <v>0.96086956521739031</v>
      </c>
      <c r="AG53" s="637"/>
    </row>
    <row r="54" spans="1:33" ht="15.75" customHeight="1">
      <c r="A54" s="641" t="s">
        <v>76</v>
      </c>
      <c r="B54" s="42" t="s">
        <v>92</v>
      </c>
      <c r="C54" s="625" t="s">
        <v>420</v>
      </c>
      <c r="D54" s="626"/>
      <c r="E54" s="42">
        <v>58.17</v>
      </c>
      <c r="F54" s="48">
        <v>2024</v>
      </c>
      <c r="G54" s="383">
        <f t="shared" si="35"/>
        <v>117736.08</v>
      </c>
      <c r="H54" s="37" t="s">
        <v>91</v>
      </c>
      <c r="I54" s="384">
        <v>13</v>
      </c>
      <c r="J54" s="39">
        <v>2000</v>
      </c>
      <c r="K54" s="17">
        <f t="shared" si="1"/>
        <v>153.84615384615384</v>
      </c>
      <c r="L54" s="384">
        <v>13</v>
      </c>
      <c r="M54" s="18">
        <f t="shared" si="39"/>
        <v>1927.6190476190498</v>
      </c>
      <c r="N54" s="18">
        <f t="shared" si="3"/>
        <v>148.27838827838843</v>
      </c>
      <c r="O54" s="19">
        <f t="shared" si="4"/>
        <v>0</v>
      </c>
      <c r="P54" s="20">
        <f t="shared" si="5"/>
        <v>-5.5677655677654059</v>
      </c>
      <c r="Q54" s="385">
        <f t="shared" si="6"/>
        <v>0.96380952380952489</v>
      </c>
      <c r="R54" s="637"/>
      <c r="S54" s="40">
        <v>0.76111111111111118</v>
      </c>
      <c r="T54" s="40">
        <v>0.80486111111111114</v>
      </c>
      <c r="U54" s="383">
        <f t="shared" si="38"/>
        <v>6.9999999999999751</v>
      </c>
      <c r="V54" s="386">
        <f t="shared" si="37"/>
        <v>62.999999999999936</v>
      </c>
      <c r="W54" s="23"/>
      <c r="X54" s="23"/>
      <c r="Y54" s="26"/>
      <c r="Z54" s="26"/>
      <c r="AA54" s="627"/>
      <c r="AB54" s="628"/>
      <c r="AC54" s="25"/>
      <c r="AD54" s="25"/>
      <c r="AE54" s="19">
        <f t="shared" si="8"/>
        <v>-72.380952380950248</v>
      </c>
      <c r="AF54" s="385">
        <f t="shared" si="9"/>
        <v>0.96380952380952489</v>
      </c>
      <c r="AG54" s="637"/>
    </row>
    <row r="55" spans="1:33">
      <c r="A55" s="642" t="s">
        <v>76</v>
      </c>
      <c r="B55" s="42" t="s">
        <v>49</v>
      </c>
      <c r="C55" s="638"/>
      <c r="D55" s="638"/>
      <c r="E55" s="391"/>
      <c r="F55" s="44"/>
      <c r="G55" s="17"/>
      <c r="H55" s="388"/>
      <c r="I55" s="29">
        <v>17.857142857142858</v>
      </c>
      <c r="J55" s="39">
        <v>2000</v>
      </c>
      <c r="K55" s="17">
        <f t="shared" si="1"/>
        <v>112</v>
      </c>
      <c r="L55" s="29">
        <v>17.857142857142858</v>
      </c>
      <c r="M55" s="18">
        <f>AVERAGE(M48:M54)</f>
        <v>1920.7546234532185</v>
      </c>
      <c r="N55" s="17">
        <f t="shared" si="3"/>
        <v>107.56225891338023</v>
      </c>
      <c r="O55" s="19">
        <f t="shared" si="4"/>
        <v>0</v>
      </c>
      <c r="P55" s="20">
        <f t="shared" si="5"/>
        <v>-4.4377410866197664</v>
      </c>
      <c r="Q55" s="385">
        <f t="shared" si="6"/>
        <v>0.96037731172660923</v>
      </c>
      <c r="R55" s="637"/>
      <c r="S55" s="40"/>
      <c r="T55" s="40"/>
      <c r="U55" s="383"/>
      <c r="V55" s="386"/>
      <c r="W55" s="17"/>
      <c r="X55" s="17"/>
      <c r="Y55" s="30">
        <f>SUM(Y48:Y54)</f>
        <v>0</v>
      </c>
      <c r="Z55" s="30">
        <f>SUM(Z48:Z54)</f>
        <v>0</v>
      </c>
      <c r="AA55" s="631"/>
      <c r="AB55" s="631"/>
      <c r="AC55" s="30">
        <v>7</v>
      </c>
      <c r="AD55" s="30">
        <f>SUM(AD48:AD54)</f>
        <v>0</v>
      </c>
      <c r="AE55" s="19">
        <f>M55-J55</f>
        <v>-79.245376546781472</v>
      </c>
      <c r="AF55" s="385">
        <f t="shared" si="9"/>
        <v>0.96037731172660923</v>
      </c>
      <c r="AG55" s="637"/>
    </row>
    <row r="56" spans="1:33" ht="15.75" customHeight="1">
      <c r="A56" s="639" t="s">
        <v>84</v>
      </c>
      <c r="B56" s="388" t="s">
        <v>127</v>
      </c>
      <c r="C56" s="633" t="s">
        <v>141</v>
      </c>
      <c r="D56" s="633"/>
      <c r="E56" s="42">
        <v>35.119999999999997</v>
      </c>
      <c r="F56" s="48">
        <v>3804</v>
      </c>
      <c r="G56" s="383">
        <f t="shared" ref="G56:G61" si="40">E56*F56</f>
        <v>133596.47999999998</v>
      </c>
      <c r="H56" s="37" t="s">
        <v>91</v>
      </c>
      <c r="I56" s="384">
        <v>10</v>
      </c>
      <c r="J56" s="39">
        <v>3000</v>
      </c>
      <c r="K56" s="17">
        <f t="shared" si="1"/>
        <v>300</v>
      </c>
      <c r="L56" s="384">
        <v>10</v>
      </c>
      <c r="M56" s="18">
        <f t="shared" ref="M56:M61" si="41">F56/V56*60</f>
        <v>2889.1139240506332</v>
      </c>
      <c r="N56" s="17">
        <f t="shared" si="3"/>
        <v>288.91139240506334</v>
      </c>
      <c r="O56" s="19">
        <f t="shared" si="4"/>
        <v>0</v>
      </c>
      <c r="P56" s="20">
        <f t="shared" si="5"/>
        <v>-11.088607594936661</v>
      </c>
      <c r="Q56" s="385">
        <f t="shared" si="6"/>
        <v>0.96303797468354446</v>
      </c>
      <c r="R56" s="637">
        <f>Q62</f>
        <v>0.96192647936851539</v>
      </c>
      <c r="S56" s="40">
        <v>0.20833333333333334</v>
      </c>
      <c r="T56" s="40">
        <v>0.26319444444444445</v>
      </c>
      <c r="U56" s="383"/>
      <c r="V56" s="386">
        <f t="shared" ref="V56:V61" si="42">(T56-S56)*24*60</f>
        <v>79</v>
      </c>
      <c r="W56" s="23"/>
      <c r="X56" s="23"/>
      <c r="Y56" s="28"/>
      <c r="Z56" s="28"/>
      <c r="AA56" s="632"/>
      <c r="AB56" s="632"/>
      <c r="AC56" s="25">
        <v>6</v>
      </c>
      <c r="AD56" s="25"/>
      <c r="AE56" s="19">
        <f t="shared" ref="AE56:AE69" si="43">M56-J56</f>
        <v>-110.88607594936684</v>
      </c>
      <c r="AF56" s="385">
        <f t="shared" si="9"/>
        <v>0.96303797468354435</v>
      </c>
      <c r="AG56" s="637">
        <f>AF62</f>
        <v>0.9619264793685155</v>
      </c>
    </row>
    <row r="57" spans="1:33" ht="15.75" customHeight="1">
      <c r="A57" s="639" t="s">
        <v>84</v>
      </c>
      <c r="B57" s="388" t="s">
        <v>127</v>
      </c>
      <c r="C57" s="633" t="s">
        <v>142</v>
      </c>
      <c r="D57" s="633"/>
      <c r="E57" s="42">
        <v>26.78</v>
      </c>
      <c r="F57" s="48">
        <v>2273</v>
      </c>
      <c r="G57" s="383">
        <f t="shared" si="40"/>
        <v>60870.94</v>
      </c>
      <c r="H57" s="37" t="s">
        <v>91</v>
      </c>
      <c r="I57" s="384">
        <v>10</v>
      </c>
      <c r="J57" s="39">
        <v>3000</v>
      </c>
      <c r="K57" s="17">
        <f t="shared" si="1"/>
        <v>300</v>
      </c>
      <c r="L57" s="384">
        <v>10</v>
      </c>
      <c r="M57" s="18">
        <f t="shared" si="41"/>
        <v>2901.7021276595751</v>
      </c>
      <c r="N57" s="17">
        <f t="shared" si="3"/>
        <v>290.1702127659575</v>
      </c>
      <c r="O57" s="19">
        <f t="shared" si="4"/>
        <v>0</v>
      </c>
      <c r="P57" s="20">
        <f t="shared" si="5"/>
        <v>-9.8297872340424988</v>
      </c>
      <c r="Q57" s="385">
        <f t="shared" si="6"/>
        <v>0.96723404255319168</v>
      </c>
      <c r="R57" s="637"/>
      <c r="S57" s="40">
        <v>0.26874999999999999</v>
      </c>
      <c r="T57" s="40">
        <v>0.30138888888888887</v>
      </c>
      <c r="U57" s="383">
        <f t="shared" ref="U57:U61" si="44">(S57-T56)*24*60</f>
        <v>7.9999999999999716</v>
      </c>
      <c r="V57" s="386">
        <f t="shared" si="42"/>
        <v>46.999999999999993</v>
      </c>
      <c r="W57" s="383"/>
      <c r="X57" s="383"/>
      <c r="Y57" s="383"/>
      <c r="Z57" s="383"/>
      <c r="AA57" s="632"/>
      <c r="AB57" s="632"/>
      <c r="AC57" s="25"/>
      <c r="AD57" s="25"/>
      <c r="AE57" s="19">
        <f t="shared" si="43"/>
        <v>-98.297872340424874</v>
      </c>
      <c r="AF57" s="385">
        <f t="shared" si="9"/>
        <v>0.96723404255319168</v>
      </c>
      <c r="AG57" s="637"/>
    </row>
    <row r="58" spans="1:33" ht="15.75" customHeight="1">
      <c r="A58" s="639" t="s">
        <v>84</v>
      </c>
      <c r="B58" s="388" t="s">
        <v>127</v>
      </c>
      <c r="C58" s="633" t="s">
        <v>143</v>
      </c>
      <c r="D58" s="633"/>
      <c r="E58" s="42">
        <v>36.14</v>
      </c>
      <c r="F58" s="48">
        <v>1022</v>
      </c>
      <c r="G58" s="383">
        <f t="shared" si="40"/>
        <v>36935.08</v>
      </c>
      <c r="H58" s="37" t="s">
        <v>91</v>
      </c>
      <c r="I58" s="384">
        <v>11</v>
      </c>
      <c r="J58" s="39">
        <v>3000</v>
      </c>
      <c r="K58" s="17">
        <f t="shared" si="1"/>
        <v>272.72727272727275</v>
      </c>
      <c r="L58" s="384">
        <v>11</v>
      </c>
      <c r="M58" s="18">
        <f t="shared" si="41"/>
        <v>2919.9999999999991</v>
      </c>
      <c r="N58" s="17">
        <f t="shared" si="3"/>
        <v>265.45454545454538</v>
      </c>
      <c r="O58" s="19">
        <f t="shared" si="4"/>
        <v>0</v>
      </c>
      <c r="P58" s="20">
        <f t="shared" si="5"/>
        <v>-7.2727272727273657</v>
      </c>
      <c r="Q58" s="385">
        <f t="shared" si="6"/>
        <v>0.97333333333333294</v>
      </c>
      <c r="R58" s="637"/>
      <c r="S58" s="40">
        <v>0.30486111111111108</v>
      </c>
      <c r="T58" s="40">
        <v>0.31944444444444442</v>
      </c>
      <c r="U58" s="383">
        <f t="shared" si="44"/>
        <v>4.9999999999999822</v>
      </c>
      <c r="V58" s="386">
        <f t="shared" si="42"/>
        <v>21.000000000000007</v>
      </c>
      <c r="W58" s="383"/>
      <c r="X58" s="383"/>
      <c r="Y58" s="383"/>
      <c r="Z58" s="383"/>
      <c r="AA58" s="632"/>
      <c r="AB58" s="632"/>
      <c r="AC58" s="25"/>
      <c r="AD58" s="25"/>
      <c r="AE58" s="19">
        <f t="shared" si="43"/>
        <v>-80.000000000000909</v>
      </c>
      <c r="AF58" s="385">
        <f t="shared" si="9"/>
        <v>0.97333333333333305</v>
      </c>
      <c r="AG58" s="637"/>
    </row>
    <row r="59" spans="1:33" ht="15.75" customHeight="1">
      <c r="A59" s="639" t="s">
        <v>84</v>
      </c>
      <c r="B59" s="388" t="s">
        <v>127</v>
      </c>
      <c r="C59" s="633" t="s">
        <v>131</v>
      </c>
      <c r="D59" s="633"/>
      <c r="E59" s="42">
        <v>34.35</v>
      </c>
      <c r="F59" s="48">
        <v>606</v>
      </c>
      <c r="G59" s="383">
        <f t="shared" si="40"/>
        <v>20816.100000000002</v>
      </c>
      <c r="H59" s="37" t="s">
        <v>91</v>
      </c>
      <c r="I59" s="384">
        <v>8</v>
      </c>
      <c r="J59" s="39">
        <v>3000</v>
      </c>
      <c r="K59" s="17">
        <f t="shared" si="1"/>
        <v>375</v>
      </c>
      <c r="L59" s="384">
        <v>8</v>
      </c>
      <c r="M59" s="18">
        <f t="shared" si="41"/>
        <v>2796.9230769230694</v>
      </c>
      <c r="N59" s="17">
        <f t="shared" si="3"/>
        <v>349.61538461538368</v>
      </c>
      <c r="O59" s="19">
        <f t="shared" si="4"/>
        <v>0</v>
      </c>
      <c r="P59" s="20">
        <f t="shared" si="5"/>
        <v>-25.384615384616325</v>
      </c>
      <c r="Q59" s="385">
        <f t="shared" si="6"/>
        <v>0.93230769230768984</v>
      </c>
      <c r="R59" s="637"/>
      <c r="S59" s="40">
        <v>0.32361111111111107</v>
      </c>
      <c r="T59" s="40">
        <v>0.33263888888888887</v>
      </c>
      <c r="U59" s="383">
        <f t="shared" si="44"/>
        <v>5.9999999999999787</v>
      </c>
      <c r="V59" s="386">
        <f t="shared" si="42"/>
        <v>13.000000000000034</v>
      </c>
      <c r="W59" s="383"/>
      <c r="X59" s="383"/>
      <c r="Y59" s="383"/>
      <c r="Z59" s="383"/>
      <c r="AA59" s="632"/>
      <c r="AB59" s="632"/>
      <c r="AC59" s="25"/>
      <c r="AD59" s="25"/>
      <c r="AE59" s="19">
        <f t="shared" si="43"/>
        <v>-203.0769230769306</v>
      </c>
      <c r="AF59" s="385">
        <f t="shared" si="9"/>
        <v>0.93230769230768984</v>
      </c>
      <c r="AG59" s="637"/>
    </row>
    <row r="60" spans="1:33">
      <c r="A60" s="640" t="s">
        <v>84</v>
      </c>
      <c r="B60" s="388" t="s">
        <v>127</v>
      </c>
      <c r="C60" s="633" t="s">
        <v>130</v>
      </c>
      <c r="D60" s="633"/>
      <c r="E60" s="42">
        <v>35.869999999999997</v>
      </c>
      <c r="F60" s="48">
        <v>1463</v>
      </c>
      <c r="G60" s="383">
        <f t="shared" si="40"/>
        <v>52477.81</v>
      </c>
      <c r="H60" s="37" t="s">
        <v>91</v>
      </c>
      <c r="I60" s="384">
        <v>9</v>
      </c>
      <c r="J60" s="39">
        <v>3000</v>
      </c>
      <c r="K60" s="17">
        <f t="shared" si="1"/>
        <v>333.33333333333331</v>
      </c>
      <c r="L60" s="384">
        <v>9</v>
      </c>
      <c r="M60" s="18">
        <f t="shared" si="41"/>
        <v>2926.0000000000027</v>
      </c>
      <c r="N60" s="17">
        <f t="shared" si="3"/>
        <v>325.11111111111143</v>
      </c>
      <c r="O60" s="19">
        <f t="shared" si="4"/>
        <v>0</v>
      </c>
      <c r="P60" s="20">
        <f t="shared" si="5"/>
        <v>-8.2222222222218875</v>
      </c>
      <c r="Q60" s="385">
        <f t="shared" si="6"/>
        <v>0.97533333333333438</v>
      </c>
      <c r="R60" s="637"/>
      <c r="S60" s="40">
        <v>0.33611111111111108</v>
      </c>
      <c r="T60" s="40">
        <v>0.3569444444444444</v>
      </c>
      <c r="U60" s="383">
        <f t="shared" si="44"/>
        <v>4.9999999999999822</v>
      </c>
      <c r="V60" s="386">
        <f t="shared" si="42"/>
        <v>29.999999999999972</v>
      </c>
      <c r="W60" s="23"/>
      <c r="X60" s="23"/>
      <c r="Y60" s="23"/>
      <c r="Z60" s="23"/>
      <c r="AA60" s="632"/>
      <c r="AB60" s="632"/>
      <c r="AC60" s="25"/>
      <c r="AD60" s="25"/>
      <c r="AE60" s="19">
        <f t="shared" si="43"/>
        <v>-73.999999999997272</v>
      </c>
      <c r="AF60" s="385">
        <f t="shared" si="9"/>
        <v>0.97533333333333427</v>
      </c>
      <c r="AG60" s="637"/>
    </row>
    <row r="61" spans="1:33" ht="15" customHeight="1">
      <c r="A61" s="640" t="s">
        <v>84</v>
      </c>
      <c r="B61" s="388" t="s">
        <v>127</v>
      </c>
      <c r="C61" s="625" t="s">
        <v>144</v>
      </c>
      <c r="D61" s="626"/>
      <c r="E61" s="42">
        <v>35.869999999999997</v>
      </c>
      <c r="F61" s="48">
        <v>3073</v>
      </c>
      <c r="G61" s="383">
        <f t="shared" si="40"/>
        <v>110228.51</v>
      </c>
      <c r="H61" s="37" t="s">
        <v>91</v>
      </c>
      <c r="I61" s="384">
        <v>10</v>
      </c>
      <c r="J61" s="39">
        <v>3000</v>
      </c>
      <c r="K61" s="17">
        <f t="shared" si="1"/>
        <v>300</v>
      </c>
      <c r="L61" s="384">
        <v>10</v>
      </c>
      <c r="M61" s="18">
        <f t="shared" si="41"/>
        <v>2880.9374999999991</v>
      </c>
      <c r="N61" s="17">
        <f t="shared" si="3"/>
        <v>288.09374999999989</v>
      </c>
      <c r="O61" s="19">
        <f t="shared" si="4"/>
        <v>0</v>
      </c>
      <c r="P61" s="20">
        <f t="shared" si="5"/>
        <v>-11.906250000000114</v>
      </c>
      <c r="Q61" s="385">
        <f t="shared" si="6"/>
        <v>0.96031249999999957</v>
      </c>
      <c r="R61" s="637"/>
      <c r="S61" s="40">
        <v>0.36180555555555549</v>
      </c>
      <c r="T61" s="40">
        <v>0.40624999999999994</v>
      </c>
      <c r="U61" s="383">
        <f t="shared" si="44"/>
        <v>6.9999999999999751</v>
      </c>
      <c r="V61" s="386">
        <f t="shared" si="42"/>
        <v>64.000000000000014</v>
      </c>
      <c r="W61" s="383"/>
      <c r="X61" s="383"/>
      <c r="Y61" s="389"/>
      <c r="Z61" s="389"/>
      <c r="AA61" s="627"/>
      <c r="AB61" s="628"/>
      <c r="AC61" s="25"/>
      <c r="AD61" s="25"/>
      <c r="AE61" s="19">
        <f t="shared" si="43"/>
        <v>-119.06250000000091</v>
      </c>
      <c r="AF61" s="385">
        <f t="shared" si="9"/>
        <v>0.96031249999999968</v>
      </c>
      <c r="AG61" s="637"/>
    </row>
    <row r="62" spans="1:33">
      <c r="A62" s="640" t="s">
        <v>84</v>
      </c>
      <c r="B62" s="42" t="s">
        <v>49</v>
      </c>
      <c r="C62" s="638"/>
      <c r="D62" s="638"/>
      <c r="E62" s="391"/>
      <c r="F62" s="44"/>
      <c r="G62" s="17"/>
      <c r="H62" s="388"/>
      <c r="I62" s="29">
        <v>9.6666666666666661</v>
      </c>
      <c r="J62" s="39">
        <v>3000</v>
      </c>
      <c r="K62" s="17">
        <f t="shared" si="1"/>
        <v>310.34482758620692</v>
      </c>
      <c r="L62" s="29">
        <v>9.6666666666666661</v>
      </c>
      <c r="M62" s="18">
        <f>AVERAGE(M56:M61)</f>
        <v>2885.7794381055464</v>
      </c>
      <c r="N62" s="17">
        <f t="shared" si="3"/>
        <v>298.52890739022894</v>
      </c>
      <c r="O62" s="19">
        <f t="shared" si="4"/>
        <v>0</v>
      </c>
      <c r="P62" s="20">
        <f t="shared" si="5"/>
        <v>-11.815920195977981</v>
      </c>
      <c r="Q62" s="385">
        <f t="shared" si="6"/>
        <v>0.96192647936851539</v>
      </c>
      <c r="R62" s="637"/>
      <c r="S62" s="40"/>
      <c r="T62" s="40"/>
      <c r="U62" s="17"/>
      <c r="V62" s="386"/>
      <c r="W62" s="17"/>
      <c r="X62" s="17"/>
      <c r="Y62" s="30">
        <f>SUM(Y56:Y61)</f>
        <v>0</v>
      </c>
      <c r="Z62" s="30">
        <f>SUM(Z56:Z61)</f>
        <v>0</v>
      </c>
      <c r="AA62" s="631"/>
      <c r="AB62" s="631"/>
      <c r="AC62" s="30">
        <v>6</v>
      </c>
      <c r="AD62" s="30">
        <f>SUM(AD56:AD61)</f>
        <v>0</v>
      </c>
      <c r="AE62" s="19">
        <f t="shared" si="43"/>
        <v>-114.22056189445357</v>
      </c>
      <c r="AF62" s="385">
        <f t="shared" si="9"/>
        <v>0.9619264793685155</v>
      </c>
      <c r="AG62" s="637"/>
    </row>
    <row r="63" spans="1:33" ht="15.75" customHeight="1">
      <c r="A63" s="634" t="s">
        <v>87</v>
      </c>
      <c r="B63" s="388" t="s">
        <v>116</v>
      </c>
      <c r="C63" s="633" t="s">
        <v>145</v>
      </c>
      <c r="D63" s="633"/>
      <c r="E63" s="42">
        <v>19.02</v>
      </c>
      <c r="F63" s="388">
        <v>5500</v>
      </c>
      <c r="G63" s="383">
        <f t="shared" ref="G63:G68" si="45">E63*F63</f>
        <v>104610</v>
      </c>
      <c r="H63" s="37">
        <v>2</v>
      </c>
      <c r="I63" s="384">
        <v>14</v>
      </c>
      <c r="J63" s="39">
        <v>2400</v>
      </c>
      <c r="K63" s="17">
        <f t="shared" si="1"/>
        <v>171.42857142857142</v>
      </c>
      <c r="L63" s="384">
        <v>14</v>
      </c>
      <c r="M63" s="18">
        <f t="shared" ref="M63:M68" si="46">F63/V63*60</f>
        <v>2291.6666666666665</v>
      </c>
      <c r="N63" s="17">
        <f t="shared" si="3"/>
        <v>163.69047619047618</v>
      </c>
      <c r="O63" s="19">
        <f t="shared" si="4"/>
        <v>0</v>
      </c>
      <c r="P63" s="20">
        <f t="shared" si="5"/>
        <v>-7.7380952380952408</v>
      </c>
      <c r="Q63" s="385">
        <f t="shared" si="6"/>
        <v>0.95486111111111105</v>
      </c>
      <c r="R63" s="637">
        <f>Q69</f>
        <v>0.95680090064713896</v>
      </c>
      <c r="S63" s="40">
        <v>8.3333333333333329E-2</v>
      </c>
      <c r="T63" s="40">
        <v>0.18333333333333332</v>
      </c>
      <c r="U63" s="28"/>
      <c r="V63" s="386">
        <f t="shared" ref="V63:V68" si="47">(T63-S63)*24*60</f>
        <v>144</v>
      </c>
      <c r="W63" s="23">
        <f>T63</f>
        <v>0.18333333333333332</v>
      </c>
      <c r="X63" s="23">
        <f>S64</f>
        <v>0.2006944444444444</v>
      </c>
      <c r="Y63" s="23"/>
      <c r="Z63" s="23"/>
      <c r="AA63" s="632"/>
      <c r="AB63" s="632"/>
      <c r="AC63" s="25">
        <v>6</v>
      </c>
      <c r="AD63" s="25"/>
      <c r="AE63" s="19">
        <f t="shared" si="43"/>
        <v>-108.33333333333348</v>
      </c>
      <c r="AF63" s="385">
        <f t="shared" si="9"/>
        <v>0.95486111111111105</v>
      </c>
      <c r="AG63" s="637">
        <f>AF69</f>
        <v>0.95680090064713885</v>
      </c>
    </row>
    <row r="64" spans="1:33" ht="15.75" customHeight="1">
      <c r="A64" s="635" t="s">
        <v>87</v>
      </c>
      <c r="B64" s="388" t="s">
        <v>116</v>
      </c>
      <c r="C64" s="633" t="s">
        <v>146</v>
      </c>
      <c r="D64" s="633"/>
      <c r="E64" s="42">
        <v>20.36</v>
      </c>
      <c r="F64" s="388">
        <v>4209</v>
      </c>
      <c r="G64" s="383">
        <f t="shared" si="45"/>
        <v>85695.239999999991</v>
      </c>
      <c r="H64" s="37" t="s">
        <v>91</v>
      </c>
      <c r="I64" s="384">
        <v>17</v>
      </c>
      <c r="J64" s="39">
        <v>2400</v>
      </c>
      <c r="K64" s="17">
        <f t="shared" si="1"/>
        <v>141.1764705882353</v>
      </c>
      <c r="L64" s="384">
        <v>17</v>
      </c>
      <c r="M64" s="18">
        <f t="shared" si="46"/>
        <v>2295.8181818181815</v>
      </c>
      <c r="N64" s="17">
        <f t="shared" si="3"/>
        <v>135.04812834224597</v>
      </c>
      <c r="O64" s="19">
        <f t="shared" si="4"/>
        <v>0</v>
      </c>
      <c r="P64" s="20">
        <f t="shared" si="5"/>
        <v>-6.1283422459893302</v>
      </c>
      <c r="Q64" s="385">
        <f t="shared" si="6"/>
        <v>0.95659090909090894</v>
      </c>
      <c r="R64" s="637"/>
      <c r="S64" s="40">
        <v>0.2006944444444444</v>
      </c>
      <c r="T64" s="40">
        <v>0.27708333333333329</v>
      </c>
      <c r="U64" s="383">
        <f t="shared" ref="U64:U68" si="48">(S64-T63)*24*60</f>
        <v>24.99999999999995</v>
      </c>
      <c r="V64" s="386">
        <f t="shared" si="47"/>
        <v>110.00000000000001</v>
      </c>
      <c r="W64" s="23"/>
      <c r="X64" s="23"/>
      <c r="Y64" s="23"/>
      <c r="Z64" s="23"/>
      <c r="AA64" s="632"/>
      <c r="AB64" s="632"/>
      <c r="AC64" s="25"/>
      <c r="AD64" s="25"/>
      <c r="AE64" s="19">
        <f t="shared" si="43"/>
        <v>-104.18181818181847</v>
      </c>
      <c r="AF64" s="385">
        <f t="shared" si="9"/>
        <v>0.95659090909090894</v>
      </c>
      <c r="AG64" s="637"/>
    </row>
    <row r="65" spans="1:33" ht="15.75" customHeight="1">
      <c r="A65" s="635" t="s">
        <v>87</v>
      </c>
      <c r="B65" s="388" t="s">
        <v>116</v>
      </c>
      <c r="C65" s="633" t="s">
        <v>120</v>
      </c>
      <c r="D65" s="633"/>
      <c r="E65" s="42">
        <v>25.99</v>
      </c>
      <c r="F65" s="388">
        <v>1163</v>
      </c>
      <c r="G65" s="383">
        <f t="shared" si="45"/>
        <v>30226.37</v>
      </c>
      <c r="H65" s="37" t="s">
        <v>91</v>
      </c>
      <c r="I65" s="384">
        <v>18</v>
      </c>
      <c r="J65" s="39">
        <v>2400</v>
      </c>
      <c r="K65" s="17">
        <f t="shared" si="1"/>
        <v>133.33333333333334</v>
      </c>
      <c r="L65" s="384">
        <v>18</v>
      </c>
      <c r="M65" s="18">
        <f t="shared" si="46"/>
        <v>2326.0000000000023</v>
      </c>
      <c r="N65" s="17">
        <f t="shared" si="3"/>
        <v>129.22222222222234</v>
      </c>
      <c r="O65" s="19">
        <f t="shared" si="4"/>
        <v>0</v>
      </c>
      <c r="P65" s="20">
        <f t="shared" si="5"/>
        <v>-4.1111111111110006</v>
      </c>
      <c r="Q65" s="385">
        <f t="shared" si="6"/>
        <v>0.96916666666666751</v>
      </c>
      <c r="R65" s="637"/>
      <c r="S65" s="40">
        <v>0.28124999999999994</v>
      </c>
      <c r="T65" s="40">
        <v>0.30208333333333326</v>
      </c>
      <c r="U65" s="383">
        <f t="shared" si="48"/>
        <v>5.9999999999999787</v>
      </c>
      <c r="V65" s="386">
        <f t="shared" si="47"/>
        <v>29.999999999999972</v>
      </c>
      <c r="W65" s="23"/>
      <c r="X65" s="23"/>
      <c r="Y65" s="23"/>
      <c r="Z65" s="23"/>
      <c r="AA65" s="632"/>
      <c r="AB65" s="632"/>
      <c r="AC65" s="25"/>
      <c r="AD65" s="25"/>
      <c r="AE65" s="19">
        <f t="shared" si="43"/>
        <v>-73.999999999997726</v>
      </c>
      <c r="AF65" s="385">
        <f t="shared" si="9"/>
        <v>0.96916666666666762</v>
      </c>
      <c r="AG65" s="637"/>
    </row>
    <row r="66" spans="1:33" ht="15.75" customHeight="1">
      <c r="A66" s="635" t="s">
        <v>87</v>
      </c>
      <c r="B66" s="388" t="s">
        <v>116</v>
      </c>
      <c r="C66" s="633" t="s">
        <v>148</v>
      </c>
      <c r="D66" s="633"/>
      <c r="E66" s="42">
        <v>28.29</v>
      </c>
      <c r="F66" s="388">
        <v>3587</v>
      </c>
      <c r="G66" s="383">
        <f t="shared" si="45"/>
        <v>101476.23</v>
      </c>
      <c r="H66" s="37" t="s">
        <v>91</v>
      </c>
      <c r="I66" s="384">
        <v>19</v>
      </c>
      <c r="J66" s="39">
        <v>2400</v>
      </c>
      <c r="K66" s="17">
        <f t="shared" si="1"/>
        <v>126.31578947368421</v>
      </c>
      <c r="L66" s="384">
        <v>19</v>
      </c>
      <c r="M66" s="18">
        <f t="shared" si="46"/>
        <v>2289.5744680851067</v>
      </c>
      <c r="N66" s="17">
        <f t="shared" si="3"/>
        <v>120.50391937290036</v>
      </c>
      <c r="O66" s="19">
        <f t="shared" si="4"/>
        <v>0</v>
      </c>
      <c r="P66" s="20">
        <f t="shared" si="5"/>
        <v>-5.8118701007838496</v>
      </c>
      <c r="Q66" s="385">
        <f t="shared" si="6"/>
        <v>0.95398936170212789</v>
      </c>
      <c r="R66" s="637"/>
      <c r="S66" s="40">
        <v>0.30694444444444435</v>
      </c>
      <c r="T66" s="40">
        <v>0.37222222222222212</v>
      </c>
      <c r="U66" s="383">
        <f t="shared" si="48"/>
        <v>6.9999999999999751</v>
      </c>
      <c r="V66" s="386">
        <f t="shared" si="47"/>
        <v>93.999999999999986</v>
      </c>
      <c r="W66" s="23"/>
      <c r="X66" s="23"/>
      <c r="Y66" s="23"/>
      <c r="Z66" s="23"/>
      <c r="AA66" s="632"/>
      <c r="AB66" s="632"/>
      <c r="AC66" s="25"/>
      <c r="AD66" s="25"/>
      <c r="AE66" s="19">
        <f t="shared" si="43"/>
        <v>-110.42553191489333</v>
      </c>
      <c r="AF66" s="385">
        <f t="shared" si="9"/>
        <v>0.95398936170212778</v>
      </c>
      <c r="AG66" s="637"/>
    </row>
    <row r="67" spans="1:33" ht="15.75" customHeight="1">
      <c r="A67" s="635" t="s">
        <v>87</v>
      </c>
      <c r="B67" s="388" t="s">
        <v>116</v>
      </c>
      <c r="C67" s="633" t="s">
        <v>1859</v>
      </c>
      <c r="D67" s="633"/>
      <c r="E67" s="42">
        <v>25.98</v>
      </c>
      <c r="F67" s="388">
        <v>6911</v>
      </c>
      <c r="G67" s="383">
        <f t="shared" si="45"/>
        <v>179547.78</v>
      </c>
      <c r="H67" s="37" t="s">
        <v>91</v>
      </c>
      <c r="I67" s="384">
        <v>19</v>
      </c>
      <c r="J67" s="39">
        <v>2400</v>
      </c>
      <c r="K67" s="17">
        <f t="shared" si="1"/>
        <v>126.31578947368421</v>
      </c>
      <c r="L67" s="384">
        <v>19</v>
      </c>
      <c r="M67" s="18">
        <f t="shared" si="46"/>
        <v>2290.9392265193369</v>
      </c>
      <c r="N67" s="17">
        <f t="shared" si="3"/>
        <v>120.57574876417563</v>
      </c>
      <c r="O67" s="19">
        <f t="shared" si="4"/>
        <v>0</v>
      </c>
      <c r="P67" s="20">
        <f t="shared" si="5"/>
        <v>-5.7400407095085768</v>
      </c>
      <c r="Q67" s="385">
        <f t="shared" si="6"/>
        <v>0.95455801104972382</v>
      </c>
      <c r="R67" s="637"/>
      <c r="S67" s="40">
        <v>0.37569444444444433</v>
      </c>
      <c r="T67" s="40">
        <v>0.50138888888888877</v>
      </c>
      <c r="U67" s="383">
        <f t="shared" si="48"/>
        <v>4.9999999999999822</v>
      </c>
      <c r="V67" s="386">
        <f t="shared" si="47"/>
        <v>181</v>
      </c>
      <c r="W67" s="23">
        <f>T67</f>
        <v>0.50138888888888877</v>
      </c>
      <c r="X67" s="23">
        <f>S68</f>
        <v>0.54374999999999984</v>
      </c>
      <c r="Y67" s="23"/>
      <c r="Z67" s="23"/>
      <c r="AA67" s="632"/>
      <c r="AB67" s="632"/>
      <c r="AC67" s="25"/>
      <c r="AD67" s="25"/>
      <c r="AE67" s="19">
        <f t="shared" si="43"/>
        <v>-109.0607734806631</v>
      </c>
      <c r="AF67" s="385">
        <f t="shared" si="9"/>
        <v>0.95455801104972371</v>
      </c>
      <c r="AG67" s="637"/>
    </row>
    <row r="68" spans="1:33" ht="15.75" customHeight="1">
      <c r="A68" s="635" t="s">
        <v>87</v>
      </c>
      <c r="B68" s="388" t="s">
        <v>116</v>
      </c>
      <c r="C68" s="633" t="s">
        <v>145</v>
      </c>
      <c r="D68" s="633"/>
      <c r="E68" s="42">
        <v>19.02</v>
      </c>
      <c r="F68" s="388">
        <v>4644</v>
      </c>
      <c r="G68" s="383">
        <f t="shared" si="45"/>
        <v>88328.88</v>
      </c>
      <c r="H68" s="37" t="s">
        <v>91</v>
      </c>
      <c r="I68" s="384">
        <v>14</v>
      </c>
      <c r="J68" s="39">
        <v>2400</v>
      </c>
      <c r="K68" s="17">
        <f t="shared" si="1"/>
        <v>171.42857142857142</v>
      </c>
      <c r="L68" s="384">
        <v>14</v>
      </c>
      <c r="M68" s="18">
        <f t="shared" si="46"/>
        <v>2283.9344262295072</v>
      </c>
      <c r="N68" s="17">
        <f t="shared" si="3"/>
        <v>163.13817330210765</v>
      </c>
      <c r="O68" s="19">
        <f t="shared" si="4"/>
        <v>0</v>
      </c>
      <c r="P68" s="20">
        <f t="shared" si="5"/>
        <v>-8.2903981264637707</v>
      </c>
      <c r="Q68" s="385">
        <f t="shared" si="6"/>
        <v>0.95163934426229468</v>
      </c>
      <c r="R68" s="637"/>
      <c r="S68" s="40">
        <v>0.54374999999999984</v>
      </c>
      <c r="T68" s="40">
        <v>0.6284722222222221</v>
      </c>
      <c r="U68" s="383">
        <f t="shared" si="48"/>
        <v>60.999999999999943</v>
      </c>
      <c r="V68" s="386">
        <f t="shared" si="47"/>
        <v>122.00000000000004</v>
      </c>
      <c r="W68" s="23"/>
      <c r="X68" s="23"/>
      <c r="Y68" s="23"/>
      <c r="Z68" s="23"/>
      <c r="AA68" s="632"/>
      <c r="AB68" s="632"/>
      <c r="AC68" s="25"/>
      <c r="AD68" s="25"/>
      <c r="AE68" s="19">
        <f t="shared" si="43"/>
        <v>-116.06557377049285</v>
      </c>
      <c r="AF68" s="385">
        <f t="shared" si="9"/>
        <v>0.95163934426229468</v>
      </c>
      <c r="AG68" s="637"/>
    </row>
    <row r="69" spans="1:33" ht="16.5" customHeight="1">
      <c r="A69" s="636" t="s">
        <v>87</v>
      </c>
      <c r="B69" s="42" t="s">
        <v>49</v>
      </c>
      <c r="C69" s="629"/>
      <c r="D69" s="630"/>
      <c r="E69" s="391"/>
      <c r="F69" s="44"/>
      <c r="G69" s="17"/>
      <c r="H69" s="388"/>
      <c r="I69" s="29">
        <v>16.833333333333332</v>
      </c>
      <c r="J69" s="39">
        <v>2400</v>
      </c>
      <c r="K69" s="17">
        <f t="shared" ref="K69" si="49">J69/I69</f>
        <v>142.57425742574259</v>
      </c>
      <c r="L69" s="29">
        <v>16.833333333333332</v>
      </c>
      <c r="M69" s="18">
        <f>AVERAGE(M63:M68)</f>
        <v>2296.3221615531334</v>
      </c>
      <c r="N69" s="17">
        <f t="shared" ref="N69" si="50">M69/L69</f>
        <v>136.41517791404755</v>
      </c>
      <c r="O69" s="19">
        <f t="shared" ref="O69" si="51">L69-I69</f>
        <v>0</v>
      </c>
      <c r="P69" s="20">
        <f t="shared" ref="P69" si="52">N69-K69</f>
        <v>-6.1590795116950403</v>
      </c>
      <c r="Q69" s="385">
        <f t="shared" ref="Q69" si="53">N69/K69</f>
        <v>0.95680090064713896</v>
      </c>
      <c r="R69" s="637"/>
      <c r="S69" s="40"/>
      <c r="T69" s="40"/>
      <c r="U69" s="17"/>
      <c r="V69" s="386"/>
      <c r="W69" s="17"/>
      <c r="X69" s="17"/>
      <c r="Y69" s="30">
        <f>SUM(Y63:Y68)</f>
        <v>0</v>
      </c>
      <c r="Z69" s="30">
        <f>SUM(Z63:Z68)</f>
        <v>0</v>
      </c>
      <c r="AA69" s="631"/>
      <c r="AB69" s="631"/>
      <c r="AC69" s="30">
        <v>6</v>
      </c>
      <c r="AD69" s="30">
        <f>SUM(AD63:AD68)</f>
        <v>0</v>
      </c>
      <c r="AE69" s="19">
        <f t="shared" si="43"/>
        <v>-103.67783844686664</v>
      </c>
      <c r="AF69" s="385">
        <f t="shared" ref="AF69" si="54">M69/J69</f>
        <v>0.95680090064713885</v>
      </c>
      <c r="AG69" s="637"/>
    </row>
    <row r="70" spans="1:33">
      <c r="D70" s="33"/>
      <c r="E70" s="33"/>
    </row>
  </sheetData>
  <mergeCells count="187">
    <mergeCell ref="AA66:AB66"/>
    <mergeCell ref="C67:D67"/>
    <mergeCell ref="AA67:AB67"/>
    <mergeCell ref="A63:A69"/>
    <mergeCell ref="C63:D63"/>
    <mergeCell ref="R63:R69"/>
    <mergeCell ref="AA63:AB63"/>
    <mergeCell ref="AG63:AG69"/>
    <mergeCell ref="C64:D64"/>
    <mergeCell ref="AA64:AB64"/>
    <mergeCell ref="C65:D65"/>
    <mergeCell ref="AA65:AB65"/>
    <mergeCell ref="C66:D66"/>
    <mergeCell ref="C68:D68"/>
    <mergeCell ref="AA68:AB68"/>
    <mergeCell ref="C69:D69"/>
    <mergeCell ref="AA69:AB69"/>
    <mergeCell ref="A56:A62"/>
    <mergeCell ref="C56:D56"/>
    <mergeCell ref="R56:R62"/>
    <mergeCell ref="AA56:AB56"/>
    <mergeCell ref="AG56:AG62"/>
    <mergeCell ref="C57:D57"/>
    <mergeCell ref="AA57:AB57"/>
    <mergeCell ref="C58:D58"/>
    <mergeCell ref="AA58:AB58"/>
    <mergeCell ref="C59:D59"/>
    <mergeCell ref="AA59:AB59"/>
    <mergeCell ref="C60:D60"/>
    <mergeCell ref="AA60:AB60"/>
    <mergeCell ref="C61:D61"/>
    <mergeCell ref="AA61:AB61"/>
    <mergeCell ref="C62:D62"/>
    <mergeCell ref="AA62:AB62"/>
    <mergeCell ref="A48:A55"/>
    <mergeCell ref="C48:D48"/>
    <mergeCell ref="R48:R55"/>
    <mergeCell ref="AA48:AB48"/>
    <mergeCell ref="AA54:AB54"/>
    <mergeCell ref="C55:D55"/>
    <mergeCell ref="AA55:AB55"/>
    <mergeCell ref="AG48:AG55"/>
    <mergeCell ref="C49:D49"/>
    <mergeCell ref="AA49:AB49"/>
    <mergeCell ref="C50:D50"/>
    <mergeCell ref="AA50:AB50"/>
    <mergeCell ref="AA51:AB51"/>
    <mergeCell ref="AA52:AB52"/>
    <mergeCell ref="C53:D53"/>
    <mergeCell ref="AA53:AB53"/>
    <mergeCell ref="C54:D54"/>
    <mergeCell ref="AG36:AG43"/>
    <mergeCell ref="C37:D37"/>
    <mergeCell ref="AA37:AB37"/>
    <mergeCell ref="C38:D38"/>
    <mergeCell ref="AA38:AB38"/>
    <mergeCell ref="C39:D39"/>
    <mergeCell ref="AA39:AB39"/>
    <mergeCell ref="C40:D40"/>
    <mergeCell ref="AA40:AB40"/>
    <mergeCell ref="C41:D41"/>
    <mergeCell ref="A44:A47"/>
    <mergeCell ref="C44:D44"/>
    <mergeCell ref="R44:R47"/>
    <mergeCell ref="AA44:AB44"/>
    <mergeCell ref="AG44:AG47"/>
    <mergeCell ref="C45:D45"/>
    <mergeCell ref="AA45:AB45"/>
    <mergeCell ref="C46:D46"/>
    <mergeCell ref="AA46:AB46"/>
    <mergeCell ref="C47:D47"/>
    <mergeCell ref="AA47:AB47"/>
    <mergeCell ref="A36:A43"/>
    <mergeCell ref="C36:D36"/>
    <mergeCell ref="R36:R43"/>
    <mergeCell ref="AA36:AB36"/>
    <mergeCell ref="AA41:AB41"/>
    <mergeCell ref="C42:D42"/>
    <mergeCell ref="AA42:AB42"/>
    <mergeCell ref="C43:D43"/>
    <mergeCell ref="AA43:AB43"/>
    <mergeCell ref="A28:A35"/>
    <mergeCell ref="C28:D28"/>
    <mergeCell ref="R28:R35"/>
    <mergeCell ref="AA28:AB28"/>
    <mergeCell ref="AA33:AB33"/>
    <mergeCell ref="C34:D34"/>
    <mergeCell ref="AA34:AB34"/>
    <mergeCell ref="AG28:AG35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C35:D35"/>
    <mergeCell ref="AA35:AB35"/>
    <mergeCell ref="A20:A27"/>
    <mergeCell ref="C20:D20"/>
    <mergeCell ref="R20:R27"/>
    <mergeCell ref="AA20:AB20"/>
    <mergeCell ref="AA25:AB25"/>
    <mergeCell ref="C26:D26"/>
    <mergeCell ref="A12:A19"/>
    <mergeCell ref="AG20:AG27"/>
    <mergeCell ref="C21:D21"/>
    <mergeCell ref="AA21:AB21"/>
    <mergeCell ref="C22:D22"/>
    <mergeCell ref="AA22:AB22"/>
    <mergeCell ref="C23:D23"/>
    <mergeCell ref="AA23:AB23"/>
    <mergeCell ref="C24:D24"/>
    <mergeCell ref="AA24:AB24"/>
    <mergeCell ref="C25:D25"/>
    <mergeCell ref="AA26:AB26"/>
    <mergeCell ref="C27:D27"/>
    <mergeCell ref="AA27:AB27"/>
    <mergeCell ref="C13:D13"/>
    <mergeCell ref="AA13:AB13"/>
    <mergeCell ref="C14:D14"/>
    <mergeCell ref="AA14:AB14"/>
    <mergeCell ref="C15:D15"/>
    <mergeCell ref="AA15:AB15"/>
    <mergeCell ref="AG9:AG11"/>
    <mergeCell ref="C10:D10"/>
    <mergeCell ref="AA10:AB10"/>
    <mergeCell ref="C11:D11"/>
    <mergeCell ref="AA11:AB11"/>
    <mergeCell ref="C12:D12"/>
    <mergeCell ref="R12:R19"/>
    <mergeCell ref="AA12:AB12"/>
    <mergeCell ref="AG12:AG19"/>
    <mergeCell ref="C16:D16"/>
    <mergeCell ref="AA16:AB16"/>
    <mergeCell ref="C19:D19"/>
    <mergeCell ref="AA19:AB19"/>
    <mergeCell ref="A9:A11"/>
    <mergeCell ref="C9:D9"/>
    <mergeCell ref="R9:R11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</mergeCells>
  <phoneticPr fontId="3" type="noConversion"/>
  <conditionalFormatting sqref="O55:O56 O59:O69 O5:O9 O11:O13 O19:O53">
    <cfRule type="cellIs" dxfId="1478" priority="48" operator="greaterThan">
      <formula>0</formula>
    </cfRule>
  </conditionalFormatting>
  <conditionalFormatting sqref="P5:P7 P59:P61 AE59:AE61 P63:P68 P28:P34 P56 P9 P11:P13 P20:P26 P48:P53 P36:P46 AE5:AE56 AE63:AE69">
    <cfRule type="cellIs" dxfId="1477" priority="52" operator="lessThan">
      <formula>0</formula>
    </cfRule>
  </conditionalFormatting>
  <conditionalFormatting sqref="AF59:AF61 Q55:Q56 Q59:Q69 Q5:Q9 Q11:Q13 Q19:Q53 AF5:AF56 AF63:AF69">
    <cfRule type="cellIs" dxfId="1476" priority="49" operator="greaterThan">
      <formula>1</formula>
    </cfRule>
    <cfRule type="cellIs" dxfId="1475" priority="50" operator="lessThan">
      <formula>0.8</formula>
    </cfRule>
  </conditionalFormatting>
  <conditionalFormatting sqref="AG12:AG13 R12:R13 AG59 R19:R25 AG19:AG25 AG55:AG56 R55:R56 R59:R69 AG5:AG9 R5:R9 AG27:AG53 R27:R53">
    <cfRule type="cellIs" dxfId="1474" priority="54" operator="lessThan">
      <formula>0.8</formula>
    </cfRule>
  </conditionalFormatting>
  <conditionalFormatting sqref="AG44">
    <cfRule type="cellIs" dxfId="1473" priority="56" operator="lessThan">
      <formula>0.8</formula>
    </cfRule>
  </conditionalFormatting>
  <conditionalFormatting sqref="AG20:AG25">
    <cfRule type="cellIs" dxfId="1472" priority="53" operator="lessThan">
      <formula>0.8</formula>
    </cfRule>
  </conditionalFormatting>
  <conditionalFormatting sqref="AG28">
    <cfRule type="cellIs" dxfId="1471" priority="55" operator="lessThan">
      <formula>0.8</formula>
    </cfRule>
  </conditionalFormatting>
  <conditionalFormatting sqref="AG36:AG42">
    <cfRule type="cellIs" dxfId="1470" priority="51" operator="lessThan">
      <formula>0.8</formula>
    </cfRule>
  </conditionalFormatting>
  <conditionalFormatting sqref="AE62">
    <cfRule type="cellIs" dxfId="1469" priority="47" operator="lessThan">
      <formula>0</formula>
    </cfRule>
  </conditionalFormatting>
  <conditionalFormatting sqref="AF62">
    <cfRule type="cellIs" dxfId="1468" priority="45" operator="greaterThan">
      <formula>1</formula>
    </cfRule>
    <cfRule type="cellIs" dxfId="1467" priority="46" operator="lessThan">
      <formula>0.8</formula>
    </cfRule>
  </conditionalFormatting>
  <conditionalFormatting sqref="O14:O15">
    <cfRule type="cellIs" dxfId="1466" priority="40" operator="greaterThan">
      <formula>0</formula>
    </cfRule>
  </conditionalFormatting>
  <conditionalFormatting sqref="P14:P15">
    <cfRule type="cellIs" dxfId="1465" priority="43" operator="lessThan">
      <formula>0</formula>
    </cfRule>
  </conditionalFormatting>
  <conditionalFormatting sqref="Q14:Q15">
    <cfRule type="cellIs" dxfId="1464" priority="41" operator="greaterThan">
      <formula>1</formula>
    </cfRule>
    <cfRule type="cellIs" dxfId="1463" priority="42" operator="lessThan">
      <formula>0.8</formula>
    </cfRule>
  </conditionalFormatting>
  <conditionalFormatting sqref="R14:R15 AG14:AG15">
    <cfRule type="cellIs" dxfId="1462" priority="44" operator="lessThan">
      <formula>0.8</formula>
    </cfRule>
  </conditionalFormatting>
  <conditionalFormatting sqref="O10">
    <cfRule type="cellIs" dxfId="1461" priority="36" operator="greaterThan">
      <formula>0</formula>
    </cfRule>
  </conditionalFormatting>
  <conditionalFormatting sqref="P10">
    <cfRule type="cellIs" dxfId="1460" priority="39" operator="lessThan">
      <formula>0</formula>
    </cfRule>
  </conditionalFormatting>
  <conditionalFormatting sqref="Q10">
    <cfRule type="cellIs" dxfId="1459" priority="37" operator="greaterThan">
      <formula>1</formula>
    </cfRule>
    <cfRule type="cellIs" dxfId="1458" priority="38" operator="lessThan">
      <formula>0.8</formula>
    </cfRule>
  </conditionalFormatting>
  <conditionalFormatting sqref="O54">
    <cfRule type="cellIs" dxfId="1457" priority="31" operator="greaterThan">
      <formula>0</formula>
    </cfRule>
  </conditionalFormatting>
  <conditionalFormatting sqref="P54">
    <cfRule type="cellIs" dxfId="1456" priority="34" operator="lessThan">
      <formula>0</formula>
    </cfRule>
  </conditionalFormatting>
  <conditionalFormatting sqref="Q54">
    <cfRule type="cellIs" dxfId="1455" priority="32" operator="greaterThan">
      <formula>1</formula>
    </cfRule>
    <cfRule type="cellIs" dxfId="1454" priority="33" operator="lessThan">
      <formula>0.8</formula>
    </cfRule>
  </conditionalFormatting>
  <conditionalFormatting sqref="R54 AG54">
    <cfRule type="cellIs" dxfId="1453" priority="35" operator="lessThan">
      <formula>0.8</formula>
    </cfRule>
  </conditionalFormatting>
  <conditionalFormatting sqref="O58">
    <cfRule type="cellIs" dxfId="1452" priority="26" operator="greaterThan">
      <formula>0</formula>
    </cfRule>
  </conditionalFormatting>
  <conditionalFormatting sqref="P58 AE58">
    <cfRule type="cellIs" dxfId="1451" priority="29" operator="lessThan">
      <formula>0</formula>
    </cfRule>
  </conditionalFormatting>
  <conditionalFormatting sqref="Q58 AF58">
    <cfRule type="cellIs" dxfId="1450" priority="27" operator="greaterThan">
      <formula>1</formula>
    </cfRule>
    <cfRule type="cellIs" dxfId="1449" priority="28" operator="lessThan">
      <formula>0.8</formula>
    </cfRule>
  </conditionalFormatting>
  <conditionalFormatting sqref="R58 AG58">
    <cfRule type="cellIs" dxfId="1448" priority="30" operator="lessThan">
      <formula>0.8</formula>
    </cfRule>
  </conditionalFormatting>
  <conditionalFormatting sqref="O16:O17">
    <cfRule type="cellIs" dxfId="1447" priority="21" operator="greaterThan">
      <formula>0</formula>
    </cfRule>
  </conditionalFormatting>
  <conditionalFormatting sqref="P16:P17">
    <cfRule type="cellIs" dxfId="1446" priority="24" operator="lessThan">
      <formula>0</formula>
    </cfRule>
  </conditionalFormatting>
  <conditionalFormatting sqref="Q16:Q17">
    <cfRule type="cellIs" dxfId="1445" priority="22" operator="greaterThan">
      <formula>1</formula>
    </cfRule>
    <cfRule type="cellIs" dxfId="1444" priority="23" operator="lessThan">
      <formula>0.8</formula>
    </cfRule>
  </conditionalFormatting>
  <conditionalFormatting sqref="R16:R17 AG16:AG17">
    <cfRule type="cellIs" dxfId="1443" priority="25" operator="lessThan">
      <formula>0.8</formula>
    </cfRule>
  </conditionalFormatting>
  <conditionalFormatting sqref="R26 AG26">
    <cfRule type="cellIs" dxfId="1442" priority="20" operator="lessThan">
      <formula>0.8</formula>
    </cfRule>
  </conditionalFormatting>
  <conditionalFormatting sqref="AG26">
    <cfRule type="cellIs" dxfId="1441" priority="19" operator="lessThan">
      <formula>0.8</formula>
    </cfRule>
  </conditionalFormatting>
  <conditionalFormatting sqref="O57">
    <cfRule type="cellIs" dxfId="1440" priority="14" operator="greaterThan">
      <formula>0</formula>
    </cfRule>
  </conditionalFormatting>
  <conditionalFormatting sqref="P57 AE57">
    <cfRule type="cellIs" dxfId="1439" priority="17" operator="lessThan">
      <formula>0</formula>
    </cfRule>
  </conditionalFormatting>
  <conditionalFormatting sqref="Q57 AF57">
    <cfRule type="cellIs" dxfId="1438" priority="15" operator="greaterThan">
      <formula>1</formula>
    </cfRule>
    <cfRule type="cellIs" dxfId="1437" priority="16" operator="lessThan">
      <formula>0.8</formula>
    </cfRule>
  </conditionalFormatting>
  <conditionalFormatting sqref="R57 AG57">
    <cfRule type="cellIs" dxfId="1436" priority="18" operator="lessThan">
      <formula>0.8</formula>
    </cfRule>
  </conditionalFormatting>
  <conditionalFormatting sqref="O18">
    <cfRule type="cellIs" dxfId="1435" priority="9" operator="greaterThan">
      <formula>0</formula>
    </cfRule>
  </conditionalFormatting>
  <conditionalFormatting sqref="P18">
    <cfRule type="cellIs" dxfId="1434" priority="12" operator="lessThan">
      <formula>0</formula>
    </cfRule>
  </conditionalFormatting>
  <conditionalFormatting sqref="Q18">
    <cfRule type="cellIs" dxfId="1433" priority="10" operator="greaterThan">
      <formula>1</formula>
    </cfRule>
    <cfRule type="cellIs" dxfId="1432" priority="11" operator="lessThan">
      <formula>0.8</formula>
    </cfRule>
  </conditionalFormatting>
  <conditionalFormatting sqref="AG18 R18">
    <cfRule type="cellIs" dxfId="1431" priority="13" operator="lessThan">
      <formula>0.8</formula>
    </cfRule>
  </conditionalFormatting>
  <conditionalFormatting sqref="P8">
    <cfRule type="cellIs" dxfId="1430" priority="8" operator="lessThan">
      <formula>0</formula>
    </cfRule>
  </conditionalFormatting>
  <conditionalFormatting sqref="P19">
    <cfRule type="cellIs" dxfId="1429" priority="7" operator="lessThan">
      <formula>0</formula>
    </cfRule>
  </conditionalFormatting>
  <conditionalFormatting sqref="P27">
    <cfRule type="cellIs" dxfId="1428" priority="6" operator="lessThan">
      <formula>0</formula>
    </cfRule>
  </conditionalFormatting>
  <conditionalFormatting sqref="P35">
    <cfRule type="cellIs" dxfId="1427" priority="5" operator="lessThan">
      <formula>0</formula>
    </cfRule>
  </conditionalFormatting>
  <conditionalFormatting sqref="P47">
    <cfRule type="cellIs" dxfId="1426" priority="4" operator="lessThan">
      <formula>0</formula>
    </cfRule>
  </conditionalFormatting>
  <conditionalFormatting sqref="P55">
    <cfRule type="cellIs" dxfId="1425" priority="3" operator="lessThan">
      <formula>0</formula>
    </cfRule>
  </conditionalFormatting>
  <conditionalFormatting sqref="P62">
    <cfRule type="cellIs" dxfId="1424" priority="2" operator="lessThan">
      <formula>0</formula>
    </cfRule>
  </conditionalFormatting>
  <conditionalFormatting sqref="P69">
    <cfRule type="cellIs" dxfId="1423" priority="1" operator="lessThan">
      <formula>0</formula>
    </cfRule>
  </conditionalFormatting>
  <dataValidations count="1">
    <dataValidation type="list" allowBlank="1" showInputMessage="1" showErrorMessage="1" sqref="AB8 AA5:AB7 AB60:AB61 AA8:AA61 AB10:AB56 AA62:AB69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P7" sqref="P7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612" t="s">
        <v>1665</v>
      </c>
      <c r="C1" s="612"/>
      <c r="D1" s="612"/>
      <c r="E1" s="612"/>
      <c r="F1" s="612"/>
      <c r="G1" s="612"/>
      <c r="H1" s="612"/>
      <c r="I1" s="612"/>
      <c r="J1" s="612"/>
      <c r="K1" s="51"/>
      <c r="L1" s="51"/>
      <c r="M1" s="51"/>
      <c r="N1" s="51"/>
      <c r="O1" s="51"/>
      <c r="P1" s="51"/>
    </row>
    <row r="2" spans="2:17" ht="27.75" customHeight="1">
      <c r="B2" s="613"/>
      <c r="C2" s="613"/>
      <c r="D2" s="613"/>
      <c r="E2" s="613"/>
      <c r="F2" s="613"/>
      <c r="G2" s="613"/>
      <c r="H2" s="613"/>
      <c r="I2" s="613"/>
      <c r="J2" s="613"/>
      <c r="K2" s="53"/>
      <c r="L2" s="53"/>
      <c r="M2" s="53"/>
      <c r="N2" s="51"/>
      <c r="O2" s="51"/>
      <c r="P2" s="51"/>
    </row>
    <row r="3" spans="2:17" ht="46.5" customHeight="1">
      <c r="B3" s="54" t="s">
        <v>1860</v>
      </c>
      <c r="C3" s="614" t="str">
        <f>TEXT('0819 4度C'!A2,"yyyy.mm.ddaaaa")</f>
        <v>2026.08.19星期三</v>
      </c>
      <c r="D3" s="615"/>
      <c r="E3" s="54" t="s">
        <v>1861</v>
      </c>
      <c r="F3" s="616">
        <f>'0819 4度C'!D1</f>
        <v>174479</v>
      </c>
      <c r="G3" s="617"/>
      <c r="H3" s="54" t="s">
        <v>1862</v>
      </c>
      <c r="I3" s="618">
        <f>'0819 4度C'!F1</f>
        <v>6009167.1600000011</v>
      </c>
      <c r="J3" s="619"/>
      <c r="K3" s="55"/>
      <c r="L3" s="56"/>
      <c r="M3" s="57"/>
      <c r="N3" s="57"/>
    </row>
    <row r="4" spans="2:17" ht="28.5" customHeight="1">
      <c r="B4" s="620" t="s">
        <v>1863</v>
      </c>
      <c r="C4" s="606" t="s">
        <v>1864</v>
      </c>
      <c r="D4" s="607"/>
      <c r="E4" s="623" t="s">
        <v>1865</v>
      </c>
      <c r="F4" s="624"/>
      <c r="G4" s="623" t="s">
        <v>1866</v>
      </c>
      <c r="H4" s="624"/>
      <c r="I4" s="623" t="s">
        <v>1867</v>
      </c>
      <c r="J4" s="624"/>
      <c r="K4" s="604" t="s">
        <v>1868</v>
      </c>
      <c r="L4" s="605"/>
      <c r="M4" s="605" t="s">
        <v>1869</v>
      </c>
      <c r="N4" s="605"/>
    </row>
    <row r="5" spans="2:17" ht="28.5" customHeight="1">
      <c r="B5" s="621"/>
      <c r="C5" s="606" t="s">
        <v>1870</v>
      </c>
      <c r="D5" s="607"/>
      <c r="E5" s="606" t="s">
        <v>1871</v>
      </c>
      <c r="F5" s="607"/>
      <c r="G5" s="608" t="s">
        <v>1872</v>
      </c>
      <c r="H5" s="609"/>
      <c r="I5" s="610" t="s">
        <v>1873</v>
      </c>
      <c r="J5" s="611"/>
      <c r="K5" s="58" t="s">
        <v>1874</v>
      </c>
      <c r="L5" s="59" t="s">
        <v>1875</v>
      </c>
      <c r="M5" s="58" t="s">
        <v>1874</v>
      </c>
      <c r="N5" s="59" t="s">
        <v>1876</v>
      </c>
    </row>
    <row r="6" spans="2:17" ht="28.5" customHeight="1">
      <c r="B6" s="621"/>
      <c r="C6" s="606" t="s">
        <v>169</v>
      </c>
      <c r="D6" s="607"/>
      <c r="E6" s="598">
        <f>AVERAGE(D13:M13)</f>
        <v>154.97782706806032</v>
      </c>
      <c r="F6" s="599">
        <f>AVERAGE(D31:O31,D13:J13)</f>
        <v>161.94346061339868</v>
      </c>
      <c r="G6" s="600">
        <f>AVERAGE(D13:J13)</f>
        <v>161.94346061339868</v>
      </c>
      <c r="H6" s="601"/>
      <c r="I6" s="600">
        <f>AVERAGE(K13:M13)</f>
        <v>138.72468212893745</v>
      </c>
      <c r="J6" s="601"/>
      <c r="K6" s="602">
        <f>'0819 4度C'!Y2</f>
        <v>0</v>
      </c>
      <c r="L6" s="587">
        <f>'0819 4度C'!Z2</f>
        <v>0</v>
      </c>
      <c r="M6" s="603">
        <f>'0819 4度C'!AC2</f>
        <v>58</v>
      </c>
      <c r="N6" s="587">
        <f>'0819 4度C'!AD2</f>
        <v>0</v>
      </c>
    </row>
    <row r="7" spans="2:17" ht="28.5" customHeight="1">
      <c r="B7" s="621"/>
      <c r="C7" s="588" t="s">
        <v>170</v>
      </c>
      <c r="D7" s="589"/>
      <c r="E7" s="590">
        <f>AVERAGE(D14:M14)</f>
        <v>148.38540041178049</v>
      </c>
      <c r="F7" s="591">
        <f>AVERAGE(D32:O32,D14:J14)</f>
        <v>155.09982871410116</v>
      </c>
      <c r="G7" s="592">
        <f>AVERAGE(D14:J14)</f>
        <v>155.09982871410116</v>
      </c>
      <c r="H7" s="593"/>
      <c r="I7" s="592">
        <f>AVERAGE(K14:M14)</f>
        <v>132.71840103969893</v>
      </c>
      <c r="J7" s="593"/>
      <c r="K7" s="602"/>
      <c r="L7" s="587"/>
      <c r="M7" s="603"/>
      <c r="N7" s="587"/>
    </row>
    <row r="8" spans="2:17" ht="28.5" customHeight="1">
      <c r="B8" s="622"/>
      <c r="C8" s="588" t="s">
        <v>171</v>
      </c>
      <c r="D8" s="589"/>
      <c r="E8" s="594">
        <f>AVERAGE(D15:M15)</f>
        <v>0.95755261129981106</v>
      </c>
      <c r="F8" s="595">
        <f>AVERAGE(D15:J15,D33:O33)</f>
        <v>0.95792132479398195</v>
      </c>
      <c r="G8" s="596">
        <f>AVERAGE(D15:J15)</f>
        <v>0.95792132479398195</v>
      </c>
      <c r="H8" s="597"/>
      <c r="I8" s="596">
        <f>AVERAGE(K15:M15)</f>
        <v>0.95669227981341187</v>
      </c>
      <c r="J8" s="597"/>
      <c r="K8" s="602"/>
      <c r="L8" s="587"/>
      <c r="M8" s="603"/>
      <c r="N8" s="587"/>
    </row>
    <row r="9" spans="2:17" ht="28.5" customHeight="1" thickBot="1">
      <c r="H9" s="61"/>
      <c r="K9" s="62" t="s">
        <v>1877</v>
      </c>
      <c r="N9" s="57"/>
      <c r="O9" s="57"/>
      <c r="P9" s="57"/>
      <c r="Q9" s="57"/>
    </row>
    <row r="10" spans="2:17" ht="30" customHeight="1">
      <c r="B10" s="570" t="s">
        <v>1878</v>
      </c>
      <c r="C10" s="571"/>
      <c r="D10" s="572" t="s">
        <v>1879</v>
      </c>
      <c r="E10" s="573"/>
      <c r="F10" s="573"/>
      <c r="G10" s="573"/>
      <c r="H10" s="573"/>
      <c r="I10" s="573"/>
      <c r="J10" s="574"/>
      <c r="K10" s="575" t="s">
        <v>1880</v>
      </c>
      <c r="L10" s="576"/>
      <c r="M10" s="577"/>
      <c r="P10" s="63"/>
      <c r="Q10" s="63"/>
    </row>
    <row r="11" spans="2:17" ht="17.25" customHeight="1">
      <c r="B11" s="578" t="s">
        <v>1881</v>
      </c>
      <c r="C11" s="579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80"/>
      <c r="C12" s="581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582" t="s">
        <v>1882</v>
      </c>
      <c r="C13" s="70" t="s">
        <v>1883</v>
      </c>
      <c r="D13" s="71">
        <f>SUMIFS('0819 4度C'!$K:$K,'0819 4度C'!$A:$A,"新豐6線",'0819 4度C'!$B:$B,"平均")</f>
        <v>129.03225806451613</v>
      </c>
      <c r="E13" s="72">
        <f>SUMIFS('0819 4度C'!$K:$K,'0819 4度C'!$A:$A,"新豐2線",'0819 4度C'!$B:$B,"平均")</f>
        <v>83.333333333333329</v>
      </c>
      <c r="F13" s="73">
        <f>SUMIFS('0819 4度C'!$K:$K,'0819 4度C'!$A:$A,"新豐5線",'0819 4度C'!$B:$B,"平均")</f>
        <v>93.75</v>
      </c>
      <c r="G13" s="73">
        <f>SUMIFS('0819 4度C'!$K:$K,'0819 4度C'!$A:$A,"新豐7線",'0819 4度C'!$B:$B,"平均")</f>
        <v>123.89380530973452</v>
      </c>
      <c r="H13" s="73">
        <f>SUMIFS('0819 4度C'!$K:$K,'0819 4度C'!$A:$A,"新豐3線",'0819 4度C'!$B:$B,"平均")</f>
        <v>281.25</v>
      </c>
      <c r="I13" s="73">
        <f>SUMIFS('0819 4度C'!$K:$K,'0819 4度C'!$A:$A,"新豐1線",'0819 4度C'!$B:$B,"平均")</f>
        <v>112</v>
      </c>
      <c r="J13" s="74">
        <f>SUMIFS('0819 4度C'!$K:$K,'0819 4度C'!$A:$A,"新豐10線",'0819 4度C'!$B:$B,"平均")</f>
        <v>310.34482758620692</v>
      </c>
      <c r="K13" s="75">
        <f>SUMIFS('0819 4度C'!$K:$K,'0819 4度C'!$A:$A,"新豐8線",'0819 4度C'!$B:$B,"平均")</f>
        <v>151.35135135135135</v>
      </c>
      <c r="L13" s="76">
        <f>SUMIFS('0819 4度C'!$K:$K,'0819 4度C'!$A:$A,"新豐9線",'0819 4度C'!$B:$B,"平均")</f>
        <v>124.822695035461</v>
      </c>
      <c r="M13" s="74">
        <f>SUMIFS('0819 4度C'!$K:$K,'0819 4度C'!$A:$A,"新豐4線",'0819 4度C'!$B:$B,"平均")</f>
        <v>140</v>
      </c>
    </row>
    <row r="14" spans="2:17" ht="39.6" customHeight="1">
      <c r="B14" s="583"/>
      <c r="C14" s="77" t="s">
        <v>1884</v>
      </c>
      <c r="D14" s="78">
        <f>SUMIFS('0819 4度C'!$N:$N,'0819 4度C'!$A:$A,"新豐6線",'0819 4度C'!$B:$B,"平均")</f>
        <v>123.98738030838793</v>
      </c>
      <c r="E14" s="79">
        <f>SUMIFS('0819 4度C'!$N:$N,'0819 4度C'!$A:$A,"新豐2線",'0819 4度C'!$B:$B,"平均")</f>
        <v>79.602025898078537</v>
      </c>
      <c r="F14" s="79">
        <f>SUMIFS('0819 4度C'!$N:$N,'0819 4度C'!$A:$A,"新豐5線",'0819 4度C'!$B:$B,"平均")</f>
        <v>89.827158676222169</v>
      </c>
      <c r="G14" s="79">
        <f>SUMIFS('0819 4度C'!$N:$N,'0819 4度C'!$A:$A,"新豐7線",'0819 4度C'!$B:$B,"平均")</f>
        <v>118.98634125565457</v>
      </c>
      <c r="H14" s="79">
        <f>SUMIFS('0819 4度C'!$N:$N,'0819 4度C'!$A:$A,"新豐3線",'0819 4度C'!$B:$B,"平均")</f>
        <v>267.69394992705998</v>
      </c>
      <c r="I14" s="79">
        <f>SUMIFS('0819 4度C'!$N:$N,'0819 4度C'!$A:$A,"新豐1線",'0819 4度C'!$B:$B,"平均")</f>
        <v>107.25532532846819</v>
      </c>
      <c r="J14" s="80">
        <f>SUMIFS('0819 4度C'!$N:$N,'0819 4度C'!$A:$A,"新豐10線",'0819 4度C'!$B:$B,"平均")</f>
        <v>298.34661960483663</v>
      </c>
      <c r="K14" s="81">
        <f>SUMIFS('0819 4度C'!$N:$N,'0819 4度C'!$A:$A,"新豐8線",'0819 4度C'!$B:$B,"平均")</f>
        <v>144.66998661780434</v>
      </c>
      <c r="L14" s="82">
        <f>SUMIFS('0819 4度C'!$N:$N,'0819 4度C'!$A:$A,"新豐9線",'0819 4度C'!$B:$B,"平均")</f>
        <v>119.30006533651337</v>
      </c>
      <c r="M14" s="80">
        <f>SUMIFS('0819 4度C'!$N:$N,'0819 4度C'!$A:$A,"新豐4線",'0819 4度C'!$B:$B,"平均")</f>
        <v>134.18515116477906</v>
      </c>
    </row>
    <row r="15" spans="2:17" ht="40.15" customHeight="1">
      <c r="B15" s="584"/>
      <c r="C15" s="83" t="s">
        <v>1885</v>
      </c>
      <c r="D15" s="84">
        <f t="shared" ref="D15:M15" si="0">D14/D13</f>
        <v>0.96090219739000649</v>
      </c>
      <c r="E15" s="85">
        <f t="shared" si="0"/>
        <v>0.95522431077694248</v>
      </c>
      <c r="F15" s="85">
        <f t="shared" si="0"/>
        <v>0.95815635921303643</v>
      </c>
      <c r="G15" s="85">
        <f t="shared" si="0"/>
        <v>0.96038975442064034</v>
      </c>
      <c r="H15" s="85">
        <f t="shared" si="0"/>
        <v>0.95180071085176876</v>
      </c>
      <c r="I15" s="85">
        <f t="shared" si="0"/>
        <v>0.95763683328989457</v>
      </c>
      <c r="J15" s="86">
        <f t="shared" si="0"/>
        <v>0.96133910761558461</v>
      </c>
      <c r="K15" s="84">
        <f t="shared" si="0"/>
        <v>0.95585526872477866</v>
      </c>
      <c r="L15" s="85">
        <f t="shared" si="0"/>
        <v>0.95575620525274918</v>
      </c>
      <c r="M15" s="86">
        <f t="shared" si="0"/>
        <v>0.95846536546270755</v>
      </c>
    </row>
    <row r="16" spans="2:17" ht="17.25" customHeight="1">
      <c r="B16" s="585" t="s">
        <v>1886</v>
      </c>
      <c r="C16" s="87" t="s">
        <v>1887</v>
      </c>
      <c r="D16" s="88">
        <f>VLOOKUP("新豐6線",'0819 4度C'!$A:$T,19,0)</f>
        <v>0.70833333333333337</v>
      </c>
      <c r="E16" s="89">
        <f>VLOOKUP("新豐2線",'0819 4度C'!$A:$T,19,0)</f>
        <v>8.3333333333333329E-2</v>
      </c>
      <c r="F16" s="89">
        <f>VLOOKUP("新豐5線",'0819 4度C'!$A:$T,19,0)</f>
        <v>0.20833333333333334</v>
      </c>
      <c r="G16" s="89">
        <f>VLOOKUP("新豐7線",'0819 4度C'!$A:$T,19,0)</f>
        <v>0.20833333333333334</v>
      </c>
      <c r="H16" s="89">
        <f>VLOOKUP("新豐3線",'0819 4度C'!$A:$T,19,0)</f>
        <v>0.20833333333333334</v>
      </c>
      <c r="I16" s="89">
        <f>VLOOKUP("新豐1線",'0819 4度C'!$A:$T,19,0)</f>
        <v>0.20833333333333334</v>
      </c>
      <c r="J16" s="90">
        <f>VLOOKUP("新豐10線",'0819 4度C'!$A:$T,19,0)</f>
        <v>0.20833333333333334</v>
      </c>
      <c r="K16" s="91">
        <f>VLOOKUP("新豐8線",'0819 4度C'!$A:$T,19,0)</f>
        <v>8.3333333333333329E-2</v>
      </c>
      <c r="L16" s="92">
        <f>VLOOKUP("新豐9線",'0819 4度C'!$A:$T,19,0)</f>
        <v>8.3333333333333329E-2</v>
      </c>
      <c r="M16" s="93">
        <f>VLOOKUP("新豐4線",'0819 4度C'!$A:$T,19,0)</f>
        <v>8.3333333333333329E-2</v>
      </c>
    </row>
    <row r="17" spans="2:13" ht="17.25" customHeight="1">
      <c r="B17" s="586"/>
      <c r="C17" s="87" t="s">
        <v>1888</v>
      </c>
      <c r="D17" s="91">
        <f>LOOKUP(2,1/(('0819 4度C'!$A:$A="新豐6線")*('0819 4度C'!$T:$T&lt;&gt;"")),'0819 4度C'!$T:$T)</f>
        <v>0.90138888888888891</v>
      </c>
      <c r="E17" s="89">
        <f>LOOKUP(2,1/(('0819 4度C'!$A:$A="新豐2線")*('0819 4度C'!$T:$T&lt;&gt;"")),'0819 4度C'!$T:$T)</f>
        <v>0.4194444444444444</v>
      </c>
      <c r="F17" s="89">
        <f>LOOKUP(2,1/(('0819 4度C'!$A:$A="新豐5線")*('0819 4度C'!$T:$T&lt;&gt;"")),'0819 4度C'!$T:$T)</f>
        <v>0.84166666666666667</v>
      </c>
      <c r="G17" s="89">
        <f>LOOKUP(2,1/(('0819 4度C'!$A:$A="新豐7線")*('0819 4度C'!$T:$T&lt;&gt;"")),'0819 4度C'!$T:$T)</f>
        <v>0.84444444444444444</v>
      </c>
      <c r="H17" s="89">
        <f>LOOKUP(2,1/(('0819 4度C'!$A:$A="新豐3線")*('0819 4度C'!$T:$T&lt;&gt;"")),'0819 4度C'!$T:$T)</f>
        <v>0.44652777777777775</v>
      </c>
      <c r="I17" s="89">
        <f>LOOKUP(2,1/(('0819 4度C'!$A:$A="新豐1線")*('0819 4度C'!$T:$T&lt;&gt;"")),'0819 4度C'!$T:$T)</f>
        <v>0.82500000000000007</v>
      </c>
      <c r="J17" s="90">
        <f>LOOKUP(2,1/(('0819 4度C'!$A:$A="新豐10線")*('0819 4度C'!$T:$T&lt;&gt;"")),'0819 4度C'!$T:$T)</f>
        <v>0.4187499999999999</v>
      </c>
      <c r="K17" s="88">
        <f>LOOKUP(2,1/(('0819 4度C'!$A:$A="新豐8線")*('0819 4度C'!$T:$T&lt;&gt;"")),'0819 4度C'!$T:$T)</f>
        <v>0.67916666666666647</v>
      </c>
      <c r="L17" s="89">
        <f>LOOKUP(2,1/(('0819 4度C'!$A:$A="新豐9線")*('0819 4度C'!$T:$T&lt;&gt;"")),'0819 4度C'!$T:$T)</f>
        <v>0.73749999999999982</v>
      </c>
      <c r="M17" s="90">
        <f>LOOKUP(2,1/(('0819 4度C'!$A:$A="新豐4線")*('0819 4度C'!$T:$T&lt;&gt;"")),'0819 4度C'!$T:$T)</f>
        <v>0.66388888888888886</v>
      </c>
    </row>
    <row r="18" spans="2:13" ht="17.25" customHeight="1">
      <c r="B18" s="564" t="s">
        <v>1889</v>
      </c>
      <c r="C18" s="94" t="s">
        <v>1890</v>
      </c>
      <c r="D18" s="95">
        <f>SUMIFS('0819 4度C'!$Y:$Y,'0819 4度C'!$A:$A,"新豐6線",'0819 4度C'!$B:$B,"平均")</f>
        <v>0</v>
      </c>
      <c r="E18" s="96">
        <f>SUMIFS('0819 4度C'!$Y:$Y,'0819 4度C'!$A:$A,"新豐2線",'0819 4度C'!$B:$B,"平均")</f>
        <v>0</v>
      </c>
      <c r="F18" s="96">
        <f>SUMIFS('0819 4度C'!$Y:$Y,'0819 4度C'!$A:$A,"新豐5線",'0819 4度C'!$B:$B,"平均")</f>
        <v>0</v>
      </c>
      <c r="G18" s="96">
        <f>SUMIFS('0819 4度C'!$Y:$Y,'0819 4度C'!$A:$A,"新豐7線",'0819 4度C'!$B:$B,"平均")</f>
        <v>0</v>
      </c>
      <c r="H18" s="96">
        <f>SUMIFS('0819 4度C'!$Y:$Y,'0819 4度C'!$A:$A,"新豐3線",'0819 4度C'!$B:$B,"平均")</f>
        <v>0</v>
      </c>
      <c r="I18" s="96">
        <f>SUMIFS('0819 4度C'!$Y:$Y,'0819 4度C'!$A:$A,"新豐1線",'0819 4度C'!$B:$B,"平均")</f>
        <v>0</v>
      </c>
      <c r="J18" s="97">
        <f>SUMIFS('0819 4度C'!$Y:$Y,'0819 4度C'!$A:$A,"新豐10線",'0819 4度C'!$B:$B,"平均")</f>
        <v>0</v>
      </c>
      <c r="K18" s="98">
        <f>SUMIFS('0819 4度C'!$Y:$Y,'0819 4度C'!$A:$A,"新豐8線",'0819 4度C'!$B:$B,"平均")</f>
        <v>0</v>
      </c>
      <c r="L18" s="96">
        <f>SUMIFS('0819 4度C'!$Y:$Y,'0819 4度C'!$A:$A,"新豐9線",'0819 4度C'!$B:$B,"平均")</f>
        <v>0</v>
      </c>
      <c r="M18" s="97">
        <f>SUMIFS('0819 4度C'!$Y:$Y,'0819 4度C'!$A:$A,"新豐4線",'0819 4度C'!$B:$B,"平均")</f>
        <v>0</v>
      </c>
    </row>
    <row r="19" spans="2:13" ht="17.25" customHeight="1">
      <c r="B19" s="565"/>
      <c r="C19" s="94" t="s">
        <v>1891</v>
      </c>
      <c r="D19" s="95">
        <f>SUMIFS('0819 4度C'!$Z:$Z,'0819 4度C'!$A:$A,"新豐6線",'0819 4度C'!$B:$B,"平均")</f>
        <v>0</v>
      </c>
      <c r="E19" s="96">
        <f>SUMIFS('0819 4度C'!$Z:$Z,'0819 4度C'!$A:$A,"新豐2線",'0819 4度C'!$B:$B,"平均")</f>
        <v>0</v>
      </c>
      <c r="F19" s="96">
        <f>SUMIFS('0819 4度C'!$Z:$Z,'0819 4度C'!$A:$A,"新豐5線",'0819 4度C'!$B:$B,"平均")</f>
        <v>0</v>
      </c>
      <c r="G19" s="96">
        <f>SUMIFS('0819 4度C'!$Z:$Z,'0819 4度C'!$A:$A,"新豐7線",'0819 4度C'!$B:$B,"平均")</f>
        <v>0</v>
      </c>
      <c r="H19" s="96">
        <f>SUMIFS('0819 4度C'!$Z:$Z,'0819 4度C'!$A:$A,"新豐3線",'0819 4度C'!$B:$B,"平均")</f>
        <v>0</v>
      </c>
      <c r="I19" s="96">
        <f>SUMIFS('0819 4度C'!$Z:$Z,'0819 4度C'!$A:$A,"新豐1線",'0819 4度C'!$B:$B,"平均")</f>
        <v>0</v>
      </c>
      <c r="J19" s="97">
        <f>SUMIFS('0819 4度C'!$Z:$Z,'0819 4度C'!$A:$A,"新豐10線",'0819 4度C'!$B:$B,"平均")</f>
        <v>0</v>
      </c>
      <c r="K19" s="98">
        <f>SUMIFS('0819 4度C'!$Z:$Z,'0819 4度C'!$A:$A,"新豐8線",'0819 4度C'!$B:$B,"平均")</f>
        <v>0</v>
      </c>
      <c r="L19" s="96">
        <f>SUMIFS('0819 4度C'!$Z:$Z,'0819 4度C'!$A:$A,"新豐9線",'0819 4度C'!$B:$B,"平均")</f>
        <v>0</v>
      </c>
      <c r="M19" s="97">
        <f>SUMIFS('0819 4度C'!$Z:$Z,'0819 4度C'!$A:$A,"新豐4線",'0819 4度C'!$B:$B,"平均")</f>
        <v>0</v>
      </c>
    </row>
    <row r="20" spans="2:13" ht="17.25" customHeight="1">
      <c r="B20" s="564" t="s">
        <v>1892</v>
      </c>
      <c r="C20" s="94" t="s">
        <v>1890</v>
      </c>
      <c r="D20" s="95">
        <f>SUMIFS('0819 4度C'!$AC:$AC,'0819 4度C'!$A:$A,"新豐6線",'0819 4度C'!$B:$B,"平均")</f>
        <v>4</v>
      </c>
      <c r="E20" s="96">
        <f>SUMIFS('0819 4度C'!$AC:$AC,'0819 4度C'!$A:$A,"新豐2線",'0819 4度C'!$B:$B,"平均")</f>
        <v>2</v>
      </c>
      <c r="F20" s="96">
        <f>SUMIFS('0819 4度C'!$AC:$AC,'0819 4度C'!$A:$A,"新豐5線",'0819 4度C'!$B:$B,"平均")</f>
        <v>7</v>
      </c>
      <c r="G20" s="96">
        <f>SUMIFS('0819 4度C'!$AC:$AC,'0819 4度C'!$A:$A,"新豐7線",'0819 4度C'!$B:$B,"平均")</f>
        <v>7</v>
      </c>
      <c r="H20" s="96">
        <f>SUMIFS('0819 4度C'!$AC:$AC,'0819 4度C'!$A:$A,"新豐3線",'0819 4度C'!$B:$B,"平均")</f>
        <v>3</v>
      </c>
      <c r="I20" s="96">
        <f>SUMIFS('0819 4度C'!$AC:$AC,'0819 4度C'!$A:$A,"新豐1線",'0819 4度C'!$B:$B,"平均")</f>
        <v>7</v>
      </c>
      <c r="J20" s="97">
        <f>SUMIFS('0819 4度C'!$AC:$AC,'0819 4度C'!$A:$A,"新豐10線",'0819 4度C'!$B:$B,"平均")</f>
        <v>6</v>
      </c>
      <c r="K20" s="98">
        <f>SUMIFS('0819 4度C'!$AC:$AC,'0819 4度C'!$A:$A,"新豐8線",'0819 4度C'!$B:$B,"平均")</f>
        <v>7</v>
      </c>
      <c r="L20" s="96">
        <f>SUMIFS('0819 4度C'!$AC:$AC,'0819 4度C'!$A:$A,"新豐9線",'0819 4度C'!$B:$B,"平均")</f>
        <v>8</v>
      </c>
      <c r="M20" s="97">
        <f>SUMIFS('0819 4度C'!$AC:$AC,'0819 4度C'!$A:$A,"新豐4線",'0819 4度C'!$B:$B,"平均")</f>
        <v>7</v>
      </c>
    </row>
    <row r="21" spans="2:13" ht="17.25" customHeight="1">
      <c r="B21" s="565"/>
      <c r="C21" s="94" t="s">
        <v>1893</v>
      </c>
      <c r="D21" s="95">
        <f>SUMIFS('0819 4度C'!$AD:$AD,'0819 4度C'!$A:$A,"新豐6線",'0819 4度C'!$B:$B,"平均")</f>
        <v>0</v>
      </c>
      <c r="E21" s="96">
        <f>SUMIFS('0819 4度C'!$AD:$AD,'0819 4度C'!$A:$A,"新豐2線",'0819 4度C'!$B:$B,"平均")</f>
        <v>0</v>
      </c>
      <c r="F21" s="96">
        <f>SUMIFS('0819 4度C'!$AD:$AD,'0819 4度C'!$A:$A,"新豐5線",'0819 4度C'!$B:$B,"平均")</f>
        <v>0</v>
      </c>
      <c r="G21" s="96">
        <f>SUMIFS('0819 4度C'!$AD:$AD,'0819 4度C'!$A:$A,"新豐7線",'0819 4度C'!$B:$B,"平均")</f>
        <v>0</v>
      </c>
      <c r="H21" s="96">
        <f>SUMIFS('0819 4度C'!$AD:$AD,'0819 4度C'!$A:$A,"新豐3線",'0819 4度C'!$B:$B,"平均")</f>
        <v>0</v>
      </c>
      <c r="I21" s="96">
        <f>SUMIFS('0819 4度C'!$AD:$AD,'0819 4度C'!$A:$A,"新豐1線",'0819 4度C'!$B:$B,"平均")</f>
        <v>0</v>
      </c>
      <c r="J21" s="97">
        <f>SUMIFS('0819 4度C'!$AD:$AD,'0819 4度C'!$A:$A,"新豐10線",'0819 4度C'!$B:$B,"平均")</f>
        <v>0</v>
      </c>
      <c r="K21" s="98">
        <f>SUMIFS('0819 4度C'!$AD:$AD,'0819 4度C'!$A:$A,"新豐8線",'0819 4度C'!$B:$B,"平均")</f>
        <v>0</v>
      </c>
      <c r="L21" s="96">
        <f>SUMIFS('0819 4度C'!$AD:$AD,'0819 4度C'!$A:$A,"新豐9線",'0819 4度C'!$B:$B,"平均")</f>
        <v>0</v>
      </c>
      <c r="M21" s="97">
        <f>SUMIFS('0819 4度C'!$AD:$AD,'0819 4度C'!$A:$A,"新豐4線",'0819 4度C'!$B:$B,"平均")</f>
        <v>0</v>
      </c>
    </row>
    <row r="22" spans="2:13" ht="17.25" customHeight="1">
      <c r="B22" s="566" t="s">
        <v>1894</v>
      </c>
      <c r="C22" s="567"/>
      <c r="D22" s="99">
        <f>SUMIFS('0819 4度C'!$I:$I,'0819 4度C'!$A:$A,"新豐6線",'0819 4度C'!$B:$B,"平均")</f>
        <v>15.5</v>
      </c>
      <c r="E22" s="100">
        <f>SUMIFS('0819 4度C'!$I:$I,'0819 4度C'!$A:$A,"新豐2線",'0819 4度C'!$B:$B,"平均")</f>
        <v>18</v>
      </c>
      <c r="F22" s="100">
        <f>SUMIFS('0819 4度C'!$I:$I,'0819 4度C'!$A:$A,"新豐5線",'0819 4度C'!$B:$B,"平均")</f>
        <v>18.285714285714285</v>
      </c>
      <c r="G22" s="100">
        <f>SUMIFS('0819 4度C'!$I:$I,'0819 4度C'!$A:$A,"新豐7線",'0819 4度C'!$B:$B,"平均")</f>
        <v>16.142857142857142</v>
      </c>
      <c r="H22" s="100">
        <f>SUMIFS('0819 4度C'!$I:$I,'0819 4度C'!$A:$A,"新豐3線",'0819 4度C'!$B:$B,"平均")</f>
        <v>10.666666666666666</v>
      </c>
      <c r="I22" s="100">
        <f>SUMIFS('0819 4度C'!$I:$I,'0819 4度C'!$A:$A,"新豐1線",'0819 4度C'!$B:$B,"平均")</f>
        <v>17.857142857142858</v>
      </c>
      <c r="J22" s="101">
        <f>SUMIFS('0819 4度C'!$I:$I,'0819 4度C'!$A:$A,"新豐10線",'0819 4度C'!$B:$B,"平均")</f>
        <v>9.6666666666666661</v>
      </c>
      <c r="K22" s="99">
        <f>SUMIFS('0819 4度C'!$I:$I,'0819 4度C'!$A:$A,"新豐8線",'0819 4度C'!$B:$B,"平均")</f>
        <v>15.857142857142858</v>
      </c>
      <c r="L22" s="100">
        <f>SUMIFS('0819 4度C'!$I:$I,'0819 4度C'!$A:$A,"新豐9線",'0819 4度C'!$B:$B,"平均")</f>
        <v>17.625</v>
      </c>
      <c r="M22" s="101">
        <f>SUMIFS('0819 4度C'!$I:$I,'0819 4度C'!$A:$A,"新豐4線",'0819 4度C'!$B:$B,"平均")</f>
        <v>17.142857142857142</v>
      </c>
    </row>
    <row r="23" spans="2:13" ht="17.25" customHeight="1">
      <c r="B23" s="566" t="s">
        <v>1895</v>
      </c>
      <c r="C23" s="567"/>
      <c r="D23" s="102" t="s">
        <v>202</v>
      </c>
      <c r="E23" s="103" t="s">
        <v>203</v>
      </c>
      <c r="F23" s="103" t="s">
        <v>1896</v>
      </c>
      <c r="G23" s="103" t="s">
        <v>253</v>
      </c>
      <c r="H23" s="103" t="s">
        <v>205</v>
      </c>
      <c r="I23" s="103" t="s">
        <v>202</v>
      </c>
      <c r="J23" s="104" t="s">
        <v>205</v>
      </c>
      <c r="K23" s="102" t="s">
        <v>1897</v>
      </c>
      <c r="L23" s="103" t="s">
        <v>1897</v>
      </c>
      <c r="M23" s="104" t="s">
        <v>1897</v>
      </c>
    </row>
    <row r="24" spans="2:13" ht="17.25" customHeight="1">
      <c r="B24" s="566" t="s">
        <v>1898</v>
      </c>
      <c r="C24" s="567"/>
      <c r="D24" s="102"/>
      <c r="E24" s="103"/>
      <c r="F24" s="103" t="s">
        <v>1899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68" t="s">
        <v>1900</v>
      </c>
      <c r="C25" s="569"/>
      <c r="D25" s="105"/>
      <c r="E25" s="106" t="s">
        <v>1901</v>
      </c>
      <c r="F25" s="562" t="s">
        <v>1902</v>
      </c>
      <c r="G25" s="563"/>
      <c r="H25" s="106" t="s">
        <v>1903</v>
      </c>
      <c r="I25" s="106" t="s">
        <v>1904</v>
      </c>
      <c r="J25" s="107" t="s">
        <v>1903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422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3"/>
  <sheetViews>
    <sheetView zoomScale="80" zoomScaleNormal="80" workbookViewId="0">
      <pane ySplit="4" topLeftCell="A5" activePane="bottomLeft" state="frozen"/>
      <selection activeCell="A8" sqref="A8"/>
      <selection pane="bottomLeft" activeCell="A5" sqref="A5:A9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41" customWidth="1"/>
    <col min="20" max="20" width="7.625" style="41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1905</v>
      </c>
      <c r="B1" s="1"/>
      <c r="C1" s="2" t="s">
        <v>1906</v>
      </c>
      <c r="D1" s="3">
        <f>SUM(F5:F72)</f>
        <v>174479</v>
      </c>
      <c r="E1" s="374" t="s">
        <v>2</v>
      </c>
      <c r="F1" s="1">
        <f>SUM(G5:G72)</f>
        <v>6009167.1600000011</v>
      </c>
      <c r="G1" s="1" t="s">
        <v>1907</v>
      </c>
      <c r="H1" s="5">
        <f>L9+L12+L49+L57+L20+L64+L36+L45+L28+L72</f>
        <v>156.74404761904762</v>
      </c>
      <c r="I1" s="676" t="s">
        <v>1908</v>
      </c>
      <c r="J1" s="676"/>
      <c r="K1" s="676"/>
      <c r="L1" s="676" t="s">
        <v>1909</v>
      </c>
      <c r="M1" s="676"/>
      <c r="N1" s="676"/>
      <c r="O1" s="676" t="s">
        <v>1910</v>
      </c>
      <c r="P1" s="676"/>
      <c r="Q1" s="676"/>
      <c r="R1" s="676"/>
      <c r="S1" s="676" t="s">
        <v>1911</v>
      </c>
      <c r="T1" s="676"/>
      <c r="U1" s="676"/>
      <c r="V1" s="676"/>
      <c r="W1" s="676"/>
      <c r="X1" s="676"/>
      <c r="Y1" s="6" t="s">
        <v>1912</v>
      </c>
      <c r="Z1" s="7" t="s">
        <v>1913</v>
      </c>
      <c r="AA1" s="677" t="s">
        <v>1914</v>
      </c>
      <c r="AB1" s="677"/>
      <c r="AC1" s="8" t="s">
        <v>1912</v>
      </c>
      <c r="AD1" s="7" t="s">
        <v>1915</v>
      </c>
      <c r="AE1" s="676" t="s">
        <v>1916</v>
      </c>
      <c r="AF1" s="678"/>
      <c r="AG1" s="678"/>
    </row>
    <row r="2" spans="1:33" ht="26.25" customHeight="1">
      <c r="A2" s="35">
        <v>46253</v>
      </c>
      <c r="B2" s="36" t="s">
        <v>583</v>
      </c>
      <c r="C2" s="2" t="s">
        <v>1882</v>
      </c>
      <c r="D2" s="10">
        <f>AVERAGE(N9,N12,N49,N57,N20,N64,N28,N36,N45,N72)</f>
        <v>148.38540041178049</v>
      </c>
      <c r="E2" s="11" t="s">
        <v>14</v>
      </c>
      <c r="F2" s="12">
        <f>F1/D1</f>
        <v>34.44063274090292</v>
      </c>
      <c r="G2" s="1" t="s">
        <v>1917</v>
      </c>
      <c r="H2" s="379">
        <f>COUNT(H5:H72)</f>
        <v>8</v>
      </c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14">
        <f>SUM(Y9+Y12+Y20+Y28+Y36+Y45+Y49+Y57+Y64+Y72)</f>
        <v>0</v>
      </c>
      <c r="Z2" s="14">
        <f>SUM(Z9+Z12+Z20+Z28+Z36+Z45+Z49+Z57+Z64+Z72)</f>
        <v>0</v>
      </c>
      <c r="AA2" s="677"/>
      <c r="AB2" s="677"/>
      <c r="AC2" s="14">
        <v>58</v>
      </c>
      <c r="AD2" s="14">
        <f>SUM(AD9+AD12+AD20+AD28+AD36+AD45+AD49+AD57+AD64+AD72)</f>
        <v>0</v>
      </c>
      <c r="AE2" s="678"/>
      <c r="AF2" s="678"/>
      <c r="AG2" s="678"/>
    </row>
    <row r="3" spans="1:33" ht="40.5" customHeight="1">
      <c r="A3" s="632" t="s">
        <v>1918</v>
      </c>
      <c r="B3" s="632" t="s">
        <v>1919</v>
      </c>
      <c r="C3" s="632" t="s">
        <v>1920</v>
      </c>
      <c r="D3" s="632"/>
      <c r="E3" s="674" t="s">
        <v>1921</v>
      </c>
      <c r="F3" s="632" t="s">
        <v>1922</v>
      </c>
      <c r="G3" s="674" t="s">
        <v>1923</v>
      </c>
      <c r="H3" s="667" t="s">
        <v>1924</v>
      </c>
      <c r="I3" s="665" t="s">
        <v>1925</v>
      </c>
      <c r="J3" s="662" t="s">
        <v>1926</v>
      </c>
      <c r="K3" s="672" t="s">
        <v>1882</v>
      </c>
      <c r="L3" s="665" t="s">
        <v>1925</v>
      </c>
      <c r="M3" s="662" t="s">
        <v>1926</v>
      </c>
      <c r="N3" s="672" t="s">
        <v>1882</v>
      </c>
      <c r="O3" s="665" t="s">
        <v>1925</v>
      </c>
      <c r="P3" s="672" t="s">
        <v>1882</v>
      </c>
      <c r="Q3" s="663" t="s">
        <v>1927</v>
      </c>
      <c r="R3" s="641" t="s">
        <v>1928</v>
      </c>
      <c r="S3" s="673" t="s">
        <v>29</v>
      </c>
      <c r="T3" s="673"/>
      <c r="U3" s="667" t="s">
        <v>30</v>
      </c>
      <c r="V3" s="667" t="s">
        <v>1929</v>
      </c>
      <c r="W3" s="632" t="s">
        <v>1930</v>
      </c>
      <c r="X3" s="632"/>
      <c r="Y3" s="668" t="s">
        <v>1931</v>
      </c>
      <c r="Z3" s="631"/>
      <c r="AA3" s="669" t="s">
        <v>1932</v>
      </c>
      <c r="AB3" s="670"/>
      <c r="AC3" s="668" t="s">
        <v>1933</v>
      </c>
      <c r="AD3" s="631"/>
      <c r="AE3" s="662" t="s">
        <v>1926</v>
      </c>
      <c r="AF3" s="663" t="s">
        <v>1927</v>
      </c>
      <c r="AG3" s="641" t="s">
        <v>1928</v>
      </c>
    </row>
    <row r="4" spans="1:33" ht="15.75" customHeight="1">
      <c r="A4" s="632"/>
      <c r="B4" s="632"/>
      <c r="C4" s="632"/>
      <c r="D4" s="632"/>
      <c r="E4" s="675"/>
      <c r="F4" s="632"/>
      <c r="G4" s="675"/>
      <c r="H4" s="667"/>
      <c r="I4" s="665"/>
      <c r="J4" s="662"/>
      <c r="K4" s="672"/>
      <c r="L4" s="665"/>
      <c r="M4" s="662"/>
      <c r="N4" s="672"/>
      <c r="O4" s="665"/>
      <c r="P4" s="672"/>
      <c r="Q4" s="663"/>
      <c r="R4" s="641"/>
      <c r="S4" s="378" t="s">
        <v>39</v>
      </c>
      <c r="T4" s="378" t="s">
        <v>40</v>
      </c>
      <c r="U4" s="667"/>
      <c r="V4" s="667"/>
      <c r="W4" s="374" t="s">
        <v>1934</v>
      </c>
      <c r="X4" s="374" t="s">
        <v>1935</v>
      </c>
      <c r="Y4" s="372" t="s">
        <v>1890</v>
      </c>
      <c r="Z4" s="372" t="s">
        <v>1936</v>
      </c>
      <c r="AA4" s="671"/>
      <c r="AB4" s="670"/>
      <c r="AC4" s="372" t="s">
        <v>1937</v>
      </c>
      <c r="AD4" s="372" t="s">
        <v>1938</v>
      </c>
      <c r="AE4" s="662"/>
      <c r="AF4" s="663"/>
      <c r="AG4" s="641"/>
    </row>
    <row r="5" spans="1:33">
      <c r="A5" s="664" t="s">
        <v>1939</v>
      </c>
      <c r="B5" s="42" t="s">
        <v>92</v>
      </c>
      <c r="C5" s="666" t="s">
        <v>93</v>
      </c>
      <c r="D5" s="666"/>
      <c r="E5" s="42">
        <v>50.92</v>
      </c>
      <c r="F5" s="378">
        <v>2227</v>
      </c>
      <c r="G5" s="374">
        <f t="shared" ref="G5:G8" si="0">E5*F5</f>
        <v>113398.84000000001</v>
      </c>
      <c r="H5" s="37" t="s">
        <v>91</v>
      </c>
      <c r="I5" s="376">
        <v>15</v>
      </c>
      <c r="J5" s="39">
        <v>2000</v>
      </c>
      <c r="K5" s="17">
        <f t="shared" ref="K5:K68" si="1">J5/I5</f>
        <v>133.33333333333334</v>
      </c>
      <c r="L5" s="376">
        <v>15</v>
      </c>
      <c r="M5" s="18">
        <f t="shared" ref="M5:M8" si="2">F5/V5*60</f>
        <v>1908.8571428571408</v>
      </c>
      <c r="N5" s="17">
        <f t="shared" ref="N5:N68" si="3">M5/L5</f>
        <v>127.25714285714272</v>
      </c>
      <c r="O5" s="19">
        <f t="shared" ref="O5:O68" si="4">L5-I5</f>
        <v>0</v>
      </c>
      <c r="P5" s="20">
        <f t="shared" ref="P5:P68" si="5">N5-K5</f>
        <v>-6.076190476190618</v>
      </c>
      <c r="Q5" s="373">
        <f t="shared" ref="Q5:Q68" si="6">N5/K5</f>
        <v>0.9544285714285704</v>
      </c>
      <c r="R5" s="637">
        <f>Q9</f>
        <v>0.96090219739000649</v>
      </c>
      <c r="S5" s="40">
        <v>0.70833333333333337</v>
      </c>
      <c r="T5" s="40">
        <v>0.75694444444444453</v>
      </c>
      <c r="U5" s="374"/>
      <c r="V5" s="377">
        <f t="shared" ref="V5:V8" si="7">(T5-S5)*24*60</f>
        <v>70.000000000000071</v>
      </c>
      <c r="W5" s="23"/>
      <c r="X5" s="23"/>
      <c r="Y5" s="24"/>
      <c r="Z5" s="24"/>
      <c r="AA5" s="632"/>
      <c r="AB5" s="632"/>
      <c r="AC5" s="25">
        <v>4</v>
      </c>
      <c r="AD5" s="25"/>
      <c r="AE5" s="19">
        <f t="shared" ref="AE5:AE56" si="8">M5-J5</f>
        <v>-91.142857142859157</v>
      </c>
      <c r="AF5" s="373">
        <f t="shared" ref="AF5:AF68" si="9">M5/J5</f>
        <v>0.9544285714285704</v>
      </c>
      <c r="AG5" s="637">
        <f>AF9</f>
        <v>0.96090219739000649</v>
      </c>
    </row>
    <row r="6" spans="1:33">
      <c r="A6" s="665" t="s">
        <v>1939</v>
      </c>
      <c r="B6" s="42" t="s">
        <v>92</v>
      </c>
      <c r="C6" s="666" t="s">
        <v>94</v>
      </c>
      <c r="D6" s="666"/>
      <c r="E6" s="42">
        <v>50.98</v>
      </c>
      <c r="F6" s="378">
        <v>1000</v>
      </c>
      <c r="G6" s="374">
        <f t="shared" si="0"/>
        <v>50980</v>
      </c>
      <c r="H6" s="37">
        <v>2</v>
      </c>
      <c r="I6" s="376">
        <v>16</v>
      </c>
      <c r="J6" s="39">
        <v>2000</v>
      </c>
      <c r="K6" s="17">
        <f t="shared" si="1"/>
        <v>125</v>
      </c>
      <c r="L6" s="376">
        <v>16</v>
      </c>
      <c r="M6" s="18">
        <f t="shared" si="2"/>
        <v>1935.483870967739</v>
      </c>
      <c r="N6" s="17">
        <f t="shared" si="3"/>
        <v>120.96774193548369</v>
      </c>
      <c r="O6" s="19">
        <f t="shared" si="4"/>
        <v>0</v>
      </c>
      <c r="P6" s="20">
        <f t="shared" si="5"/>
        <v>-4.0322580645163129</v>
      </c>
      <c r="Q6" s="373">
        <f t="shared" si="6"/>
        <v>0.96774193548386944</v>
      </c>
      <c r="R6" s="637"/>
      <c r="S6" s="40">
        <v>0.76041666666666674</v>
      </c>
      <c r="T6" s="40">
        <v>0.78194444444444455</v>
      </c>
      <c r="U6" s="374">
        <f t="shared" ref="U6:U8" si="10">IF(S6=TIME(17,0,0),"",(S6-T5)*24*60)</f>
        <v>4.9999999999999822</v>
      </c>
      <c r="V6" s="377">
        <f t="shared" si="7"/>
        <v>31.00000000000005</v>
      </c>
      <c r="W6" s="23"/>
      <c r="X6" s="23"/>
      <c r="Y6" s="23"/>
      <c r="Z6" s="23"/>
      <c r="AA6" s="632"/>
      <c r="AB6" s="632"/>
      <c r="AC6" s="25"/>
      <c r="AD6" s="25"/>
      <c r="AE6" s="19">
        <f t="shared" si="8"/>
        <v>-64.516129032261006</v>
      </c>
      <c r="AF6" s="373">
        <f t="shared" si="9"/>
        <v>0.96774193548386944</v>
      </c>
      <c r="AG6" s="637"/>
    </row>
    <row r="7" spans="1:33">
      <c r="A7" s="665" t="s">
        <v>1939</v>
      </c>
      <c r="B7" s="42" t="s">
        <v>92</v>
      </c>
      <c r="C7" s="660" t="s">
        <v>109</v>
      </c>
      <c r="D7" s="661"/>
      <c r="E7" s="42">
        <v>50.49</v>
      </c>
      <c r="F7" s="378">
        <v>2068</v>
      </c>
      <c r="G7" s="374">
        <f t="shared" si="0"/>
        <v>104413.32</v>
      </c>
      <c r="H7" s="37" t="s">
        <v>91</v>
      </c>
      <c r="I7" s="376">
        <v>15</v>
      </c>
      <c r="J7" s="39">
        <v>2000</v>
      </c>
      <c r="K7" s="17">
        <f t="shared" si="1"/>
        <v>133.33333333333334</v>
      </c>
      <c r="L7" s="376">
        <v>15</v>
      </c>
      <c r="M7" s="18">
        <f t="shared" si="2"/>
        <v>1908.9230769230792</v>
      </c>
      <c r="N7" s="17">
        <f t="shared" si="3"/>
        <v>127.26153846153861</v>
      </c>
      <c r="O7" s="19">
        <f t="shared" si="4"/>
        <v>0</v>
      </c>
      <c r="P7" s="20">
        <f t="shared" si="5"/>
        <v>-6.0717948717947365</v>
      </c>
      <c r="Q7" s="373">
        <f t="shared" si="6"/>
        <v>0.95446153846153947</v>
      </c>
      <c r="R7" s="637"/>
      <c r="S7" s="40">
        <v>0.78541666666666676</v>
      </c>
      <c r="T7" s="40">
        <v>0.8305555555555556</v>
      </c>
      <c r="U7" s="374">
        <f t="shared" si="10"/>
        <v>4.9999999999999822</v>
      </c>
      <c r="V7" s="377">
        <f t="shared" si="7"/>
        <v>64.999999999999929</v>
      </c>
      <c r="W7" s="23">
        <f>T7</f>
        <v>0.8305555555555556</v>
      </c>
      <c r="X7" s="23">
        <f>S8</f>
        <v>0.87152777777777779</v>
      </c>
      <c r="Y7" s="26"/>
      <c r="Z7" s="26"/>
      <c r="AA7" s="627"/>
      <c r="AB7" s="628"/>
      <c r="AC7" s="27"/>
      <c r="AD7" s="27"/>
      <c r="AE7" s="19">
        <f t="shared" si="8"/>
        <v>-91.076923076920821</v>
      </c>
      <c r="AF7" s="373">
        <f t="shared" si="9"/>
        <v>0.95446153846153958</v>
      </c>
      <c r="AG7" s="637"/>
    </row>
    <row r="8" spans="1:33">
      <c r="A8" s="665" t="s">
        <v>1940</v>
      </c>
      <c r="B8" s="42" t="s">
        <v>92</v>
      </c>
      <c r="C8" s="660" t="s">
        <v>94</v>
      </c>
      <c r="D8" s="661"/>
      <c r="E8" s="42">
        <v>50.98</v>
      </c>
      <c r="F8" s="378">
        <v>1386</v>
      </c>
      <c r="G8" s="374">
        <f t="shared" si="0"/>
        <v>70658.28</v>
      </c>
      <c r="H8" s="37" t="s">
        <v>91</v>
      </c>
      <c r="I8" s="376">
        <v>16</v>
      </c>
      <c r="J8" s="39">
        <v>2000</v>
      </c>
      <c r="K8" s="17">
        <f t="shared" si="1"/>
        <v>125</v>
      </c>
      <c r="L8" s="376">
        <v>16</v>
      </c>
      <c r="M8" s="18">
        <f t="shared" si="2"/>
        <v>1933.9534883720928</v>
      </c>
      <c r="N8" s="17">
        <f t="shared" si="3"/>
        <v>120.8720930232558</v>
      </c>
      <c r="O8" s="19">
        <f t="shared" si="4"/>
        <v>0</v>
      </c>
      <c r="P8" s="20">
        <f t="shared" si="5"/>
        <v>-4.1279069767441996</v>
      </c>
      <c r="Q8" s="373">
        <f t="shared" si="6"/>
        <v>0.9669767441860464</v>
      </c>
      <c r="R8" s="637"/>
      <c r="S8" s="40">
        <v>0.87152777777777779</v>
      </c>
      <c r="T8" s="40">
        <v>0.90138888888888891</v>
      </c>
      <c r="U8" s="374">
        <f t="shared" si="10"/>
        <v>58.99999999999995</v>
      </c>
      <c r="V8" s="377">
        <f t="shared" si="7"/>
        <v>43.000000000000007</v>
      </c>
      <c r="W8" s="28"/>
      <c r="X8" s="28"/>
      <c r="Y8" s="136"/>
      <c r="Z8" s="136"/>
      <c r="AA8" s="627"/>
      <c r="AB8" s="628"/>
      <c r="AC8" s="27"/>
      <c r="AD8" s="27"/>
      <c r="AE8" s="19">
        <f t="shared" si="8"/>
        <v>-66.046511627907194</v>
      </c>
      <c r="AF8" s="373">
        <f t="shared" si="9"/>
        <v>0.9669767441860464</v>
      </c>
      <c r="AG8" s="637"/>
    </row>
    <row r="9" spans="1:33">
      <c r="A9" s="665" t="s">
        <v>1939</v>
      </c>
      <c r="B9" s="42" t="s">
        <v>1941</v>
      </c>
      <c r="C9" s="638"/>
      <c r="D9" s="638"/>
      <c r="E9" s="375"/>
      <c r="F9" s="44"/>
      <c r="G9" s="17"/>
      <c r="H9" s="378"/>
      <c r="I9" s="29">
        <v>15.5</v>
      </c>
      <c r="J9" s="39">
        <v>2000</v>
      </c>
      <c r="K9" s="17">
        <f t="shared" si="1"/>
        <v>129.03225806451613</v>
      </c>
      <c r="L9" s="29">
        <v>15.5</v>
      </c>
      <c r="M9" s="18">
        <f>AVERAGE(M5:M8)</f>
        <v>1921.8043947800129</v>
      </c>
      <c r="N9" s="17">
        <f t="shared" si="3"/>
        <v>123.98738030838793</v>
      </c>
      <c r="O9" s="19">
        <f t="shared" si="4"/>
        <v>0</v>
      </c>
      <c r="P9" s="20">
        <f t="shared" si="5"/>
        <v>-5.0448777561282014</v>
      </c>
      <c r="Q9" s="373">
        <f t="shared" si="6"/>
        <v>0.96090219739000649</v>
      </c>
      <c r="R9" s="637"/>
      <c r="S9" s="40"/>
      <c r="T9" s="40"/>
      <c r="U9" s="374"/>
      <c r="V9" s="377"/>
      <c r="W9" s="17"/>
      <c r="X9" s="17"/>
      <c r="Y9" s="30">
        <f>SUM(Y5:Y8)</f>
        <v>0</v>
      </c>
      <c r="Z9" s="30">
        <f>SUM(Z5:Z8)</f>
        <v>0</v>
      </c>
      <c r="AA9" s="631"/>
      <c r="AB9" s="631"/>
      <c r="AC9" s="30">
        <v>4</v>
      </c>
      <c r="AD9" s="30">
        <f>SUM(AD5:AD8)</f>
        <v>0</v>
      </c>
      <c r="AE9" s="19">
        <f t="shared" si="8"/>
        <v>-78.195605219987101</v>
      </c>
      <c r="AF9" s="373">
        <f t="shared" si="9"/>
        <v>0.96090219739000649</v>
      </c>
      <c r="AG9" s="637"/>
    </row>
    <row r="10" spans="1:33" ht="15.75" customHeight="1">
      <c r="A10" s="659" t="s">
        <v>1942</v>
      </c>
      <c r="B10" s="42" t="s">
        <v>96</v>
      </c>
      <c r="C10" s="660" t="s">
        <v>100</v>
      </c>
      <c r="D10" s="661"/>
      <c r="E10" s="42">
        <v>39.619999999999997</v>
      </c>
      <c r="F10" s="378">
        <v>4019</v>
      </c>
      <c r="G10" s="374">
        <f t="shared" ref="G10:G11" si="11">E10*F10</f>
        <v>159232.78</v>
      </c>
      <c r="H10" s="37" t="s">
        <v>91</v>
      </c>
      <c r="I10" s="376">
        <v>19</v>
      </c>
      <c r="J10" s="39">
        <v>1500</v>
      </c>
      <c r="K10" s="17">
        <f t="shared" si="1"/>
        <v>78.94736842105263</v>
      </c>
      <c r="L10" s="376">
        <v>19</v>
      </c>
      <c r="M10" s="18">
        <f t="shared" ref="M10:M11" si="12">F10/V10*60</f>
        <v>1435.3571428571429</v>
      </c>
      <c r="N10" s="17">
        <f t="shared" si="3"/>
        <v>75.545112781954884</v>
      </c>
      <c r="O10" s="19">
        <f t="shared" si="4"/>
        <v>0</v>
      </c>
      <c r="P10" s="20">
        <f t="shared" si="5"/>
        <v>-3.4022556390977456</v>
      </c>
      <c r="Q10" s="373">
        <f t="shared" si="6"/>
        <v>0.95690476190476192</v>
      </c>
      <c r="R10" s="637">
        <f>Q12</f>
        <v>0.95522431077694248</v>
      </c>
      <c r="S10" s="40">
        <v>8.3333333333333329E-2</v>
      </c>
      <c r="T10" s="40">
        <v>0.19999999999999998</v>
      </c>
      <c r="U10" s="374"/>
      <c r="V10" s="377">
        <f t="shared" ref="V10:V11" si="13">(T10-S10)*24*60</f>
        <v>168</v>
      </c>
      <c r="W10" s="23">
        <f>T10</f>
        <v>0.19999999999999998</v>
      </c>
      <c r="X10" s="23">
        <f>S11</f>
        <v>0.22152777777777777</v>
      </c>
      <c r="Y10" s="23"/>
      <c r="Z10" s="23"/>
      <c r="AA10" s="632"/>
      <c r="AB10" s="632"/>
      <c r="AC10" s="25">
        <v>2</v>
      </c>
      <c r="AD10" s="25"/>
      <c r="AE10" s="19">
        <f t="shared" si="8"/>
        <v>-64.64285714285711</v>
      </c>
      <c r="AF10" s="373">
        <f t="shared" si="9"/>
        <v>0.95690476190476192</v>
      </c>
      <c r="AG10" s="637">
        <f>AF12</f>
        <v>0.95522431077694248</v>
      </c>
    </row>
    <row r="11" spans="1:33" ht="15.75" customHeight="1">
      <c r="A11" s="659" t="s">
        <v>1943</v>
      </c>
      <c r="B11" s="42" t="s">
        <v>96</v>
      </c>
      <c r="C11" s="660" t="s">
        <v>97</v>
      </c>
      <c r="D11" s="661"/>
      <c r="E11" s="42">
        <v>39.799999999999997</v>
      </c>
      <c r="F11" s="378">
        <v>6794</v>
      </c>
      <c r="G11" s="374">
        <f t="shared" si="11"/>
        <v>270401.19999999995</v>
      </c>
      <c r="H11" s="37" t="s">
        <v>91</v>
      </c>
      <c r="I11" s="376">
        <v>17</v>
      </c>
      <c r="J11" s="39">
        <v>1500</v>
      </c>
      <c r="K11" s="17">
        <f t="shared" si="1"/>
        <v>88.235294117647058</v>
      </c>
      <c r="L11" s="376">
        <v>17</v>
      </c>
      <c r="M11" s="18">
        <f t="shared" si="12"/>
        <v>1430.3157894736844</v>
      </c>
      <c r="N11" s="17">
        <f t="shared" si="3"/>
        <v>84.13622291021673</v>
      </c>
      <c r="O11" s="19">
        <f t="shared" si="4"/>
        <v>0</v>
      </c>
      <c r="P11" s="20">
        <f t="shared" si="5"/>
        <v>-4.0990712074303275</v>
      </c>
      <c r="Q11" s="373">
        <f t="shared" si="6"/>
        <v>0.95354385964912292</v>
      </c>
      <c r="R11" s="637"/>
      <c r="S11" s="40">
        <v>0.22152777777777777</v>
      </c>
      <c r="T11" s="40">
        <v>0.4194444444444444</v>
      </c>
      <c r="U11" s="374">
        <f t="shared" ref="U11" si="14">IF(S11=TIME(17,0,0),"",(S11-T10)*24*60)</f>
        <v>31.000000000000011</v>
      </c>
      <c r="V11" s="377">
        <f t="shared" si="13"/>
        <v>284.99999999999994</v>
      </c>
      <c r="W11" s="23"/>
      <c r="X11" s="23"/>
      <c r="Y11" s="23"/>
      <c r="Z11" s="23"/>
      <c r="AA11" s="632"/>
      <c r="AB11" s="632"/>
      <c r="AC11" s="25"/>
      <c r="AD11" s="25"/>
      <c r="AE11" s="19">
        <f t="shared" si="8"/>
        <v>-69.68421052631561</v>
      </c>
      <c r="AF11" s="373">
        <f t="shared" si="9"/>
        <v>0.95354385964912292</v>
      </c>
      <c r="AG11" s="637"/>
    </row>
    <row r="12" spans="1:33" ht="16.5" customHeight="1">
      <c r="A12" s="659" t="s">
        <v>1943</v>
      </c>
      <c r="B12" s="42" t="s">
        <v>1941</v>
      </c>
      <c r="C12" s="638"/>
      <c r="D12" s="638"/>
      <c r="E12" s="375"/>
      <c r="F12" s="39"/>
      <c r="G12" s="18"/>
      <c r="H12" s="378"/>
      <c r="I12" s="29">
        <v>18</v>
      </c>
      <c r="J12" s="39">
        <v>1500</v>
      </c>
      <c r="K12" s="17">
        <f t="shared" si="1"/>
        <v>83.333333333333329</v>
      </c>
      <c r="L12" s="29">
        <v>18</v>
      </c>
      <c r="M12" s="18">
        <f>AVERAGE(M10:M11)</f>
        <v>1432.8364661654136</v>
      </c>
      <c r="N12" s="17">
        <f t="shared" si="3"/>
        <v>79.602025898078537</v>
      </c>
      <c r="O12" s="19">
        <f t="shared" si="4"/>
        <v>0</v>
      </c>
      <c r="P12" s="20">
        <f t="shared" si="5"/>
        <v>-3.7313074352547915</v>
      </c>
      <c r="Q12" s="373">
        <f t="shared" si="6"/>
        <v>0.95522431077694248</v>
      </c>
      <c r="R12" s="637"/>
      <c r="S12" s="40"/>
      <c r="T12" s="40"/>
      <c r="U12" s="17"/>
      <c r="V12" s="377"/>
      <c r="W12" s="17"/>
      <c r="X12" s="17"/>
      <c r="Y12" s="30">
        <f>SUM(Y10:Y11)</f>
        <v>0</v>
      </c>
      <c r="Z12" s="30">
        <f>SUM(Z10:Z11)</f>
        <v>0</v>
      </c>
      <c r="AA12" s="631"/>
      <c r="AB12" s="631"/>
      <c r="AC12" s="30">
        <v>2</v>
      </c>
      <c r="AD12" s="30">
        <f>SUM(AD10:AD11)</f>
        <v>0</v>
      </c>
      <c r="AE12" s="19">
        <f t="shared" si="8"/>
        <v>-67.16353383458636</v>
      </c>
      <c r="AF12" s="373">
        <f t="shared" si="9"/>
        <v>0.95522431077694248</v>
      </c>
      <c r="AG12" s="637"/>
    </row>
    <row r="13" spans="1:33" ht="16.5" customHeight="1">
      <c r="A13" s="657" t="s">
        <v>1944</v>
      </c>
      <c r="B13" s="378" t="s">
        <v>101</v>
      </c>
      <c r="C13" s="653" t="s">
        <v>102</v>
      </c>
      <c r="D13" s="653"/>
      <c r="E13" s="42">
        <v>31.11</v>
      </c>
      <c r="F13" s="378">
        <v>3427</v>
      </c>
      <c r="G13" s="374">
        <f t="shared" ref="G13:G19" si="15">E13*F13</f>
        <v>106613.97</v>
      </c>
      <c r="H13" s="37" t="s">
        <v>91</v>
      </c>
      <c r="I13" s="376">
        <v>14</v>
      </c>
      <c r="J13" s="39">
        <v>2000</v>
      </c>
      <c r="K13" s="17">
        <f t="shared" si="1"/>
        <v>142.85714285714286</v>
      </c>
      <c r="L13" s="376">
        <v>14</v>
      </c>
      <c r="M13" s="18">
        <f t="shared" ref="M13:M19" si="16">F13/V13*60</f>
        <v>1921.6822429906547</v>
      </c>
      <c r="N13" s="17">
        <f t="shared" si="3"/>
        <v>137.26301735647533</v>
      </c>
      <c r="O13" s="19">
        <f t="shared" si="4"/>
        <v>0</v>
      </c>
      <c r="P13" s="20">
        <f t="shared" si="5"/>
        <v>-5.5941255006675306</v>
      </c>
      <c r="Q13" s="373">
        <f t="shared" si="6"/>
        <v>0.9608411214953273</v>
      </c>
      <c r="R13" s="637">
        <f>Q20</f>
        <v>0.95815635921303643</v>
      </c>
      <c r="S13" s="40">
        <v>0.20833333333333334</v>
      </c>
      <c r="T13" s="40">
        <v>0.28263888888888888</v>
      </c>
      <c r="U13" s="374"/>
      <c r="V13" s="377">
        <f t="shared" ref="V13:V19" si="17">(T13-S13)*24*60</f>
        <v>106.99999999999999</v>
      </c>
      <c r="W13" s="23"/>
      <c r="X13" s="23"/>
      <c r="Y13" s="28"/>
      <c r="Z13" s="28"/>
      <c r="AA13" s="632"/>
      <c r="AB13" s="632"/>
      <c r="AC13" s="25">
        <v>7</v>
      </c>
      <c r="AD13" s="25"/>
      <c r="AE13" s="19">
        <f t="shared" si="8"/>
        <v>-78.317757009345314</v>
      </c>
      <c r="AF13" s="373">
        <f t="shared" si="9"/>
        <v>0.9608411214953273</v>
      </c>
      <c r="AG13" s="637">
        <f>AF20</f>
        <v>0.95815635921303643</v>
      </c>
    </row>
    <row r="14" spans="1:33" ht="16.5" customHeight="1">
      <c r="A14" s="658" t="s">
        <v>1944</v>
      </c>
      <c r="B14" s="378" t="s">
        <v>103</v>
      </c>
      <c r="C14" s="653" t="s">
        <v>105</v>
      </c>
      <c r="D14" s="653"/>
      <c r="E14" s="42">
        <v>41</v>
      </c>
      <c r="F14" s="378">
        <v>1701</v>
      </c>
      <c r="G14" s="374">
        <f t="shared" si="15"/>
        <v>69741</v>
      </c>
      <c r="H14" s="37" t="s">
        <v>91</v>
      </c>
      <c r="I14" s="376">
        <v>26</v>
      </c>
      <c r="J14" s="39">
        <v>1500</v>
      </c>
      <c r="K14" s="17">
        <f t="shared" si="1"/>
        <v>57.692307692307693</v>
      </c>
      <c r="L14" s="376">
        <v>26</v>
      </c>
      <c r="M14" s="18">
        <f t="shared" si="16"/>
        <v>1437.4647887323947</v>
      </c>
      <c r="N14" s="17">
        <f t="shared" si="3"/>
        <v>55.287107258938256</v>
      </c>
      <c r="O14" s="19">
        <f t="shared" si="4"/>
        <v>0</v>
      </c>
      <c r="P14" s="20">
        <f t="shared" si="5"/>
        <v>-2.405200433369437</v>
      </c>
      <c r="Q14" s="373">
        <f t="shared" si="6"/>
        <v>0.95830985915492972</v>
      </c>
      <c r="R14" s="637"/>
      <c r="S14" s="40">
        <v>0.28611111111111109</v>
      </c>
      <c r="T14" s="40">
        <v>0.33541666666666664</v>
      </c>
      <c r="U14" s="374">
        <f t="shared" ref="U14:U19" si="18">IF(S14=TIME(17,0,0),"",(S14-T13)*24*60)</f>
        <v>4.9999999999999822</v>
      </c>
      <c r="V14" s="377">
        <f t="shared" si="17"/>
        <v>70.999999999999986</v>
      </c>
      <c r="W14" s="23"/>
      <c r="X14" s="23"/>
      <c r="Y14" s="23"/>
      <c r="Z14" s="23"/>
      <c r="AA14" s="632"/>
      <c r="AB14" s="632"/>
      <c r="AC14" s="25"/>
      <c r="AD14" s="25"/>
      <c r="AE14" s="19">
        <f t="shared" si="8"/>
        <v>-62.535211267605291</v>
      </c>
      <c r="AF14" s="373">
        <f t="shared" si="9"/>
        <v>0.95830985915492983</v>
      </c>
      <c r="AG14" s="637"/>
    </row>
    <row r="15" spans="1:33" ht="16.5" customHeight="1">
      <c r="A15" s="658" t="s">
        <v>1944</v>
      </c>
      <c r="B15" s="378" t="s">
        <v>96</v>
      </c>
      <c r="C15" s="653" t="s">
        <v>98</v>
      </c>
      <c r="D15" s="653"/>
      <c r="E15" s="42">
        <v>39.46</v>
      </c>
      <c r="F15" s="378">
        <v>2307</v>
      </c>
      <c r="G15" s="374">
        <f t="shared" si="15"/>
        <v>91034.22</v>
      </c>
      <c r="H15" s="37" t="s">
        <v>91</v>
      </c>
      <c r="I15" s="376">
        <v>15</v>
      </c>
      <c r="J15" s="39">
        <v>1500</v>
      </c>
      <c r="K15" s="17">
        <f t="shared" si="1"/>
        <v>100</v>
      </c>
      <c r="L15" s="376">
        <v>15</v>
      </c>
      <c r="M15" s="18">
        <f t="shared" si="16"/>
        <v>1427.0103092783511</v>
      </c>
      <c r="N15" s="17">
        <f t="shared" si="3"/>
        <v>95.134020618556733</v>
      </c>
      <c r="O15" s="19">
        <f t="shared" si="4"/>
        <v>0</v>
      </c>
      <c r="P15" s="20">
        <f t="shared" si="5"/>
        <v>-4.8659793814432675</v>
      </c>
      <c r="Q15" s="373">
        <f t="shared" si="6"/>
        <v>0.95134020618556736</v>
      </c>
      <c r="R15" s="637"/>
      <c r="S15" s="40">
        <v>0.33958333333333329</v>
      </c>
      <c r="T15" s="40">
        <v>0.40694444444444439</v>
      </c>
      <c r="U15" s="374">
        <f t="shared" si="18"/>
        <v>5.9999999999999787</v>
      </c>
      <c r="V15" s="377">
        <f t="shared" si="17"/>
        <v>96.999999999999972</v>
      </c>
      <c r="W15" s="23"/>
      <c r="X15" s="23"/>
      <c r="Y15" s="23"/>
      <c r="Z15" s="23"/>
      <c r="AA15" s="632"/>
      <c r="AB15" s="632"/>
      <c r="AC15" s="25"/>
      <c r="AD15" s="25"/>
      <c r="AE15" s="19">
        <f t="shared" si="8"/>
        <v>-72.989690721648913</v>
      </c>
      <c r="AF15" s="373">
        <f t="shared" si="9"/>
        <v>0.95134020618556736</v>
      </c>
      <c r="AG15" s="637"/>
    </row>
    <row r="16" spans="1:33" ht="16.5" customHeight="1">
      <c r="A16" s="658" t="s">
        <v>1944</v>
      </c>
      <c r="B16" s="378" t="s">
        <v>96</v>
      </c>
      <c r="C16" s="653" t="s">
        <v>99</v>
      </c>
      <c r="D16" s="653"/>
      <c r="E16" s="42">
        <v>39.520000000000003</v>
      </c>
      <c r="F16" s="378">
        <v>2148</v>
      </c>
      <c r="G16" s="374">
        <f t="shared" si="15"/>
        <v>84888.960000000006</v>
      </c>
      <c r="H16" s="37" t="s">
        <v>91</v>
      </c>
      <c r="I16" s="376">
        <v>19</v>
      </c>
      <c r="J16" s="39">
        <v>1500</v>
      </c>
      <c r="K16" s="17">
        <f t="shared" si="1"/>
        <v>78.94736842105263</v>
      </c>
      <c r="L16" s="376">
        <v>19</v>
      </c>
      <c r="M16" s="18">
        <f t="shared" si="16"/>
        <v>1432</v>
      </c>
      <c r="N16" s="17">
        <f t="shared" si="3"/>
        <v>75.368421052631575</v>
      </c>
      <c r="O16" s="19">
        <f t="shared" si="4"/>
        <v>0</v>
      </c>
      <c r="P16" s="20">
        <f t="shared" si="5"/>
        <v>-3.5789473684210549</v>
      </c>
      <c r="Q16" s="373">
        <f t="shared" si="6"/>
        <v>0.95466666666666666</v>
      </c>
      <c r="R16" s="637"/>
      <c r="S16" s="40">
        <v>0.41249999999999992</v>
      </c>
      <c r="T16" s="40">
        <v>0.47499999999999992</v>
      </c>
      <c r="U16" s="374">
        <f t="shared" si="18"/>
        <v>7.9999999999999716</v>
      </c>
      <c r="V16" s="377">
        <f t="shared" si="17"/>
        <v>90</v>
      </c>
      <c r="W16" s="23"/>
      <c r="X16" s="23"/>
      <c r="Y16" s="23"/>
      <c r="Z16" s="23"/>
      <c r="AA16" s="632"/>
      <c r="AB16" s="632"/>
      <c r="AC16" s="25"/>
      <c r="AD16" s="25"/>
      <c r="AE16" s="19">
        <f t="shared" si="8"/>
        <v>-68</v>
      </c>
      <c r="AF16" s="373">
        <f t="shared" si="9"/>
        <v>0.95466666666666666</v>
      </c>
      <c r="AG16" s="637"/>
    </row>
    <row r="17" spans="1:33" ht="16.5" customHeight="1">
      <c r="A17" s="658" t="s">
        <v>1944</v>
      </c>
      <c r="B17" s="378" t="s">
        <v>92</v>
      </c>
      <c r="C17" s="653" t="s">
        <v>108</v>
      </c>
      <c r="D17" s="653"/>
      <c r="E17" s="42">
        <v>54.5</v>
      </c>
      <c r="F17" s="378">
        <v>1455</v>
      </c>
      <c r="G17" s="374">
        <f t="shared" si="15"/>
        <v>79297.5</v>
      </c>
      <c r="H17" s="37" t="s">
        <v>91</v>
      </c>
      <c r="I17" s="376">
        <v>19</v>
      </c>
      <c r="J17" s="39">
        <v>1500</v>
      </c>
      <c r="K17" s="17">
        <f t="shared" si="1"/>
        <v>78.94736842105263</v>
      </c>
      <c r="L17" s="376">
        <v>19</v>
      </c>
      <c r="M17" s="18">
        <f t="shared" si="16"/>
        <v>1431.1475409836078</v>
      </c>
      <c r="N17" s="17">
        <f t="shared" si="3"/>
        <v>75.323554788610934</v>
      </c>
      <c r="O17" s="19">
        <f t="shared" si="4"/>
        <v>0</v>
      </c>
      <c r="P17" s="20">
        <f t="shared" si="5"/>
        <v>-3.6238136324416956</v>
      </c>
      <c r="Q17" s="373">
        <f t="shared" si="6"/>
        <v>0.9540983606557385</v>
      </c>
      <c r="R17" s="637"/>
      <c r="S17" s="40">
        <v>0.70833333333333337</v>
      </c>
      <c r="T17" s="40">
        <v>0.75069444444444444</v>
      </c>
      <c r="U17" s="374" t="str">
        <f t="shared" si="18"/>
        <v/>
      </c>
      <c r="V17" s="377">
        <f t="shared" si="17"/>
        <v>60.999999999999943</v>
      </c>
      <c r="W17" s="23"/>
      <c r="X17" s="23"/>
      <c r="Y17" s="23"/>
      <c r="Z17" s="23"/>
      <c r="AA17" s="632"/>
      <c r="AB17" s="632"/>
      <c r="AC17" s="25"/>
      <c r="AD17" s="25"/>
      <c r="AE17" s="19">
        <f t="shared" si="8"/>
        <v>-68.852459016392231</v>
      </c>
      <c r="AF17" s="373">
        <f t="shared" si="9"/>
        <v>0.9540983606557385</v>
      </c>
      <c r="AG17" s="637"/>
    </row>
    <row r="18" spans="1:33" ht="16.5" customHeight="1">
      <c r="A18" s="658" t="s">
        <v>1944</v>
      </c>
      <c r="B18" s="378" t="s">
        <v>92</v>
      </c>
      <c r="C18" s="380" t="s">
        <v>107</v>
      </c>
      <c r="D18" s="381"/>
      <c r="E18" s="42">
        <v>50.67</v>
      </c>
      <c r="F18" s="378">
        <v>1615</v>
      </c>
      <c r="G18" s="374">
        <f t="shared" si="15"/>
        <v>81832.05</v>
      </c>
      <c r="H18" s="37" t="s">
        <v>91</v>
      </c>
      <c r="I18" s="376">
        <v>17</v>
      </c>
      <c r="J18" s="39">
        <v>2000</v>
      </c>
      <c r="K18" s="17">
        <f t="shared" si="1"/>
        <v>117.64705882352941</v>
      </c>
      <c r="L18" s="376">
        <v>17</v>
      </c>
      <c r="M18" s="18">
        <f t="shared" si="16"/>
        <v>1938.0000000000007</v>
      </c>
      <c r="N18" s="17">
        <f t="shared" si="3"/>
        <v>114.00000000000004</v>
      </c>
      <c r="O18" s="19">
        <f t="shared" si="4"/>
        <v>0</v>
      </c>
      <c r="P18" s="20">
        <f t="shared" si="5"/>
        <v>-3.6470588235293633</v>
      </c>
      <c r="Q18" s="373">
        <f t="shared" si="6"/>
        <v>0.96900000000000042</v>
      </c>
      <c r="R18" s="637"/>
      <c r="S18" s="40">
        <v>0.75486111111111109</v>
      </c>
      <c r="T18" s="40">
        <v>0.7895833333333333</v>
      </c>
      <c r="U18" s="374">
        <f t="shared" si="18"/>
        <v>5.9999999999999787</v>
      </c>
      <c r="V18" s="377">
        <f t="shared" si="17"/>
        <v>49.999999999999986</v>
      </c>
      <c r="W18" s="23"/>
      <c r="X18" s="23"/>
      <c r="Y18" s="26"/>
      <c r="Z18" s="26"/>
      <c r="AA18" s="369"/>
      <c r="AB18" s="370"/>
      <c r="AC18" s="25"/>
      <c r="AD18" s="25"/>
      <c r="AE18" s="19">
        <f t="shared" si="8"/>
        <v>-61.999999999999318</v>
      </c>
      <c r="AF18" s="373">
        <f t="shared" si="9"/>
        <v>0.96900000000000031</v>
      </c>
      <c r="AG18" s="637"/>
    </row>
    <row r="19" spans="1:33" ht="16.5" customHeight="1">
      <c r="A19" s="658" t="s">
        <v>1944</v>
      </c>
      <c r="B19" s="378" t="s">
        <v>92</v>
      </c>
      <c r="C19" s="380" t="s">
        <v>114</v>
      </c>
      <c r="D19" s="381"/>
      <c r="E19" s="42">
        <v>54.09</v>
      </c>
      <c r="F19" s="378">
        <v>2229</v>
      </c>
      <c r="G19" s="374">
        <f t="shared" si="15"/>
        <v>120566.61</v>
      </c>
      <c r="H19" s="37" t="s">
        <v>91</v>
      </c>
      <c r="I19" s="376">
        <v>18</v>
      </c>
      <c r="J19" s="39">
        <v>2000</v>
      </c>
      <c r="K19" s="17">
        <f t="shared" si="1"/>
        <v>111.11111111111111</v>
      </c>
      <c r="L19" s="376">
        <v>18</v>
      </c>
      <c r="M19" s="18">
        <f t="shared" si="16"/>
        <v>1910.5714285714266</v>
      </c>
      <c r="N19" s="17">
        <f t="shared" si="3"/>
        <v>106.14285714285704</v>
      </c>
      <c r="O19" s="19">
        <f t="shared" si="4"/>
        <v>0</v>
      </c>
      <c r="P19" s="20">
        <f t="shared" si="5"/>
        <v>-4.9682539682540749</v>
      </c>
      <c r="Q19" s="373">
        <f t="shared" si="6"/>
        <v>0.95528571428571329</v>
      </c>
      <c r="R19" s="637"/>
      <c r="S19" s="40">
        <v>0.79305555555555551</v>
      </c>
      <c r="T19" s="40">
        <v>0.84166666666666667</v>
      </c>
      <c r="U19" s="374">
        <f t="shared" si="18"/>
        <v>4.9999999999999822</v>
      </c>
      <c r="V19" s="377">
        <f t="shared" si="17"/>
        <v>70.000000000000071</v>
      </c>
      <c r="W19" s="23"/>
      <c r="X19" s="23"/>
      <c r="Y19" s="26"/>
      <c r="Z19" s="26"/>
      <c r="AA19" s="369"/>
      <c r="AB19" s="370"/>
      <c r="AC19" s="25"/>
      <c r="AD19" s="25"/>
      <c r="AE19" s="19">
        <f t="shared" si="8"/>
        <v>-89.428571428573377</v>
      </c>
      <c r="AF19" s="373">
        <f t="shared" si="9"/>
        <v>0.95528571428571329</v>
      </c>
      <c r="AG19" s="637"/>
    </row>
    <row r="20" spans="1:33" ht="16.5" customHeight="1">
      <c r="A20" s="658" t="s">
        <v>1944</v>
      </c>
      <c r="B20" s="42" t="s">
        <v>1941</v>
      </c>
      <c r="C20" s="638"/>
      <c r="D20" s="638"/>
      <c r="E20" s="375"/>
      <c r="F20" s="44"/>
      <c r="G20" s="17"/>
      <c r="H20" s="378"/>
      <c r="I20" s="29">
        <v>18.285714285714285</v>
      </c>
      <c r="J20" s="39">
        <v>1714.2857142857142</v>
      </c>
      <c r="K20" s="17">
        <f t="shared" si="1"/>
        <v>93.75</v>
      </c>
      <c r="L20" s="29">
        <v>18.285714285714285</v>
      </c>
      <c r="M20" s="18">
        <f>AVERAGE(M13:M19)</f>
        <v>1642.5537586509195</v>
      </c>
      <c r="N20" s="17">
        <f t="shared" si="3"/>
        <v>89.827158676222169</v>
      </c>
      <c r="O20" s="19">
        <f t="shared" si="4"/>
        <v>0</v>
      </c>
      <c r="P20" s="20">
        <f t="shared" si="5"/>
        <v>-3.9228413237778312</v>
      </c>
      <c r="Q20" s="373">
        <f t="shared" si="6"/>
        <v>0.95815635921303643</v>
      </c>
      <c r="R20" s="637"/>
      <c r="S20" s="40"/>
      <c r="T20" s="40"/>
      <c r="U20" s="374"/>
      <c r="V20" s="377"/>
      <c r="W20" s="17"/>
      <c r="X20" s="17"/>
      <c r="Y20" s="30">
        <f>SUM(Y13:Y19)</f>
        <v>0</v>
      </c>
      <c r="Z20" s="30">
        <f>SUM(Z13:Z19)</f>
        <v>0</v>
      </c>
      <c r="AA20" s="631"/>
      <c r="AB20" s="631"/>
      <c r="AC20" s="30">
        <v>7</v>
      </c>
      <c r="AD20" s="30">
        <f>SUM(AD13:AD19)</f>
        <v>0</v>
      </c>
      <c r="AE20" s="19">
        <f t="shared" si="8"/>
        <v>-71.731955634794758</v>
      </c>
      <c r="AF20" s="373">
        <f t="shared" si="9"/>
        <v>0.95815635921303643</v>
      </c>
      <c r="AG20" s="637"/>
    </row>
    <row r="21" spans="1:33" ht="15.75" customHeight="1">
      <c r="A21" s="655" t="s">
        <v>1945</v>
      </c>
      <c r="B21" s="42" t="s">
        <v>92</v>
      </c>
      <c r="C21" s="653" t="s">
        <v>110</v>
      </c>
      <c r="D21" s="653"/>
      <c r="E21" s="42">
        <v>50.67</v>
      </c>
      <c r="F21" s="378">
        <v>1632</v>
      </c>
      <c r="G21" s="374">
        <f t="shared" ref="G21:G27" si="19">E21*F21</f>
        <v>82693.440000000002</v>
      </c>
      <c r="H21" s="37" t="s">
        <v>91</v>
      </c>
      <c r="I21" s="376">
        <v>17</v>
      </c>
      <c r="J21" s="39">
        <v>2000</v>
      </c>
      <c r="K21" s="17">
        <f t="shared" si="1"/>
        <v>117.64705882352941</v>
      </c>
      <c r="L21" s="376">
        <v>17</v>
      </c>
      <c r="M21" s="18">
        <f t="shared" ref="M21:M27" si="20">F21/V21*60</f>
        <v>1919.9999999999991</v>
      </c>
      <c r="N21" s="17">
        <f t="shared" si="3"/>
        <v>112.94117647058818</v>
      </c>
      <c r="O21" s="19">
        <f t="shared" si="4"/>
        <v>0</v>
      </c>
      <c r="P21" s="20">
        <f t="shared" si="5"/>
        <v>-4.7058823529412308</v>
      </c>
      <c r="Q21" s="373">
        <f t="shared" si="6"/>
        <v>0.95999999999999952</v>
      </c>
      <c r="R21" s="637">
        <f>Q28</f>
        <v>0.96038975442064034</v>
      </c>
      <c r="S21" s="40">
        <v>0.20833333333333334</v>
      </c>
      <c r="T21" s="40">
        <v>0.24375000000000002</v>
      </c>
      <c r="U21" s="374"/>
      <c r="V21" s="377">
        <f t="shared" ref="V21:V27" si="21">(T21-S21)*24*60</f>
        <v>51.000000000000021</v>
      </c>
      <c r="W21" s="23"/>
      <c r="X21" s="23"/>
      <c r="Y21" s="28"/>
      <c r="Z21" s="28"/>
      <c r="AA21" s="632"/>
      <c r="AB21" s="632"/>
      <c r="AC21" s="25">
        <v>7</v>
      </c>
      <c r="AD21" s="25"/>
      <c r="AE21" s="19">
        <f t="shared" si="8"/>
        <v>-80.000000000000909</v>
      </c>
      <c r="AF21" s="373">
        <f t="shared" si="9"/>
        <v>0.95999999999999952</v>
      </c>
      <c r="AG21" s="637">
        <f>AF28</f>
        <v>0.96038975442064045</v>
      </c>
    </row>
    <row r="22" spans="1:33" ht="15.75" customHeight="1">
      <c r="A22" s="656" t="s">
        <v>1945</v>
      </c>
      <c r="B22" s="42" t="s">
        <v>92</v>
      </c>
      <c r="C22" s="653" t="s">
        <v>111</v>
      </c>
      <c r="D22" s="653"/>
      <c r="E22" s="42">
        <v>57.73</v>
      </c>
      <c r="F22" s="378">
        <v>2172</v>
      </c>
      <c r="G22" s="374">
        <f t="shared" si="19"/>
        <v>125389.56</v>
      </c>
      <c r="H22" s="37" t="s">
        <v>91</v>
      </c>
      <c r="I22" s="376">
        <v>14</v>
      </c>
      <c r="J22" s="39">
        <v>2000</v>
      </c>
      <c r="K22" s="17">
        <f t="shared" si="1"/>
        <v>142.85714285714286</v>
      </c>
      <c r="L22" s="376">
        <v>14</v>
      </c>
      <c r="M22" s="18">
        <f t="shared" si="20"/>
        <v>1916.4705882352928</v>
      </c>
      <c r="N22" s="17">
        <f t="shared" si="3"/>
        <v>136.89075630252091</v>
      </c>
      <c r="O22" s="19">
        <f t="shared" si="4"/>
        <v>0</v>
      </c>
      <c r="P22" s="20">
        <f t="shared" si="5"/>
        <v>-5.9663865546219483</v>
      </c>
      <c r="Q22" s="373">
        <f t="shared" si="6"/>
        <v>0.95823529411764641</v>
      </c>
      <c r="R22" s="637"/>
      <c r="S22" s="40">
        <v>0.2479166666666667</v>
      </c>
      <c r="T22" s="40">
        <v>0.29513888888888895</v>
      </c>
      <c r="U22" s="374">
        <f t="shared" ref="U22:U27" si="22">IF(S22=TIME(17,0,0),"",(S22-T21)*24*60)</f>
        <v>6.0000000000000187</v>
      </c>
      <c r="V22" s="377">
        <f t="shared" si="21"/>
        <v>68.000000000000043</v>
      </c>
      <c r="W22" s="23"/>
      <c r="X22" s="374"/>
      <c r="Y22" s="374"/>
      <c r="Z22" s="374"/>
      <c r="AA22" s="632"/>
      <c r="AB22" s="632"/>
      <c r="AC22" s="25"/>
      <c r="AD22" s="25"/>
      <c r="AE22" s="19">
        <f t="shared" si="8"/>
        <v>-83.52941176470722</v>
      </c>
      <c r="AF22" s="373">
        <f t="shared" si="9"/>
        <v>0.95823529411764641</v>
      </c>
      <c r="AG22" s="637"/>
    </row>
    <row r="23" spans="1:33" ht="15.75" customHeight="1">
      <c r="A23" s="656" t="s">
        <v>1945</v>
      </c>
      <c r="B23" s="42" t="s">
        <v>92</v>
      </c>
      <c r="C23" s="653" t="s">
        <v>112</v>
      </c>
      <c r="D23" s="653"/>
      <c r="E23" s="42">
        <v>53.27</v>
      </c>
      <c r="F23" s="378">
        <v>1274</v>
      </c>
      <c r="G23" s="374">
        <f t="shared" si="19"/>
        <v>67865.98000000001</v>
      </c>
      <c r="H23" s="37" t="s">
        <v>91</v>
      </c>
      <c r="I23" s="376">
        <v>16</v>
      </c>
      <c r="J23" s="39">
        <v>2000</v>
      </c>
      <c r="K23" s="17">
        <f t="shared" si="1"/>
        <v>125</v>
      </c>
      <c r="L23" s="376">
        <v>16</v>
      </c>
      <c r="M23" s="18">
        <f t="shared" si="20"/>
        <v>1910.9999999999993</v>
      </c>
      <c r="N23" s="17">
        <f t="shared" si="3"/>
        <v>119.43749999999996</v>
      </c>
      <c r="O23" s="19">
        <f t="shared" si="4"/>
        <v>0</v>
      </c>
      <c r="P23" s="20">
        <f t="shared" si="5"/>
        <v>-5.5625000000000426</v>
      </c>
      <c r="Q23" s="373">
        <f t="shared" si="6"/>
        <v>0.95549999999999968</v>
      </c>
      <c r="R23" s="637"/>
      <c r="S23" s="40">
        <v>0.29861111111111116</v>
      </c>
      <c r="T23" s="40">
        <v>0.32638888888888895</v>
      </c>
      <c r="U23" s="374">
        <f t="shared" si="22"/>
        <v>4.9999999999999822</v>
      </c>
      <c r="V23" s="377">
        <f t="shared" si="21"/>
        <v>40.000000000000014</v>
      </c>
      <c r="W23" s="23"/>
      <c r="X23" s="374"/>
      <c r="Y23" s="374"/>
      <c r="Z23" s="374"/>
      <c r="AA23" s="632"/>
      <c r="AB23" s="632"/>
      <c r="AC23" s="25"/>
      <c r="AD23" s="25"/>
      <c r="AE23" s="19">
        <f t="shared" si="8"/>
        <v>-89.000000000000682</v>
      </c>
      <c r="AF23" s="373">
        <f t="shared" si="9"/>
        <v>0.95549999999999968</v>
      </c>
      <c r="AG23" s="637"/>
    </row>
    <row r="24" spans="1:33" ht="15.75" customHeight="1">
      <c r="A24" s="656" t="s">
        <v>1945</v>
      </c>
      <c r="B24" s="42" t="s">
        <v>92</v>
      </c>
      <c r="C24" s="653" t="s">
        <v>1852</v>
      </c>
      <c r="D24" s="653"/>
      <c r="E24" s="42">
        <v>56.43</v>
      </c>
      <c r="F24" s="378">
        <v>3329</v>
      </c>
      <c r="G24" s="374">
        <f t="shared" si="19"/>
        <v>187855.47</v>
      </c>
      <c r="H24" s="37" t="s">
        <v>91</v>
      </c>
      <c r="I24" s="376">
        <v>25</v>
      </c>
      <c r="J24" s="39">
        <v>2000</v>
      </c>
      <c r="K24" s="17">
        <f t="shared" si="1"/>
        <v>80</v>
      </c>
      <c r="L24" s="376">
        <v>25</v>
      </c>
      <c r="M24" s="18">
        <f t="shared" si="20"/>
        <v>1920.5769230769224</v>
      </c>
      <c r="N24" s="17">
        <f t="shared" si="3"/>
        <v>76.823076923076897</v>
      </c>
      <c r="O24" s="19">
        <f t="shared" si="4"/>
        <v>0</v>
      </c>
      <c r="P24" s="20">
        <f t="shared" si="5"/>
        <v>-3.1769230769231029</v>
      </c>
      <c r="Q24" s="373">
        <f t="shared" si="6"/>
        <v>0.96028846153846126</v>
      </c>
      <c r="R24" s="637"/>
      <c r="S24" s="40">
        <v>0.33125000000000004</v>
      </c>
      <c r="T24" s="40">
        <v>0.40347222222222229</v>
      </c>
      <c r="U24" s="374">
        <f t="shared" si="22"/>
        <v>6.9999999999999751</v>
      </c>
      <c r="V24" s="377">
        <f t="shared" si="21"/>
        <v>104.00000000000003</v>
      </c>
      <c r="W24" s="23"/>
      <c r="X24" s="374"/>
      <c r="Y24" s="374"/>
      <c r="Z24" s="374"/>
      <c r="AA24" s="632"/>
      <c r="AB24" s="632"/>
      <c r="AC24" s="25"/>
      <c r="AD24" s="25"/>
      <c r="AE24" s="19">
        <f t="shared" si="8"/>
        <v>-79.423076923077588</v>
      </c>
      <c r="AF24" s="373">
        <f t="shared" si="9"/>
        <v>0.96028846153846126</v>
      </c>
      <c r="AG24" s="637"/>
    </row>
    <row r="25" spans="1:33" ht="15.75" customHeight="1">
      <c r="A25" s="656" t="s">
        <v>1945</v>
      </c>
      <c r="B25" s="42" t="s">
        <v>92</v>
      </c>
      <c r="C25" s="653" t="s">
        <v>113</v>
      </c>
      <c r="D25" s="653"/>
      <c r="E25" s="42">
        <v>56.43</v>
      </c>
      <c r="F25" s="378">
        <v>1347</v>
      </c>
      <c r="G25" s="374">
        <f t="shared" si="19"/>
        <v>76011.210000000006</v>
      </c>
      <c r="H25" s="37" t="s">
        <v>91</v>
      </c>
      <c r="I25" s="376">
        <v>13</v>
      </c>
      <c r="J25" s="39">
        <v>2000</v>
      </c>
      <c r="K25" s="17">
        <f t="shared" si="1"/>
        <v>153.84615384615384</v>
      </c>
      <c r="L25" s="376">
        <v>13</v>
      </c>
      <c r="M25" s="18">
        <f t="shared" si="20"/>
        <v>1924.2857142857138</v>
      </c>
      <c r="N25" s="17">
        <f t="shared" si="3"/>
        <v>148.02197802197799</v>
      </c>
      <c r="O25" s="19">
        <f t="shared" si="4"/>
        <v>0</v>
      </c>
      <c r="P25" s="20">
        <f t="shared" si="5"/>
        <v>-5.8241758241758532</v>
      </c>
      <c r="Q25" s="373">
        <f t="shared" si="6"/>
        <v>0.96214285714285697</v>
      </c>
      <c r="R25" s="637"/>
      <c r="S25" s="40">
        <v>0.70833333333333337</v>
      </c>
      <c r="T25" s="40">
        <v>0.73750000000000004</v>
      </c>
      <c r="U25" s="374" t="str">
        <f t="shared" si="22"/>
        <v/>
      </c>
      <c r="V25" s="377">
        <f t="shared" si="21"/>
        <v>42.000000000000014</v>
      </c>
      <c r="W25" s="23"/>
      <c r="X25" s="23"/>
      <c r="Y25" s="374"/>
      <c r="Z25" s="374"/>
      <c r="AA25" s="632"/>
      <c r="AB25" s="632"/>
      <c r="AC25" s="25"/>
      <c r="AD25" s="25"/>
      <c r="AE25" s="19">
        <f t="shared" si="8"/>
        <v>-75.714285714286234</v>
      </c>
      <c r="AF25" s="373">
        <f t="shared" si="9"/>
        <v>0.96214285714285686</v>
      </c>
      <c r="AG25" s="637"/>
    </row>
    <row r="26" spans="1:33" ht="15.75" customHeight="1">
      <c r="A26" s="656" t="s">
        <v>1945</v>
      </c>
      <c r="B26" s="42" t="s">
        <v>92</v>
      </c>
      <c r="C26" s="653" t="s">
        <v>140</v>
      </c>
      <c r="D26" s="653"/>
      <c r="E26" s="42">
        <v>51.06</v>
      </c>
      <c r="F26" s="378">
        <v>3134</v>
      </c>
      <c r="G26" s="374">
        <f t="shared" si="19"/>
        <v>160022.04</v>
      </c>
      <c r="H26" s="37" t="s">
        <v>91</v>
      </c>
      <c r="I26" s="376">
        <v>13</v>
      </c>
      <c r="J26" s="39">
        <v>2000</v>
      </c>
      <c r="K26" s="17">
        <f t="shared" si="1"/>
        <v>153.84615384615384</v>
      </c>
      <c r="L26" s="376">
        <v>13</v>
      </c>
      <c r="M26" s="18">
        <f t="shared" si="20"/>
        <v>1918.7755102040821</v>
      </c>
      <c r="N26" s="17">
        <f t="shared" si="3"/>
        <v>147.59811616954477</v>
      </c>
      <c r="O26" s="19">
        <f t="shared" si="4"/>
        <v>0</v>
      </c>
      <c r="P26" s="20">
        <f t="shared" si="5"/>
        <v>-6.2480376766090728</v>
      </c>
      <c r="Q26" s="373">
        <f t="shared" si="6"/>
        <v>0.959387755102041</v>
      </c>
      <c r="R26" s="637"/>
      <c r="S26" s="40">
        <v>0.74097222222222225</v>
      </c>
      <c r="T26" s="40">
        <v>0.80902777777777779</v>
      </c>
      <c r="U26" s="374">
        <f t="shared" si="22"/>
        <v>4.9999999999999822</v>
      </c>
      <c r="V26" s="377">
        <f t="shared" si="21"/>
        <v>97.999999999999972</v>
      </c>
      <c r="W26" s="23"/>
      <c r="X26" s="28"/>
      <c r="Y26" s="28"/>
      <c r="Z26" s="28"/>
      <c r="AA26" s="632"/>
      <c r="AB26" s="632"/>
      <c r="AC26" s="25"/>
      <c r="AD26" s="25"/>
      <c r="AE26" s="19">
        <f t="shared" si="8"/>
        <v>-81.224489795917862</v>
      </c>
      <c r="AF26" s="373">
        <f t="shared" si="9"/>
        <v>0.95938775510204111</v>
      </c>
      <c r="AG26" s="637"/>
    </row>
    <row r="27" spans="1:33" ht="15.75" customHeight="1">
      <c r="A27" s="656" t="s">
        <v>1946</v>
      </c>
      <c r="B27" s="42" t="s">
        <v>92</v>
      </c>
      <c r="C27" s="679" t="s">
        <v>95</v>
      </c>
      <c r="D27" s="680"/>
      <c r="E27" s="42">
        <v>50.67</v>
      </c>
      <c r="F27" s="378">
        <v>1483</v>
      </c>
      <c r="G27" s="374">
        <f t="shared" si="19"/>
        <v>75143.61</v>
      </c>
      <c r="H27" s="37" t="s">
        <v>91</v>
      </c>
      <c r="I27" s="376">
        <v>15</v>
      </c>
      <c r="J27" s="39">
        <v>2000</v>
      </c>
      <c r="K27" s="17">
        <f t="shared" si="1"/>
        <v>133.33333333333334</v>
      </c>
      <c r="L27" s="376">
        <v>15</v>
      </c>
      <c r="M27" s="18">
        <f t="shared" si="20"/>
        <v>1934.3478260869565</v>
      </c>
      <c r="N27" s="17">
        <f t="shared" si="3"/>
        <v>128.95652173913044</v>
      </c>
      <c r="O27" s="19">
        <f t="shared" si="4"/>
        <v>0</v>
      </c>
      <c r="P27" s="20">
        <f t="shared" si="5"/>
        <v>-4.3768115942029056</v>
      </c>
      <c r="Q27" s="373">
        <f t="shared" si="6"/>
        <v>0.96717391304347822</v>
      </c>
      <c r="R27" s="637"/>
      <c r="S27" s="40">
        <v>0.8125</v>
      </c>
      <c r="T27" s="40">
        <v>0.84444444444444444</v>
      </c>
      <c r="U27" s="374">
        <f t="shared" si="22"/>
        <v>4.9999999999999822</v>
      </c>
      <c r="V27" s="377">
        <f t="shared" si="21"/>
        <v>46</v>
      </c>
      <c r="W27" s="23"/>
      <c r="X27" s="28"/>
      <c r="Y27" s="136"/>
      <c r="Z27" s="136"/>
      <c r="AA27" s="627"/>
      <c r="AB27" s="628"/>
      <c r="AC27" s="25"/>
      <c r="AD27" s="25"/>
      <c r="AE27" s="19">
        <f t="shared" si="8"/>
        <v>-65.652173913043498</v>
      </c>
      <c r="AF27" s="373">
        <f t="shared" si="9"/>
        <v>0.96717391304347822</v>
      </c>
      <c r="AG27" s="637"/>
    </row>
    <row r="28" spans="1:33" ht="15.75" customHeight="1">
      <c r="A28" s="656" t="s">
        <v>1945</v>
      </c>
      <c r="B28" s="42" t="s">
        <v>1941</v>
      </c>
      <c r="C28" s="638"/>
      <c r="D28" s="638"/>
      <c r="E28" s="375"/>
      <c r="F28" s="378"/>
      <c r="G28" s="374"/>
      <c r="H28" s="378"/>
      <c r="I28" s="29">
        <v>16.142857142857142</v>
      </c>
      <c r="J28" s="39">
        <v>2000</v>
      </c>
      <c r="K28" s="17">
        <f t="shared" si="1"/>
        <v>123.89380530973452</v>
      </c>
      <c r="L28" s="29">
        <v>16.142857142857142</v>
      </c>
      <c r="M28" s="18">
        <f>AVERAGE(M21:M27)</f>
        <v>1920.7795088412809</v>
      </c>
      <c r="N28" s="17">
        <f t="shared" si="3"/>
        <v>118.98634125565457</v>
      </c>
      <c r="O28" s="19">
        <f t="shared" si="4"/>
        <v>0</v>
      </c>
      <c r="P28" s="20">
        <f t="shared" si="5"/>
        <v>-4.9074640540799521</v>
      </c>
      <c r="Q28" s="373">
        <f t="shared" si="6"/>
        <v>0.96038975442064034</v>
      </c>
      <c r="R28" s="637"/>
      <c r="S28" s="40"/>
      <c r="T28" s="40"/>
      <c r="U28" s="17"/>
      <c r="V28" s="377"/>
      <c r="W28" s="17"/>
      <c r="X28" s="17"/>
      <c r="Y28" s="30">
        <f>SUM(Y21:Y27)</f>
        <v>0</v>
      </c>
      <c r="Z28" s="30">
        <f>SUM(Z21:Z27)</f>
        <v>0</v>
      </c>
      <c r="AA28" s="631"/>
      <c r="AB28" s="631"/>
      <c r="AC28" s="30">
        <v>7</v>
      </c>
      <c r="AD28" s="30">
        <f>SUM(AD21:AD27)</f>
        <v>0</v>
      </c>
      <c r="AE28" s="19">
        <f t="shared" si="8"/>
        <v>-79.220491158719142</v>
      </c>
      <c r="AF28" s="373">
        <f t="shared" si="9"/>
        <v>0.96038975442064045</v>
      </c>
      <c r="AG28" s="637"/>
    </row>
    <row r="29" spans="1:33" ht="15.75" customHeight="1">
      <c r="A29" s="654" t="s">
        <v>1947</v>
      </c>
      <c r="B29" s="42" t="s">
        <v>116</v>
      </c>
      <c r="C29" s="653" t="s">
        <v>117</v>
      </c>
      <c r="D29" s="653"/>
      <c r="E29" s="42">
        <v>31.29</v>
      </c>
      <c r="F29" s="378">
        <v>5400</v>
      </c>
      <c r="G29" s="374">
        <f t="shared" ref="G29:G35" si="23">E29*F29</f>
        <v>168966</v>
      </c>
      <c r="H29" s="37">
        <v>2</v>
      </c>
      <c r="I29" s="376">
        <v>18</v>
      </c>
      <c r="J29" s="39">
        <v>2400</v>
      </c>
      <c r="K29" s="17">
        <f t="shared" si="1"/>
        <v>133.33333333333334</v>
      </c>
      <c r="L29" s="376">
        <v>18</v>
      </c>
      <c r="M29" s="18">
        <f t="shared" ref="M29:M35" si="24">F29/V29*60</f>
        <v>2281.6901408450703</v>
      </c>
      <c r="N29" s="17">
        <f t="shared" si="3"/>
        <v>126.76056338028168</v>
      </c>
      <c r="O29" s="19">
        <f t="shared" si="4"/>
        <v>0</v>
      </c>
      <c r="P29" s="20">
        <f t="shared" si="5"/>
        <v>-6.5727699530516617</v>
      </c>
      <c r="Q29" s="373">
        <f t="shared" si="6"/>
        <v>0.95070422535211252</v>
      </c>
      <c r="R29" s="637">
        <f>Q36</f>
        <v>0.95585526872477866</v>
      </c>
      <c r="S29" s="40">
        <v>8.3333333333333329E-2</v>
      </c>
      <c r="T29" s="40">
        <v>0.18194444444444444</v>
      </c>
      <c r="U29" s="374"/>
      <c r="V29" s="377">
        <f t="shared" ref="V29:V35" si="25">(T29-S29)*24*60</f>
        <v>142</v>
      </c>
      <c r="W29" s="23">
        <f>T29</f>
        <v>0.18194444444444444</v>
      </c>
      <c r="X29" s="23">
        <f>S30</f>
        <v>0.19999999999999998</v>
      </c>
      <c r="Y29" s="23"/>
      <c r="Z29" s="23"/>
      <c r="AA29" s="632"/>
      <c r="AB29" s="632"/>
      <c r="AC29" s="25">
        <v>7</v>
      </c>
      <c r="AD29" s="25"/>
      <c r="AE29" s="19">
        <f t="shared" si="8"/>
        <v>-118.30985915492965</v>
      </c>
      <c r="AF29" s="373">
        <f t="shared" si="9"/>
        <v>0.95070422535211263</v>
      </c>
      <c r="AG29" s="637">
        <f>AF36</f>
        <v>0.95585526872477866</v>
      </c>
    </row>
    <row r="30" spans="1:33" ht="15.75" customHeight="1">
      <c r="A30" s="654" t="s">
        <v>1948</v>
      </c>
      <c r="B30" s="42" t="s">
        <v>116</v>
      </c>
      <c r="C30" s="653" t="s">
        <v>118</v>
      </c>
      <c r="D30" s="653"/>
      <c r="E30" s="42">
        <v>26.37</v>
      </c>
      <c r="F30" s="378">
        <v>6520</v>
      </c>
      <c r="G30" s="374">
        <f t="shared" si="23"/>
        <v>171932.4</v>
      </c>
      <c r="H30" s="37" t="s">
        <v>91</v>
      </c>
      <c r="I30" s="376">
        <v>18</v>
      </c>
      <c r="J30" s="39">
        <v>2400</v>
      </c>
      <c r="K30" s="17">
        <f t="shared" si="1"/>
        <v>133.33333333333334</v>
      </c>
      <c r="L30" s="376">
        <v>18</v>
      </c>
      <c r="M30" s="18">
        <f t="shared" si="24"/>
        <v>2287.7192982456145</v>
      </c>
      <c r="N30" s="17">
        <f t="shared" si="3"/>
        <v>127.09551656920081</v>
      </c>
      <c r="O30" s="19">
        <f t="shared" si="4"/>
        <v>0</v>
      </c>
      <c r="P30" s="20">
        <f t="shared" si="5"/>
        <v>-6.2378167641325319</v>
      </c>
      <c r="Q30" s="373">
        <f t="shared" si="6"/>
        <v>0.95321637426900596</v>
      </c>
      <c r="R30" s="637"/>
      <c r="S30" s="40">
        <v>0.19999999999999998</v>
      </c>
      <c r="T30" s="40">
        <v>0.31874999999999998</v>
      </c>
      <c r="U30" s="374">
        <f t="shared" ref="U30:U35" si="26">(S30-T29)*24*60</f>
        <v>25.999999999999986</v>
      </c>
      <c r="V30" s="377">
        <f t="shared" si="25"/>
        <v>170.99999999999997</v>
      </c>
      <c r="W30" s="23"/>
      <c r="X30" s="23"/>
      <c r="Y30" s="23"/>
      <c r="Z30" s="23"/>
      <c r="AA30" s="632"/>
      <c r="AB30" s="632"/>
      <c r="AC30" s="25"/>
      <c r="AD30" s="25"/>
      <c r="AE30" s="19">
        <f t="shared" si="8"/>
        <v>-112.28070175438552</v>
      </c>
      <c r="AF30" s="373">
        <f t="shared" si="9"/>
        <v>0.95321637426900607</v>
      </c>
      <c r="AG30" s="637"/>
    </row>
    <row r="31" spans="1:33" ht="15.75" customHeight="1">
      <c r="A31" s="654" t="s">
        <v>1947</v>
      </c>
      <c r="B31" s="42" t="s">
        <v>116</v>
      </c>
      <c r="C31" s="653" t="s">
        <v>124</v>
      </c>
      <c r="D31" s="653"/>
      <c r="E31" s="42">
        <v>24.43</v>
      </c>
      <c r="F31" s="378">
        <v>3900</v>
      </c>
      <c r="G31" s="374">
        <f t="shared" si="23"/>
        <v>95277</v>
      </c>
      <c r="H31" s="37">
        <v>2</v>
      </c>
      <c r="I31" s="376">
        <v>14</v>
      </c>
      <c r="J31" s="39">
        <v>2400</v>
      </c>
      <c r="K31" s="17">
        <f t="shared" si="1"/>
        <v>171.42857142857142</v>
      </c>
      <c r="L31" s="376">
        <v>14</v>
      </c>
      <c r="M31" s="18">
        <f t="shared" si="24"/>
        <v>2294.1176470588243</v>
      </c>
      <c r="N31" s="17">
        <f t="shared" si="3"/>
        <v>163.86554621848745</v>
      </c>
      <c r="O31" s="19">
        <f t="shared" si="4"/>
        <v>0</v>
      </c>
      <c r="P31" s="20">
        <f t="shared" si="5"/>
        <v>-7.5630252100839641</v>
      </c>
      <c r="Q31" s="373">
        <f t="shared" si="6"/>
        <v>0.95588235294117685</v>
      </c>
      <c r="R31" s="637"/>
      <c r="S31" s="40">
        <v>0.32361111111111107</v>
      </c>
      <c r="T31" s="40">
        <v>0.39444444444444438</v>
      </c>
      <c r="U31" s="374">
        <f t="shared" si="26"/>
        <v>6.9999999999999751</v>
      </c>
      <c r="V31" s="377">
        <f t="shared" si="25"/>
        <v>101.99999999999996</v>
      </c>
      <c r="W31" s="23"/>
      <c r="X31" s="23"/>
      <c r="Y31" s="23"/>
      <c r="Z31" s="23"/>
      <c r="AA31" s="632"/>
      <c r="AB31" s="632"/>
      <c r="AC31" s="25"/>
      <c r="AD31" s="25"/>
      <c r="AE31" s="19">
        <f t="shared" si="8"/>
        <v>-105.88235294117567</v>
      </c>
      <c r="AF31" s="373">
        <f t="shared" si="9"/>
        <v>0.95588235294117685</v>
      </c>
      <c r="AG31" s="637"/>
    </row>
    <row r="32" spans="1:33" ht="15.75" customHeight="1">
      <c r="A32" s="654" t="s">
        <v>1947</v>
      </c>
      <c r="B32" s="42" t="s">
        <v>116</v>
      </c>
      <c r="C32" s="653" t="s">
        <v>149</v>
      </c>
      <c r="D32" s="653"/>
      <c r="E32" s="42">
        <v>24.25</v>
      </c>
      <c r="F32" s="378">
        <v>3292</v>
      </c>
      <c r="G32" s="374">
        <f t="shared" si="23"/>
        <v>79831</v>
      </c>
      <c r="H32" s="37" t="s">
        <v>91</v>
      </c>
      <c r="I32" s="376">
        <v>16</v>
      </c>
      <c r="J32" s="39">
        <v>2400</v>
      </c>
      <c r="K32" s="17">
        <f t="shared" si="1"/>
        <v>150</v>
      </c>
      <c r="L32" s="376">
        <v>16</v>
      </c>
      <c r="M32" s="18">
        <f t="shared" si="24"/>
        <v>2296.7441860465115</v>
      </c>
      <c r="N32" s="17">
        <f t="shared" si="3"/>
        <v>143.54651162790697</v>
      </c>
      <c r="O32" s="19">
        <f t="shared" si="4"/>
        <v>0</v>
      </c>
      <c r="P32" s="20">
        <f t="shared" si="5"/>
        <v>-6.4534883720930338</v>
      </c>
      <c r="Q32" s="373">
        <f t="shared" si="6"/>
        <v>0.95697674418604639</v>
      </c>
      <c r="R32" s="637"/>
      <c r="S32" s="40">
        <v>0.39791666666666659</v>
      </c>
      <c r="T32" s="40">
        <v>0.45763888888888882</v>
      </c>
      <c r="U32" s="374">
        <f t="shared" si="26"/>
        <v>4.9999999999999822</v>
      </c>
      <c r="V32" s="377">
        <f t="shared" si="25"/>
        <v>86.000000000000014</v>
      </c>
      <c r="W32" s="23"/>
      <c r="X32" s="23"/>
      <c r="Y32" s="23"/>
      <c r="Z32" s="23"/>
      <c r="AA32" s="632"/>
      <c r="AB32" s="632"/>
      <c r="AC32" s="25"/>
      <c r="AD32" s="25"/>
      <c r="AE32" s="19">
        <f t="shared" si="8"/>
        <v>-103.25581395348854</v>
      </c>
      <c r="AF32" s="373">
        <f t="shared" si="9"/>
        <v>0.95697674418604639</v>
      </c>
      <c r="AG32" s="637"/>
    </row>
    <row r="33" spans="1:33" ht="15.75" customHeight="1">
      <c r="A33" s="654" t="s">
        <v>1947</v>
      </c>
      <c r="B33" s="42" t="s">
        <v>116</v>
      </c>
      <c r="C33" s="653" t="s">
        <v>150</v>
      </c>
      <c r="D33" s="653"/>
      <c r="E33" s="42">
        <v>23.89</v>
      </c>
      <c r="F33" s="378">
        <v>2481</v>
      </c>
      <c r="G33" s="374">
        <f t="shared" si="23"/>
        <v>59271.090000000004</v>
      </c>
      <c r="H33" s="37" t="s">
        <v>91</v>
      </c>
      <c r="I33" s="376">
        <v>13</v>
      </c>
      <c r="J33" s="39">
        <v>2400</v>
      </c>
      <c r="K33" s="17">
        <f t="shared" si="1"/>
        <v>184.61538461538461</v>
      </c>
      <c r="L33" s="376">
        <v>13</v>
      </c>
      <c r="M33" s="18">
        <f t="shared" si="24"/>
        <v>2290.1538461538485</v>
      </c>
      <c r="N33" s="17">
        <f t="shared" si="3"/>
        <v>176.16568047337296</v>
      </c>
      <c r="O33" s="19">
        <f t="shared" si="4"/>
        <v>0</v>
      </c>
      <c r="P33" s="20">
        <f t="shared" si="5"/>
        <v>-8.4497041420116545</v>
      </c>
      <c r="Q33" s="373">
        <f t="shared" si="6"/>
        <v>0.95423076923077021</v>
      </c>
      <c r="R33" s="637"/>
      <c r="S33" s="40">
        <v>0.46180555555555547</v>
      </c>
      <c r="T33" s="40">
        <v>0.50694444444444431</v>
      </c>
      <c r="U33" s="374">
        <f t="shared" si="26"/>
        <v>5.9999999999999787</v>
      </c>
      <c r="V33" s="377">
        <f t="shared" si="25"/>
        <v>64.999999999999929</v>
      </c>
      <c r="W33" s="23">
        <f>T33</f>
        <v>0.50694444444444431</v>
      </c>
      <c r="X33" s="23">
        <f>S34</f>
        <v>0.54583333333333317</v>
      </c>
      <c r="Y33" s="23"/>
      <c r="Z33" s="23"/>
      <c r="AA33" s="632"/>
      <c r="AB33" s="632"/>
      <c r="AC33" s="25"/>
      <c r="AD33" s="25"/>
      <c r="AE33" s="19">
        <f t="shared" si="8"/>
        <v>-109.84615384615154</v>
      </c>
      <c r="AF33" s="373">
        <f t="shared" si="9"/>
        <v>0.95423076923077021</v>
      </c>
      <c r="AG33" s="637"/>
    </row>
    <row r="34" spans="1:33" ht="15.75" customHeight="1">
      <c r="A34" s="654" t="s">
        <v>1947</v>
      </c>
      <c r="B34" s="42" t="s">
        <v>116</v>
      </c>
      <c r="C34" s="653" t="s">
        <v>117</v>
      </c>
      <c r="D34" s="653"/>
      <c r="E34" s="42">
        <v>31.29</v>
      </c>
      <c r="F34" s="378">
        <v>4065</v>
      </c>
      <c r="G34" s="374">
        <f t="shared" si="23"/>
        <v>127193.84999999999</v>
      </c>
      <c r="H34" s="37" t="s">
        <v>91</v>
      </c>
      <c r="I34" s="376">
        <v>18</v>
      </c>
      <c r="J34" s="39">
        <v>2400</v>
      </c>
      <c r="K34" s="17">
        <f t="shared" si="1"/>
        <v>133.33333333333334</v>
      </c>
      <c r="L34" s="376">
        <v>18</v>
      </c>
      <c r="M34" s="18">
        <f t="shared" si="24"/>
        <v>2300.9433962264161</v>
      </c>
      <c r="N34" s="17">
        <f t="shared" si="3"/>
        <v>127.83018867924534</v>
      </c>
      <c r="O34" s="19">
        <f t="shared" si="4"/>
        <v>0</v>
      </c>
      <c r="P34" s="20">
        <f t="shared" si="5"/>
        <v>-5.503144654088004</v>
      </c>
      <c r="Q34" s="373">
        <f t="shared" si="6"/>
        <v>0.95872641509433998</v>
      </c>
      <c r="R34" s="637"/>
      <c r="S34" s="40">
        <v>0.54583333333333317</v>
      </c>
      <c r="T34" s="40">
        <v>0.61944444444444424</v>
      </c>
      <c r="U34" s="374">
        <f t="shared" si="26"/>
        <v>55.999999999999957</v>
      </c>
      <c r="V34" s="377">
        <f t="shared" si="25"/>
        <v>105.99999999999994</v>
      </c>
      <c r="W34" s="23"/>
      <c r="X34" s="23"/>
      <c r="Y34" s="23"/>
      <c r="Z34" s="23"/>
      <c r="AA34" s="632"/>
      <c r="AB34" s="632"/>
      <c r="AC34" s="25"/>
      <c r="AD34" s="25"/>
      <c r="AE34" s="19">
        <f t="shared" si="8"/>
        <v>-99.056603773583902</v>
      </c>
      <c r="AF34" s="373">
        <f t="shared" si="9"/>
        <v>0.95872641509434009</v>
      </c>
      <c r="AG34" s="637"/>
    </row>
    <row r="35" spans="1:33" ht="15.75" customHeight="1">
      <c r="A35" s="654" t="s">
        <v>1947</v>
      </c>
      <c r="B35" s="42" t="s">
        <v>116</v>
      </c>
      <c r="C35" s="653" t="s">
        <v>124</v>
      </c>
      <c r="D35" s="653"/>
      <c r="E35" s="42">
        <v>24.43</v>
      </c>
      <c r="F35" s="378">
        <v>3076</v>
      </c>
      <c r="G35" s="374">
        <f t="shared" si="23"/>
        <v>75146.679999999993</v>
      </c>
      <c r="H35" s="37" t="s">
        <v>91</v>
      </c>
      <c r="I35" s="376">
        <v>14</v>
      </c>
      <c r="J35" s="39">
        <v>2400</v>
      </c>
      <c r="K35" s="17">
        <f t="shared" si="1"/>
        <v>171.42857142857142</v>
      </c>
      <c r="L35" s="376">
        <v>14</v>
      </c>
      <c r="M35" s="18">
        <f t="shared" si="24"/>
        <v>2306.9999999999991</v>
      </c>
      <c r="N35" s="17">
        <f t="shared" si="3"/>
        <v>164.78571428571422</v>
      </c>
      <c r="O35" s="19">
        <f t="shared" si="4"/>
        <v>0</v>
      </c>
      <c r="P35" s="20">
        <f t="shared" si="5"/>
        <v>-6.6428571428571956</v>
      </c>
      <c r="Q35" s="373">
        <f t="shared" si="6"/>
        <v>0.96124999999999972</v>
      </c>
      <c r="R35" s="637"/>
      <c r="S35" s="40">
        <v>0.62361111111111089</v>
      </c>
      <c r="T35" s="40">
        <v>0.67916666666666647</v>
      </c>
      <c r="U35" s="374">
        <f t="shared" si="26"/>
        <v>5.9999999999999787</v>
      </c>
      <c r="V35" s="377">
        <f t="shared" si="25"/>
        <v>80.000000000000028</v>
      </c>
      <c r="W35" s="23"/>
      <c r="X35" s="23"/>
      <c r="Y35" s="23"/>
      <c r="Z35" s="23"/>
      <c r="AA35" s="632"/>
      <c r="AB35" s="632"/>
      <c r="AC35" s="25"/>
      <c r="AD35" s="25"/>
      <c r="AE35" s="19">
        <f t="shared" si="8"/>
        <v>-93.000000000000909</v>
      </c>
      <c r="AF35" s="373">
        <f t="shared" si="9"/>
        <v>0.9612499999999996</v>
      </c>
      <c r="AG35" s="637"/>
    </row>
    <row r="36" spans="1:33" ht="15.75" customHeight="1">
      <c r="A36" s="654" t="s">
        <v>1947</v>
      </c>
      <c r="B36" s="42" t="s">
        <v>1941</v>
      </c>
      <c r="C36" s="638"/>
      <c r="D36" s="638"/>
      <c r="E36" s="375"/>
      <c r="F36" s="378"/>
      <c r="G36" s="374"/>
      <c r="H36" s="378"/>
      <c r="I36" s="29">
        <v>15.857142857142858</v>
      </c>
      <c r="J36" s="39">
        <v>2400</v>
      </c>
      <c r="K36" s="17">
        <f t="shared" si="1"/>
        <v>151.35135135135135</v>
      </c>
      <c r="L36" s="29">
        <v>15.857142857142858</v>
      </c>
      <c r="M36" s="18">
        <f>AVERAGE(M29:M35)</f>
        <v>2294.0526449394688</v>
      </c>
      <c r="N36" s="17">
        <f t="shared" si="3"/>
        <v>144.66998661780434</v>
      </c>
      <c r="O36" s="19">
        <f t="shared" si="4"/>
        <v>0</v>
      </c>
      <c r="P36" s="20">
        <f t="shared" si="5"/>
        <v>-6.6813647335470137</v>
      </c>
      <c r="Q36" s="373">
        <f t="shared" si="6"/>
        <v>0.95585526872477866</v>
      </c>
      <c r="R36" s="637"/>
      <c r="S36" s="40"/>
      <c r="T36" s="40"/>
      <c r="U36" s="374"/>
      <c r="V36" s="377"/>
      <c r="W36" s="374"/>
      <c r="X36" s="374"/>
      <c r="Y36" s="30">
        <f>SUM(Y29:Y35)</f>
        <v>0</v>
      </c>
      <c r="Z36" s="30">
        <f>SUM(Z29:Z35)</f>
        <v>0</v>
      </c>
      <c r="AA36" s="631"/>
      <c r="AB36" s="631"/>
      <c r="AC36" s="30">
        <v>7</v>
      </c>
      <c r="AD36" s="30">
        <f>SUM(AD29:AD35)</f>
        <v>0</v>
      </c>
      <c r="AE36" s="19">
        <f t="shared" si="8"/>
        <v>-105.94735506053121</v>
      </c>
      <c r="AF36" s="373">
        <f t="shared" si="9"/>
        <v>0.95585526872477866</v>
      </c>
      <c r="AG36" s="637"/>
    </row>
    <row r="37" spans="1:33" ht="15.75" customHeight="1">
      <c r="A37" s="651" t="s">
        <v>1949</v>
      </c>
      <c r="B37" s="42" t="s">
        <v>116</v>
      </c>
      <c r="C37" s="633" t="s">
        <v>123</v>
      </c>
      <c r="D37" s="633"/>
      <c r="E37" s="42">
        <v>26.18</v>
      </c>
      <c r="F37" s="378">
        <v>3600</v>
      </c>
      <c r="G37" s="374">
        <f t="shared" ref="G37:G44" si="27">E37*F37</f>
        <v>94248</v>
      </c>
      <c r="H37" s="37">
        <v>2</v>
      </c>
      <c r="I37" s="376">
        <v>20</v>
      </c>
      <c r="J37" s="39">
        <v>2400</v>
      </c>
      <c r="K37" s="17">
        <f t="shared" si="1"/>
        <v>120</v>
      </c>
      <c r="L37" s="376">
        <v>20</v>
      </c>
      <c r="M37" s="18">
        <f t="shared" ref="M37:M44" si="28">F37/V37*60</f>
        <v>2297.8723404255315</v>
      </c>
      <c r="N37" s="17">
        <f t="shared" si="3"/>
        <v>114.89361702127658</v>
      </c>
      <c r="O37" s="19">
        <f t="shared" si="4"/>
        <v>0</v>
      </c>
      <c r="P37" s="20">
        <f t="shared" si="5"/>
        <v>-5.106382978723417</v>
      </c>
      <c r="Q37" s="373">
        <f t="shared" si="6"/>
        <v>0.95744680851063824</v>
      </c>
      <c r="R37" s="637">
        <f>Q45</f>
        <v>0.95575620525274918</v>
      </c>
      <c r="S37" s="40">
        <v>8.3333333333333329E-2</v>
      </c>
      <c r="T37" s="40">
        <v>0.14861111111111111</v>
      </c>
      <c r="U37" s="374"/>
      <c r="V37" s="377">
        <f t="shared" ref="V37:V44" si="29">(T37-S37)*24*60</f>
        <v>94.000000000000014</v>
      </c>
      <c r="W37" s="28">
        <f>T37</f>
        <v>0.14861111111111111</v>
      </c>
      <c r="X37" s="28">
        <f>S38</f>
        <v>0.16875000000000001</v>
      </c>
      <c r="Y37" s="28"/>
      <c r="Z37" s="28"/>
      <c r="AA37" s="632"/>
      <c r="AB37" s="632"/>
      <c r="AC37" s="25">
        <v>8</v>
      </c>
      <c r="AD37" s="25"/>
      <c r="AE37" s="19">
        <f t="shared" si="8"/>
        <v>-102.12765957446845</v>
      </c>
      <c r="AF37" s="373">
        <f t="shared" si="9"/>
        <v>0.95744680851063813</v>
      </c>
      <c r="AG37" s="637">
        <f>AF45</f>
        <v>0.95575620525274918</v>
      </c>
    </row>
    <row r="38" spans="1:33" ht="15.75" customHeight="1">
      <c r="A38" s="651" t="s">
        <v>1950</v>
      </c>
      <c r="B38" s="42" t="s">
        <v>116</v>
      </c>
      <c r="C38" s="633" t="s">
        <v>147</v>
      </c>
      <c r="D38" s="633"/>
      <c r="E38" s="42">
        <v>25.98</v>
      </c>
      <c r="F38" s="378">
        <v>2522</v>
      </c>
      <c r="G38" s="374">
        <f t="shared" si="27"/>
        <v>65521.56</v>
      </c>
      <c r="H38" s="37" t="s">
        <v>91</v>
      </c>
      <c r="I38" s="376">
        <v>17</v>
      </c>
      <c r="J38" s="39">
        <v>2400</v>
      </c>
      <c r="K38" s="17">
        <f t="shared" si="1"/>
        <v>141.1764705882353</v>
      </c>
      <c r="L38" s="376">
        <v>17</v>
      </c>
      <c r="M38" s="18">
        <f t="shared" si="28"/>
        <v>2292.7272727272725</v>
      </c>
      <c r="N38" s="17">
        <f t="shared" si="3"/>
        <v>134.86631016042779</v>
      </c>
      <c r="O38" s="19">
        <f t="shared" si="4"/>
        <v>0</v>
      </c>
      <c r="P38" s="20">
        <f t="shared" si="5"/>
        <v>-6.3101604278075172</v>
      </c>
      <c r="Q38" s="373">
        <f t="shared" si="6"/>
        <v>0.9553030303030301</v>
      </c>
      <c r="R38" s="637"/>
      <c r="S38" s="40">
        <v>0.16875000000000001</v>
      </c>
      <c r="T38" s="40">
        <v>0.21458333333333335</v>
      </c>
      <c r="U38" s="374">
        <f t="shared" ref="U38:U44" si="30">(S38-T37)*24*60</f>
        <v>29.000000000000018</v>
      </c>
      <c r="V38" s="377">
        <f t="shared" si="29"/>
        <v>66</v>
      </c>
      <c r="W38" s="374"/>
      <c r="X38" s="374"/>
      <c r="Y38" s="374"/>
      <c r="Z38" s="374"/>
      <c r="AA38" s="632"/>
      <c r="AB38" s="632"/>
      <c r="AC38" s="25"/>
      <c r="AD38" s="25"/>
      <c r="AE38" s="19">
        <f t="shared" si="8"/>
        <v>-107.27272727272748</v>
      </c>
      <c r="AF38" s="373">
        <f t="shared" si="9"/>
        <v>0.95530303030303021</v>
      </c>
      <c r="AG38" s="637"/>
    </row>
    <row r="39" spans="1:33">
      <c r="A39" s="652" t="s">
        <v>1950</v>
      </c>
      <c r="B39" s="42" t="s">
        <v>116</v>
      </c>
      <c r="C39" s="633" t="s">
        <v>119</v>
      </c>
      <c r="D39" s="633"/>
      <c r="E39" s="42">
        <v>26.18</v>
      </c>
      <c r="F39" s="378">
        <v>5000</v>
      </c>
      <c r="G39" s="374">
        <f t="shared" si="27"/>
        <v>130900</v>
      </c>
      <c r="H39" s="37">
        <v>2</v>
      </c>
      <c r="I39" s="376">
        <v>18</v>
      </c>
      <c r="J39" s="39">
        <v>2400</v>
      </c>
      <c r="K39" s="17">
        <f t="shared" si="1"/>
        <v>133.33333333333334</v>
      </c>
      <c r="L39" s="376">
        <v>18</v>
      </c>
      <c r="M39" s="18">
        <f t="shared" si="28"/>
        <v>2290.0763358778631</v>
      </c>
      <c r="N39" s="17">
        <f t="shared" si="3"/>
        <v>127.22646310432573</v>
      </c>
      <c r="O39" s="19">
        <f t="shared" si="4"/>
        <v>0</v>
      </c>
      <c r="P39" s="20">
        <f t="shared" si="5"/>
        <v>-6.1068702290076118</v>
      </c>
      <c r="Q39" s="373">
        <f t="shared" si="6"/>
        <v>0.95419847328244289</v>
      </c>
      <c r="R39" s="637"/>
      <c r="S39" s="40">
        <v>0.22013888888888891</v>
      </c>
      <c r="T39" s="40">
        <v>0.31111111111111112</v>
      </c>
      <c r="U39" s="374">
        <f t="shared" si="30"/>
        <v>8.0000000000000107</v>
      </c>
      <c r="V39" s="377">
        <f t="shared" si="29"/>
        <v>130.99999999999997</v>
      </c>
      <c r="W39" s="374"/>
      <c r="X39" s="374"/>
      <c r="Y39" s="374"/>
      <c r="Z39" s="374"/>
      <c r="AA39" s="632"/>
      <c r="AB39" s="632"/>
      <c r="AC39" s="25"/>
      <c r="AD39" s="25"/>
      <c r="AE39" s="19">
        <f t="shared" si="8"/>
        <v>-109.92366412213687</v>
      </c>
      <c r="AF39" s="373">
        <f t="shared" si="9"/>
        <v>0.954198473282443</v>
      </c>
      <c r="AG39" s="637"/>
    </row>
    <row r="40" spans="1:33">
      <c r="A40" s="652" t="s">
        <v>1950</v>
      </c>
      <c r="B40" s="42" t="s">
        <v>116</v>
      </c>
      <c r="C40" s="633" t="s">
        <v>121</v>
      </c>
      <c r="D40" s="633"/>
      <c r="E40" s="42">
        <v>25.99</v>
      </c>
      <c r="F40" s="378">
        <v>3853</v>
      </c>
      <c r="G40" s="374">
        <f t="shared" si="27"/>
        <v>100139.47</v>
      </c>
      <c r="H40" s="37" t="s">
        <v>91</v>
      </c>
      <c r="I40" s="376">
        <v>14</v>
      </c>
      <c r="J40" s="39">
        <v>2400</v>
      </c>
      <c r="K40" s="17">
        <f t="shared" si="1"/>
        <v>171.42857142857142</v>
      </c>
      <c r="L40" s="376">
        <v>14</v>
      </c>
      <c r="M40" s="18">
        <f t="shared" si="28"/>
        <v>2288.91089108911</v>
      </c>
      <c r="N40" s="17">
        <f t="shared" si="3"/>
        <v>163.49363507779358</v>
      </c>
      <c r="O40" s="19">
        <f t="shared" si="4"/>
        <v>0</v>
      </c>
      <c r="P40" s="20">
        <f t="shared" si="5"/>
        <v>-7.9349363507778321</v>
      </c>
      <c r="Q40" s="373">
        <f t="shared" si="6"/>
        <v>0.95371287128712934</v>
      </c>
      <c r="R40" s="637"/>
      <c r="S40" s="40">
        <v>0.31527777777777777</v>
      </c>
      <c r="T40" s="40">
        <v>0.38541666666666663</v>
      </c>
      <c r="U40" s="374">
        <f t="shared" si="30"/>
        <v>5.9999999999999787</v>
      </c>
      <c r="V40" s="377">
        <f t="shared" si="29"/>
        <v>100.99999999999996</v>
      </c>
      <c r="W40" s="23"/>
      <c r="X40" s="23"/>
      <c r="Y40" s="23"/>
      <c r="Z40" s="23"/>
      <c r="AA40" s="632"/>
      <c r="AB40" s="632"/>
      <c r="AC40" s="25"/>
      <c r="AD40" s="25"/>
      <c r="AE40" s="19">
        <f t="shared" si="8"/>
        <v>-111.08910891088999</v>
      </c>
      <c r="AF40" s="373">
        <f t="shared" si="9"/>
        <v>0.95371287128712912</v>
      </c>
      <c r="AG40" s="637"/>
    </row>
    <row r="41" spans="1:33">
      <c r="A41" s="652" t="s">
        <v>1950</v>
      </c>
      <c r="B41" s="42" t="s">
        <v>116</v>
      </c>
      <c r="C41" s="633" t="s">
        <v>126</v>
      </c>
      <c r="D41" s="633"/>
      <c r="E41" s="42">
        <v>34.1</v>
      </c>
      <c r="F41" s="378">
        <v>3600</v>
      </c>
      <c r="G41" s="374">
        <f t="shared" si="27"/>
        <v>122760</v>
      </c>
      <c r="H41" s="37">
        <v>2</v>
      </c>
      <c r="I41" s="376">
        <v>17</v>
      </c>
      <c r="J41" s="39">
        <v>1600</v>
      </c>
      <c r="K41" s="17">
        <f t="shared" si="1"/>
        <v>94.117647058823536</v>
      </c>
      <c r="L41" s="376">
        <v>17</v>
      </c>
      <c r="M41" s="18">
        <f t="shared" si="28"/>
        <v>1531.9148936170218</v>
      </c>
      <c r="N41" s="17">
        <f t="shared" si="3"/>
        <v>90.112640801001277</v>
      </c>
      <c r="O41" s="19">
        <f t="shared" si="4"/>
        <v>0</v>
      </c>
      <c r="P41" s="20">
        <f t="shared" si="5"/>
        <v>-4.0050062578222594</v>
      </c>
      <c r="Q41" s="373">
        <f t="shared" si="6"/>
        <v>0.95744680851063846</v>
      </c>
      <c r="R41" s="637"/>
      <c r="S41" s="40">
        <v>0.39027777777777772</v>
      </c>
      <c r="T41" s="40">
        <v>0.48819444444444438</v>
      </c>
      <c r="U41" s="374">
        <f t="shared" si="30"/>
        <v>6.9999999999999751</v>
      </c>
      <c r="V41" s="377">
        <f t="shared" si="29"/>
        <v>140.99999999999997</v>
      </c>
      <c r="W41" s="23">
        <f>T41</f>
        <v>0.48819444444444438</v>
      </c>
      <c r="X41" s="23">
        <f>S42</f>
        <v>0.52916666666666656</v>
      </c>
      <c r="Y41" s="23"/>
      <c r="Z41" s="23"/>
      <c r="AA41" s="632"/>
      <c r="AB41" s="632"/>
      <c r="AC41" s="25"/>
      <c r="AD41" s="25"/>
      <c r="AE41" s="19">
        <f t="shared" si="8"/>
        <v>-68.085106382978211</v>
      </c>
      <c r="AF41" s="373">
        <f t="shared" si="9"/>
        <v>0.95744680851063857</v>
      </c>
      <c r="AG41" s="637"/>
    </row>
    <row r="42" spans="1:33">
      <c r="A42" s="652" t="s">
        <v>1949</v>
      </c>
      <c r="B42" s="42" t="s">
        <v>116</v>
      </c>
      <c r="C42" s="633" t="s">
        <v>123</v>
      </c>
      <c r="D42" s="633"/>
      <c r="E42" s="42">
        <v>26.18</v>
      </c>
      <c r="F42" s="378">
        <v>2781</v>
      </c>
      <c r="G42" s="374">
        <f t="shared" si="27"/>
        <v>72806.58</v>
      </c>
      <c r="H42" s="37" t="s">
        <v>91</v>
      </c>
      <c r="I42" s="376">
        <v>20</v>
      </c>
      <c r="J42" s="39">
        <v>2400</v>
      </c>
      <c r="K42" s="17">
        <f t="shared" si="1"/>
        <v>120</v>
      </c>
      <c r="L42" s="376">
        <v>20</v>
      </c>
      <c r="M42" s="18">
        <f t="shared" si="28"/>
        <v>2285.7534246575324</v>
      </c>
      <c r="N42" s="17">
        <f t="shared" si="3"/>
        <v>114.28767123287662</v>
      </c>
      <c r="O42" s="19">
        <f t="shared" si="4"/>
        <v>0</v>
      </c>
      <c r="P42" s="20">
        <f t="shared" si="5"/>
        <v>-5.7123287671233811</v>
      </c>
      <c r="Q42" s="373">
        <f t="shared" si="6"/>
        <v>0.95239726027397187</v>
      </c>
      <c r="R42" s="637"/>
      <c r="S42" s="40">
        <v>0.52916666666666656</v>
      </c>
      <c r="T42" s="40">
        <v>0.57986111111111105</v>
      </c>
      <c r="U42" s="374">
        <f t="shared" si="30"/>
        <v>58.99999999999995</v>
      </c>
      <c r="V42" s="377">
        <f t="shared" si="29"/>
        <v>73.000000000000057</v>
      </c>
      <c r="W42" s="23"/>
      <c r="X42" s="23"/>
      <c r="Y42" s="23"/>
      <c r="Z42" s="23"/>
      <c r="AA42" s="632"/>
      <c r="AB42" s="632"/>
      <c r="AC42" s="25"/>
      <c r="AD42" s="25"/>
      <c r="AE42" s="19">
        <f t="shared" si="8"/>
        <v>-114.24657534246762</v>
      </c>
      <c r="AF42" s="373">
        <f t="shared" si="9"/>
        <v>0.95239726027397187</v>
      </c>
      <c r="AG42" s="637"/>
    </row>
    <row r="43" spans="1:33">
      <c r="A43" s="652" t="s">
        <v>1949</v>
      </c>
      <c r="B43" s="42" t="s">
        <v>116</v>
      </c>
      <c r="C43" s="633" t="s">
        <v>119</v>
      </c>
      <c r="D43" s="633"/>
      <c r="E43" s="42">
        <v>26.18</v>
      </c>
      <c r="F43" s="378">
        <v>3910</v>
      </c>
      <c r="G43" s="374">
        <f t="shared" si="27"/>
        <v>102363.8</v>
      </c>
      <c r="H43" s="37" t="s">
        <v>91</v>
      </c>
      <c r="I43" s="376">
        <v>18</v>
      </c>
      <c r="J43" s="39">
        <v>2400</v>
      </c>
      <c r="K43" s="17">
        <f t="shared" si="1"/>
        <v>133.33333333333334</v>
      </c>
      <c r="L43" s="376">
        <v>18</v>
      </c>
      <c r="M43" s="18">
        <f t="shared" si="28"/>
        <v>2300.0000000000009</v>
      </c>
      <c r="N43" s="17">
        <f t="shared" si="3"/>
        <v>127.77777777777783</v>
      </c>
      <c r="O43" s="19">
        <f t="shared" si="4"/>
        <v>0</v>
      </c>
      <c r="P43" s="20">
        <f t="shared" si="5"/>
        <v>-5.5555555555555145</v>
      </c>
      <c r="Q43" s="373">
        <f t="shared" si="6"/>
        <v>0.95833333333333359</v>
      </c>
      <c r="R43" s="637"/>
      <c r="S43" s="40">
        <v>0.58472222222222214</v>
      </c>
      <c r="T43" s="40">
        <v>0.65555555555555545</v>
      </c>
      <c r="U43" s="374">
        <f t="shared" si="30"/>
        <v>6.9999999999999751</v>
      </c>
      <c r="V43" s="377">
        <f t="shared" si="29"/>
        <v>101.99999999999996</v>
      </c>
      <c r="W43" s="23"/>
      <c r="X43" s="23"/>
      <c r="Y43" s="26"/>
      <c r="Z43" s="26"/>
      <c r="AA43" s="627"/>
      <c r="AB43" s="628"/>
      <c r="AC43" s="25"/>
      <c r="AD43" s="25"/>
      <c r="AE43" s="19">
        <f t="shared" si="8"/>
        <v>-99.999999999999091</v>
      </c>
      <c r="AF43" s="373">
        <f t="shared" si="9"/>
        <v>0.9583333333333337</v>
      </c>
      <c r="AG43" s="637"/>
    </row>
    <row r="44" spans="1:33">
      <c r="A44" s="652" t="s">
        <v>1949</v>
      </c>
      <c r="B44" s="42" t="s">
        <v>116</v>
      </c>
      <c r="C44" s="633" t="s">
        <v>126</v>
      </c>
      <c r="D44" s="633"/>
      <c r="E44" s="42">
        <v>34.1</v>
      </c>
      <c r="F44" s="378">
        <v>2838</v>
      </c>
      <c r="G44" s="374">
        <f t="shared" si="27"/>
        <v>96775.8</v>
      </c>
      <c r="H44" s="37" t="s">
        <v>91</v>
      </c>
      <c r="I44" s="376">
        <v>17</v>
      </c>
      <c r="J44" s="39">
        <v>1600</v>
      </c>
      <c r="K44" s="17">
        <f t="shared" si="1"/>
        <v>94.117647058823536</v>
      </c>
      <c r="L44" s="376">
        <v>17</v>
      </c>
      <c r="M44" s="18">
        <f t="shared" si="28"/>
        <v>1534.0540540540549</v>
      </c>
      <c r="N44" s="17">
        <f t="shared" si="3"/>
        <v>90.23847376788558</v>
      </c>
      <c r="O44" s="19">
        <f t="shared" si="4"/>
        <v>0</v>
      </c>
      <c r="P44" s="20">
        <f t="shared" si="5"/>
        <v>-3.8791732909379562</v>
      </c>
      <c r="Q44" s="373">
        <f t="shared" si="6"/>
        <v>0.95878378378378426</v>
      </c>
      <c r="R44" s="637"/>
      <c r="S44" s="40">
        <v>0.66041666666666654</v>
      </c>
      <c r="T44" s="40">
        <v>0.73749999999999982</v>
      </c>
      <c r="U44" s="374">
        <f t="shared" si="30"/>
        <v>6.9999999999999751</v>
      </c>
      <c r="V44" s="377">
        <f t="shared" si="29"/>
        <v>110.99999999999993</v>
      </c>
      <c r="W44" s="23"/>
      <c r="X44" s="23"/>
      <c r="Y44" s="26"/>
      <c r="Z44" s="26"/>
      <c r="AA44" s="627"/>
      <c r="AB44" s="628"/>
      <c r="AC44" s="25"/>
      <c r="AD44" s="25"/>
      <c r="AE44" s="19">
        <f t="shared" si="8"/>
        <v>-65.945945945945141</v>
      </c>
      <c r="AF44" s="373">
        <f t="shared" si="9"/>
        <v>0.95878378378378426</v>
      </c>
      <c r="AG44" s="637"/>
    </row>
    <row r="45" spans="1:33">
      <c r="A45" s="652" t="s">
        <v>1949</v>
      </c>
      <c r="B45" s="44" t="s">
        <v>1941</v>
      </c>
      <c r="C45" s="638"/>
      <c r="D45" s="638"/>
      <c r="E45" s="375"/>
      <c r="F45" s="44"/>
      <c r="G45" s="17"/>
      <c r="H45" s="378"/>
      <c r="I45" s="29">
        <v>17.625</v>
      </c>
      <c r="J45" s="39">
        <v>2200</v>
      </c>
      <c r="K45" s="17">
        <f t="shared" si="1"/>
        <v>124.822695035461</v>
      </c>
      <c r="L45" s="29">
        <v>17.625</v>
      </c>
      <c r="M45" s="18">
        <f>AVERAGE(M37:M44)</f>
        <v>2102.6636515560481</v>
      </c>
      <c r="N45" s="17">
        <f t="shared" si="3"/>
        <v>119.30006533651337</v>
      </c>
      <c r="O45" s="19">
        <f t="shared" si="4"/>
        <v>0</v>
      </c>
      <c r="P45" s="20">
        <f t="shared" si="5"/>
        <v>-5.5226296989476253</v>
      </c>
      <c r="Q45" s="373">
        <f t="shared" si="6"/>
        <v>0.95575620525274918</v>
      </c>
      <c r="R45" s="637"/>
      <c r="S45" s="40"/>
      <c r="T45" s="40"/>
      <c r="U45" s="17"/>
      <c r="V45" s="377"/>
      <c r="W45" s="17"/>
      <c r="X45" s="17"/>
      <c r="Y45" s="30">
        <f>SUM(Y37:Y44)</f>
        <v>0</v>
      </c>
      <c r="Z45" s="30">
        <f>SUM(Z37:Z44)</f>
        <v>0</v>
      </c>
      <c r="AA45" s="631"/>
      <c r="AB45" s="631"/>
      <c r="AC45" s="30">
        <v>8</v>
      </c>
      <c r="AD45" s="30">
        <f>SUM(AD37:AD44)</f>
        <v>0</v>
      </c>
      <c r="AE45" s="19">
        <f t="shared" si="8"/>
        <v>-97.33634844395192</v>
      </c>
      <c r="AF45" s="373">
        <f t="shared" si="9"/>
        <v>0.95575620525274918</v>
      </c>
      <c r="AG45" s="637"/>
    </row>
    <row r="46" spans="1:33" ht="15.75" customHeight="1">
      <c r="A46" s="648" t="s">
        <v>1951</v>
      </c>
      <c r="B46" s="42" t="s">
        <v>127</v>
      </c>
      <c r="C46" s="625" t="s">
        <v>128</v>
      </c>
      <c r="D46" s="626"/>
      <c r="E46" s="42">
        <v>21.13</v>
      </c>
      <c r="F46" s="378">
        <v>5476</v>
      </c>
      <c r="G46" s="374">
        <f t="shared" ref="G46:G48" si="31">E46*F46</f>
        <v>115707.87999999999</v>
      </c>
      <c r="H46" s="37" t="s">
        <v>91</v>
      </c>
      <c r="I46" s="376">
        <v>10</v>
      </c>
      <c r="J46" s="39">
        <v>3000</v>
      </c>
      <c r="K46" s="17">
        <f t="shared" si="1"/>
        <v>300</v>
      </c>
      <c r="L46" s="376">
        <v>10</v>
      </c>
      <c r="M46" s="18">
        <f t="shared" ref="M46:M48" si="32">F46/V46*60</f>
        <v>2857.0434782608686</v>
      </c>
      <c r="N46" s="18">
        <f t="shared" si="3"/>
        <v>285.70434782608686</v>
      </c>
      <c r="O46" s="19">
        <f t="shared" si="4"/>
        <v>0</v>
      </c>
      <c r="P46" s="20">
        <f t="shared" si="5"/>
        <v>-14.29565217391314</v>
      </c>
      <c r="Q46" s="373">
        <f t="shared" si="6"/>
        <v>0.95234782608695623</v>
      </c>
      <c r="R46" s="643">
        <f>Q49</f>
        <v>0.95180071085176876</v>
      </c>
      <c r="S46" s="40">
        <v>0.20833333333333334</v>
      </c>
      <c r="T46" s="40">
        <v>0.28819444444444448</v>
      </c>
      <c r="U46" s="28"/>
      <c r="V46" s="377">
        <f t="shared" ref="V46:V48" si="33">(T46-S46)*24*60</f>
        <v>115.00000000000003</v>
      </c>
      <c r="W46" s="23"/>
      <c r="X46" s="23"/>
      <c r="Y46" s="26"/>
      <c r="Z46" s="26"/>
      <c r="AA46" s="627"/>
      <c r="AB46" s="628"/>
      <c r="AC46" s="25">
        <v>3</v>
      </c>
      <c r="AD46" s="25"/>
      <c r="AE46" s="19">
        <f t="shared" si="8"/>
        <v>-142.9565217391314</v>
      </c>
      <c r="AF46" s="373">
        <f t="shared" si="9"/>
        <v>0.95234782608695623</v>
      </c>
      <c r="AG46" s="643">
        <f>AF49</f>
        <v>0.95180071085176876</v>
      </c>
    </row>
    <row r="47" spans="1:33" ht="15.75" customHeight="1">
      <c r="A47" s="649" t="s">
        <v>1951</v>
      </c>
      <c r="B47" s="42" t="s">
        <v>127</v>
      </c>
      <c r="C47" s="625" t="s">
        <v>129</v>
      </c>
      <c r="D47" s="626"/>
      <c r="E47" s="42">
        <v>27.17</v>
      </c>
      <c r="F47" s="378">
        <v>4660</v>
      </c>
      <c r="G47" s="374">
        <f t="shared" si="31"/>
        <v>126612.20000000001</v>
      </c>
      <c r="H47" s="37" t="s">
        <v>91</v>
      </c>
      <c r="I47" s="376">
        <v>10</v>
      </c>
      <c r="J47" s="39">
        <v>3000</v>
      </c>
      <c r="K47" s="17">
        <f t="shared" si="1"/>
        <v>300</v>
      </c>
      <c r="L47" s="376">
        <v>10</v>
      </c>
      <c r="M47" s="18">
        <f t="shared" si="32"/>
        <v>2853.061224489797</v>
      </c>
      <c r="N47" s="18">
        <f t="shared" si="3"/>
        <v>285.30612244897969</v>
      </c>
      <c r="O47" s="19">
        <f t="shared" si="4"/>
        <v>0</v>
      </c>
      <c r="P47" s="20">
        <f t="shared" si="5"/>
        <v>-14.693877551020307</v>
      </c>
      <c r="Q47" s="373">
        <f t="shared" si="6"/>
        <v>0.95102040816326561</v>
      </c>
      <c r="R47" s="644"/>
      <c r="S47" s="40">
        <v>0.29166666666666669</v>
      </c>
      <c r="T47" s="40">
        <v>0.35972222222222222</v>
      </c>
      <c r="U47" s="374">
        <f t="shared" ref="U47:U48" si="34">(S47-T46)*24*60</f>
        <v>4.9999999999999822</v>
      </c>
      <c r="V47" s="377">
        <f t="shared" si="33"/>
        <v>97.999999999999972</v>
      </c>
      <c r="W47" s="23"/>
      <c r="X47" s="23"/>
      <c r="Y47" s="26"/>
      <c r="Z47" s="26"/>
      <c r="AA47" s="627"/>
      <c r="AB47" s="628"/>
      <c r="AC47" s="25"/>
      <c r="AD47" s="25"/>
      <c r="AE47" s="19">
        <f t="shared" si="8"/>
        <v>-146.93877551020296</v>
      </c>
      <c r="AF47" s="373">
        <f t="shared" si="9"/>
        <v>0.95102040816326572</v>
      </c>
      <c r="AG47" s="644"/>
    </row>
    <row r="48" spans="1:33" ht="15.75" customHeight="1">
      <c r="A48" s="649" t="s">
        <v>1951</v>
      </c>
      <c r="B48" s="42" t="s">
        <v>127</v>
      </c>
      <c r="C48" s="625" t="s">
        <v>1857</v>
      </c>
      <c r="D48" s="626"/>
      <c r="E48" s="42">
        <v>33.770000000000003</v>
      </c>
      <c r="F48" s="378">
        <v>5617</v>
      </c>
      <c r="G48" s="374">
        <f t="shared" si="31"/>
        <v>189686.09000000003</v>
      </c>
      <c r="H48" s="37" t="s">
        <v>91</v>
      </c>
      <c r="I48" s="376">
        <v>12</v>
      </c>
      <c r="J48" s="39">
        <v>3000</v>
      </c>
      <c r="K48" s="17">
        <f t="shared" si="1"/>
        <v>250</v>
      </c>
      <c r="L48" s="376">
        <v>12</v>
      </c>
      <c r="M48" s="18">
        <f t="shared" si="32"/>
        <v>2856.1016949152545</v>
      </c>
      <c r="N48" s="18">
        <f t="shared" si="3"/>
        <v>238.0084745762712</v>
      </c>
      <c r="O48" s="19">
        <f t="shared" si="4"/>
        <v>0</v>
      </c>
      <c r="P48" s="20">
        <f t="shared" si="5"/>
        <v>-11.991525423728802</v>
      </c>
      <c r="Q48" s="373">
        <f t="shared" si="6"/>
        <v>0.95203389830508478</v>
      </c>
      <c r="R48" s="644"/>
      <c r="S48" s="40">
        <v>0.36458333333333331</v>
      </c>
      <c r="T48" s="40">
        <v>0.44652777777777775</v>
      </c>
      <c r="U48" s="374">
        <f t="shared" si="34"/>
        <v>6.9999999999999751</v>
      </c>
      <c r="V48" s="377">
        <f t="shared" si="33"/>
        <v>117.99999999999999</v>
      </c>
      <c r="W48" s="23"/>
      <c r="X48" s="23"/>
      <c r="Y48" s="26"/>
      <c r="Z48" s="26"/>
      <c r="AA48" s="627"/>
      <c r="AB48" s="628"/>
      <c r="AC48" s="25"/>
      <c r="AD48" s="25"/>
      <c r="AE48" s="19">
        <f t="shared" si="8"/>
        <v>-143.89830508474552</v>
      </c>
      <c r="AF48" s="373">
        <f t="shared" si="9"/>
        <v>0.95203389830508478</v>
      </c>
      <c r="AG48" s="644"/>
    </row>
    <row r="49" spans="1:33" ht="15.75" customHeight="1">
      <c r="A49" s="650" t="s">
        <v>72</v>
      </c>
      <c r="B49" s="42" t="s">
        <v>1941</v>
      </c>
      <c r="C49" s="629"/>
      <c r="D49" s="630"/>
      <c r="E49" s="371"/>
      <c r="F49" s="378"/>
      <c r="G49" s="374"/>
      <c r="H49" s="378"/>
      <c r="I49" s="29">
        <v>10.666666666666666</v>
      </c>
      <c r="J49" s="39">
        <v>3000</v>
      </c>
      <c r="K49" s="17">
        <f t="shared" si="1"/>
        <v>281.25</v>
      </c>
      <c r="L49" s="29">
        <v>10.666666666666666</v>
      </c>
      <c r="M49" s="18">
        <f>AVERAGE(M46:M48)</f>
        <v>2855.4021325553063</v>
      </c>
      <c r="N49" s="17">
        <f t="shared" si="3"/>
        <v>267.69394992705998</v>
      </c>
      <c r="O49" s="19">
        <f t="shared" si="4"/>
        <v>0</v>
      </c>
      <c r="P49" s="20">
        <f t="shared" si="5"/>
        <v>-13.556050072940025</v>
      </c>
      <c r="Q49" s="373">
        <f t="shared" si="6"/>
        <v>0.95180071085176876</v>
      </c>
      <c r="R49" s="645"/>
      <c r="S49" s="40"/>
      <c r="T49" s="40"/>
      <c r="U49" s="374"/>
      <c r="V49" s="377"/>
      <c r="W49" s="23"/>
      <c r="X49" s="23"/>
      <c r="Y49" s="30">
        <f>SUM(Y46:Y48)</f>
        <v>0</v>
      </c>
      <c r="Z49" s="30">
        <f>SUM(Z46:Z48)</f>
        <v>0</v>
      </c>
      <c r="AA49" s="646"/>
      <c r="AB49" s="647"/>
      <c r="AC49" s="30">
        <v>3</v>
      </c>
      <c r="AD49" s="30">
        <f>SUM(AD46:AD48)</f>
        <v>0</v>
      </c>
      <c r="AE49" s="19">
        <f t="shared" si="8"/>
        <v>-144.59786744469375</v>
      </c>
      <c r="AF49" s="373">
        <f t="shared" si="9"/>
        <v>0.95180071085176876</v>
      </c>
      <c r="AG49" s="645"/>
    </row>
    <row r="50" spans="1:33" ht="15.75" customHeight="1">
      <c r="A50" s="641" t="s">
        <v>1952</v>
      </c>
      <c r="B50" s="42" t="s">
        <v>92</v>
      </c>
      <c r="C50" s="633" t="s">
        <v>133</v>
      </c>
      <c r="D50" s="633"/>
      <c r="E50" s="42">
        <v>59.04</v>
      </c>
      <c r="F50" s="48">
        <v>1442</v>
      </c>
      <c r="G50" s="374">
        <f t="shared" ref="G50:G56" si="35">E50*F50</f>
        <v>85135.679999999993</v>
      </c>
      <c r="H50" s="37" t="s">
        <v>91</v>
      </c>
      <c r="I50" s="376">
        <v>19</v>
      </c>
      <c r="J50" s="39">
        <v>2000</v>
      </c>
      <c r="K50" s="17">
        <f t="shared" si="1"/>
        <v>105.26315789473684</v>
      </c>
      <c r="L50" s="376">
        <v>19</v>
      </c>
      <c r="M50" s="18">
        <f t="shared" ref="M50" si="36">F50/V50*60</f>
        <v>1922.6666666666667</v>
      </c>
      <c r="N50" s="18">
        <f t="shared" si="3"/>
        <v>101.19298245614036</v>
      </c>
      <c r="O50" s="19">
        <f t="shared" si="4"/>
        <v>0</v>
      </c>
      <c r="P50" s="20">
        <f t="shared" si="5"/>
        <v>-4.070175438596479</v>
      </c>
      <c r="Q50" s="373">
        <f t="shared" si="6"/>
        <v>0.96133333333333348</v>
      </c>
      <c r="R50" s="637">
        <f>Q57</f>
        <v>0.95763683328989457</v>
      </c>
      <c r="S50" s="40">
        <v>0.20833333333333334</v>
      </c>
      <c r="T50" s="40">
        <v>0.23958333333333334</v>
      </c>
      <c r="U50" s="28"/>
      <c r="V50" s="377">
        <f t="shared" ref="V50:V56" si="37">(T50-S50)*24*60</f>
        <v>45</v>
      </c>
      <c r="W50" s="23"/>
      <c r="X50" s="23"/>
      <c r="Y50" s="28"/>
      <c r="Z50" s="28"/>
      <c r="AA50" s="632"/>
      <c r="AB50" s="632"/>
      <c r="AC50" s="25">
        <v>7</v>
      </c>
      <c r="AD50" s="25"/>
      <c r="AE50" s="19">
        <f t="shared" si="8"/>
        <v>-77.333333333333258</v>
      </c>
      <c r="AF50" s="373">
        <f t="shared" si="9"/>
        <v>0.96133333333333337</v>
      </c>
      <c r="AG50" s="637">
        <f>AF57</f>
        <v>0.95763683328989457</v>
      </c>
    </row>
    <row r="51" spans="1:33" ht="15.75" customHeight="1">
      <c r="A51" s="641" t="s">
        <v>1952</v>
      </c>
      <c r="B51" s="42" t="s">
        <v>103</v>
      </c>
      <c r="C51" s="633" t="s">
        <v>132</v>
      </c>
      <c r="D51" s="633"/>
      <c r="E51" s="42">
        <v>51.44</v>
      </c>
      <c r="F51" s="48">
        <v>3521</v>
      </c>
      <c r="G51" s="374">
        <f t="shared" si="35"/>
        <v>181120.24</v>
      </c>
      <c r="H51" s="37" t="s">
        <v>91</v>
      </c>
      <c r="I51" s="376">
        <v>18</v>
      </c>
      <c r="J51" s="39">
        <v>2000</v>
      </c>
      <c r="K51" s="17">
        <f t="shared" si="1"/>
        <v>111.11111111111111</v>
      </c>
      <c r="L51" s="376">
        <v>18</v>
      </c>
      <c r="M51" s="18">
        <f>F51/V51*60</f>
        <v>1903.2432432432433</v>
      </c>
      <c r="N51" s="18">
        <f t="shared" si="3"/>
        <v>105.73573573573574</v>
      </c>
      <c r="O51" s="19">
        <f t="shared" si="4"/>
        <v>0</v>
      </c>
      <c r="P51" s="20">
        <f t="shared" si="5"/>
        <v>-5.3753753753753699</v>
      </c>
      <c r="Q51" s="373">
        <f t="shared" si="6"/>
        <v>0.95162162162162167</v>
      </c>
      <c r="R51" s="637"/>
      <c r="S51" s="40">
        <v>0.24375000000000002</v>
      </c>
      <c r="T51" s="40">
        <v>0.32083333333333336</v>
      </c>
      <c r="U51" s="374">
        <f t="shared" ref="U51:U56" si="38">IF(S51=TIME(17,0,0),"",(S51-T50)*24*60)</f>
        <v>6.0000000000000187</v>
      </c>
      <c r="V51" s="377">
        <f t="shared" si="37"/>
        <v>111</v>
      </c>
      <c r="W51" s="23"/>
      <c r="X51" s="23"/>
      <c r="Y51" s="23"/>
      <c r="Z51" s="23"/>
      <c r="AA51" s="632"/>
      <c r="AB51" s="632"/>
      <c r="AC51" s="25"/>
      <c r="AD51" s="25"/>
      <c r="AE51" s="19">
        <f t="shared" si="8"/>
        <v>-96.756756756756658</v>
      </c>
      <c r="AF51" s="373">
        <f t="shared" si="9"/>
        <v>0.95162162162162167</v>
      </c>
      <c r="AG51" s="637"/>
    </row>
    <row r="52" spans="1:33" ht="15.75" customHeight="1">
      <c r="A52" s="641" t="s">
        <v>1952</v>
      </c>
      <c r="B52" s="42" t="s">
        <v>92</v>
      </c>
      <c r="C52" s="625" t="s">
        <v>135</v>
      </c>
      <c r="D52" s="626"/>
      <c r="E52" s="42">
        <v>51.44</v>
      </c>
      <c r="F52" s="48">
        <v>1585</v>
      </c>
      <c r="G52" s="374">
        <f t="shared" si="35"/>
        <v>81532.399999999994</v>
      </c>
      <c r="H52" s="37" t="s">
        <v>91</v>
      </c>
      <c r="I52" s="376">
        <v>25</v>
      </c>
      <c r="J52" s="39">
        <v>2000</v>
      </c>
      <c r="K52" s="17">
        <f t="shared" si="1"/>
        <v>80</v>
      </c>
      <c r="L52" s="376">
        <v>25</v>
      </c>
      <c r="M52" s="18">
        <f t="shared" ref="M52:M56" si="39">F52/V52*60</f>
        <v>1902.0000000000007</v>
      </c>
      <c r="N52" s="18">
        <f t="shared" si="3"/>
        <v>76.080000000000027</v>
      </c>
      <c r="O52" s="19">
        <f t="shared" si="4"/>
        <v>0</v>
      </c>
      <c r="P52" s="20">
        <f t="shared" si="5"/>
        <v>-3.9199999999999733</v>
      </c>
      <c r="Q52" s="373">
        <f t="shared" si="6"/>
        <v>0.95100000000000029</v>
      </c>
      <c r="R52" s="637"/>
      <c r="S52" s="40">
        <v>0.32500000000000001</v>
      </c>
      <c r="T52" s="40">
        <v>0.35972222222222222</v>
      </c>
      <c r="U52" s="374">
        <f t="shared" si="38"/>
        <v>5.9999999999999787</v>
      </c>
      <c r="V52" s="377">
        <f t="shared" si="37"/>
        <v>49.999999999999986</v>
      </c>
      <c r="W52" s="23"/>
      <c r="X52" s="23"/>
      <c r="Y52" s="26"/>
      <c r="Z52" s="26"/>
      <c r="AA52" s="632"/>
      <c r="AB52" s="632"/>
      <c r="AC52" s="25"/>
      <c r="AD52" s="25"/>
      <c r="AE52" s="19">
        <f t="shared" si="8"/>
        <v>-97.999999999999318</v>
      </c>
      <c r="AF52" s="373">
        <f t="shared" si="9"/>
        <v>0.95100000000000029</v>
      </c>
      <c r="AG52" s="637"/>
    </row>
    <row r="53" spans="1:33" ht="15.75" customHeight="1">
      <c r="A53" s="641" t="s">
        <v>1952</v>
      </c>
      <c r="B53" s="42" t="s">
        <v>96</v>
      </c>
      <c r="C53" s="367" t="s">
        <v>136</v>
      </c>
      <c r="D53" s="368"/>
      <c r="E53" s="42">
        <v>46</v>
      </c>
      <c r="F53" s="48">
        <v>1260</v>
      </c>
      <c r="G53" s="374">
        <f t="shared" si="35"/>
        <v>57960</v>
      </c>
      <c r="H53" s="37" t="s">
        <v>91</v>
      </c>
      <c r="I53" s="376">
        <v>16</v>
      </c>
      <c r="J53" s="39">
        <v>2000</v>
      </c>
      <c r="K53" s="17">
        <f t="shared" si="1"/>
        <v>125</v>
      </c>
      <c r="L53" s="376">
        <v>16</v>
      </c>
      <c r="M53" s="18">
        <f t="shared" si="39"/>
        <v>1938.4615384615377</v>
      </c>
      <c r="N53" s="18">
        <f t="shared" si="3"/>
        <v>121.1538461538461</v>
      </c>
      <c r="O53" s="19">
        <f t="shared" si="4"/>
        <v>0</v>
      </c>
      <c r="P53" s="20">
        <f t="shared" si="5"/>
        <v>-3.8461538461538964</v>
      </c>
      <c r="Q53" s="373">
        <f t="shared" si="6"/>
        <v>0.96923076923076878</v>
      </c>
      <c r="R53" s="637"/>
      <c r="S53" s="40">
        <v>0.36319444444444443</v>
      </c>
      <c r="T53" s="40">
        <v>0.39027777777777778</v>
      </c>
      <c r="U53" s="374">
        <f t="shared" si="38"/>
        <v>4.9999999999999822</v>
      </c>
      <c r="V53" s="377">
        <f t="shared" si="37"/>
        <v>39.000000000000021</v>
      </c>
      <c r="W53" s="23"/>
      <c r="X53" s="23"/>
      <c r="Y53" s="26"/>
      <c r="Z53" s="26"/>
      <c r="AA53" s="632"/>
      <c r="AB53" s="632"/>
      <c r="AC53" s="25"/>
      <c r="AD53" s="25"/>
      <c r="AE53" s="19">
        <f t="shared" si="8"/>
        <v>-61.538461538462343</v>
      </c>
      <c r="AF53" s="373">
        <f t="shared" si="9"/>
        <v>0.96923076923076878</v>
      </c>
      <c r="AG53" s="637"/>
    </row>
    <row r="54" spans="1:33" ht="15.75" customHeight="1">
      <c r="A54" s="641" t="s">
        <v>1952</v>
      </c>
      <c r="B54" s="42" t="s">
        <v>96</v>
      </c>
      <c r="C54" s="367" t="s">
        <v>137</v>
      </c>
      <c r="D54" s="368"/>
      <c r="E54" s="42">
        <v>46</v>
      </c>
      <c r="F54" s="48">
        <v>1563</v>
      </c>
      <c r="G54" s="374">
        <f t="shared" si="35"/>
        <v>71898</v>
      </c>
      <c r="H54" s="37" t="s">
        <v>91</v>
      </c>
      <c r="I54" s="376">
        <v>17</v>
      </c>
      <c r="J54" s="39">
        <v>2000</v>
      </c>
      <c r="K54" s="17">
        <f t="shared" si="1"/>
        <v>117.64705882352941</v>
      </c>
      <c r="L54" s="376">
        <v>17</v>
      </c>
      <c r="M54" s="18">
        <f t="shared" si="39"/>
        <v>1913.8775510204086</v>
      </c>
      <c r="N54" s="18">
        <f t="shared" si="3"/>
        <v>112.58103241296521</v>
      </c>
      <c r="O54" s="19">
        <f t="shared" si="4"/>
        <v>0</v>
      </c>
      <c r="P54" s="20">
        <f t="shared" si="5"/>
        <v>-5.0660264105641915</v>
      </c>
      <c r="Q54" s="373">
        <f t="shared" si="6"/>
        <v>0.95693877551020434</v>
      </c>
      <c r="R54" s="637"/>
      <c r="S54" s="40">
        <v>0.39583333333333331</v>
      </c>
      <c r="T54" s="40">
        <v>0.42986111111111108</v>
      </c>
      <c r="U54" s="374">
        <f t="shared" si="38"/>
        <v>7.9999999999999716</v>
      </c>
      <c r="V54" s="377">
        <f t="shared" si="37"/>
        <v>48.999999999999986</v>
      </c>
      <c r="W54" s="23"/>
      <c r="X54" s="23"/>
      <c r="Y54" s="26"/>
      <c r="Z54" s="26"/>
      <c r="AA54" s="632"/>
      <c r="AB54" s="632"/>
      <c r="AC54" s="25"/>
      <c r="AD54" s="25"/>
      <c r="AE54" s="19">
        <f t="shared" si="8"/>
        <v>-86.122448979591354</v>
      </c>
      <c r="AF54" s="373">
        <f t="shared" si="9"/>
        <v>0.95693877551020434</v>
      </c>
      <c r="AG54" s="637"/>
    </row>
    <row r="55" spans="1:33" ht="15.75" customHeight="1">
      <c r="A55" s="641" t="s">
        <v>1952</v>
      </c>
      <c r="B55" s="42" t="s">
        <v>92</v>
      </c>
      <c r="C55" s="625" t="s">
        <v>138</v>
      </c>
      <c r="D55" s="626"/>
      <c r="E55" s="42">
        <v>55.56</v>
      </c>
      <c r="F55" s="48">
        <v>2590</v>
      </c>
      <c r="G55" s="374">
        <f t="shared" si="35"/>
        <v>143900.4</v>
      </c>
      <c r="H55" s="37" t="s">
        <v>91</v>
      </c>
      <c r="I55" s="376">
        <v>17</v>
      </c>
      <c r="J55" s="39">
        <v>2000</v>
      </c>
      <c r="K55" s="17">
        <f t="shared" si="1"/>
        <v>117.64705882352941</v>
      </c>
      <c r="L55" s="376">
        <v>17</v>
      </c>
      <c r="M55" s="18">
        <f t="shared" si="39"/>
        <v>1918.5185185185178</v>
      </c>
      <c r="N55" s="18">
        <f t="shared" si="3"/>
        <v>112.85403050108928</v>
      </c>
      <c r="O55" s="19">
        <f t="shared" si="4"/>
        <v>0</v>
      </c>
      <c r="P55" s="20">
        <f t="shared" si="5"/>
        <v>-4.7930283224401222</v>
      </c>
      <c r="Q55" s="373">
        <f t="shared" si="6"/>
        <v>0.95925925925925892</v>
      </c>
      <c r="R55" s="637"/>
      <c r="S55" s="40">
        <v>0.70833333333333337</v>
      </c>
      <c r="T55" s="40">
        <v>0.76458333333333339</v>
      </c>
      <c r="U55" s="374" t="str">
        <f t="shared" si="38"/>
        <v/>
      </c>
      <c r="V55" s="377">
        <f t="shared" si="37"/>
        <v>81.000000000000028</v>
      </c>
      <c r="W55" s="23"/>
      <c r="X55" s="23"/>
      <c r="Y55" s="26"/>
      <c r="Z55" s="26"/>
      <c r="AA55" s="627"/>
      <c r="AB55" s="628"/>
      <c r="AC55" s="25"/>
      <c r="AD55" s="25"/>
      <c r="AE55" s="19">
        <f t="shared" si="8"/>
        <v>-81.481481481482206</v>
      </c>
      <c r="AF55" s="373">
        <f t="shared" si="9"/>
        <v>0.95925925925925892</v>
      </c>
      <c r="AG55" s="637"/>
    </row>
    <row r="56" spans="1:33" ht="15.75" customHeight="1">
      <c r="A56" s="641" t="s">
        <v>1952</v>
      </c>
      <c r="B56" s="42" t="s">
        <v>92</v>
      </c>
      <c r="C56" s="625" t="s">
        <v>420</v>
      </c>
      <c r="D56" s="626"/>
      <c r="E56" s="42">
        <v>58.17</v>
      </c>
      <c r="F56" s="48">
        <v>2576</v>
      </c>
      <c r="G56" s="374">
        <f t="shared" si="35"/>
        <v>149845.92000000001</v>
      </c>
      <c r="H56" s="37" t="s">
        <v>91</v>
      </c>
      <c r="I56" s="376">
        <v>13</v>
      </c>
      <c r="J56" s="39">
        <v>2000</v>
      </c>
      <c r="K56" s="17">
        <f t="shared" si="1"/>
        <v>153.84615384615384</v>
      </c>
      <c r="L56" s="376">
        <v>13</v>
      </c>
      <c r="M56" s="18">
        <f t="shared" si="39"/>
        <v>1908.1481481481474</v>
      </c>
      <c r="N56" s="18">
        <f t="shared" si="3"/>
        <v>146.78062678062673</v>
      </c>
      <c r="O56" s="19">
        <f t="shared" si="4"/>
        <v>0</v>
      </c>
      <c r="P56" s="20">
        <f t="shared" si="5"/>
        <v>-7.0655270655271067</v>
      </c>
      <c r="Q56" s="373">
        <f t="shared" si="6"/>
        <v>0.95407407407407385</v>
      </c>
      <c r="R56" s="637"/>
      <c r="S56" s="40">
        <v>0.76875000000000004</v>
      </c>
      <c r="T56" s="40">
        <v>0.82500000000000007</v>
      </c>
      <c r="U56" s="374">
        <f t="shared" si="38"/>
        <v>5.9999999999999787</v>
      </c>
      <c r="V56" s="377">
        <f t="shared" si="37"/>
        <v>81.000000000000028</v>
      </c>
      <c r="W56" s="23"/>
      <c r="X56" s="23"/>
      <c r="Y56" s="26"/>
      <c r="Z56" s="26"/>
      <c r="AA56" s="627"/>
      <c r="AB56" s="628"/>
      <c r="AC56" s="25"/>
      <c r="AD56" s="25"/>
      <c r="AE56" s="19">
        <f t="shared" si="8"/>
        <v>-91.851851851852643</v>
      </c>
      <c r="AF56" s="373">
        <f t="shared" si="9"/>
        <v>0.95407407407407363</v>
      </c>
      <c r="AG56" s="637"/>
    </row>
    <row r="57" spans="1:33">
      <c r="A57" s="642" t="s">
        <v>1952</v>
      </c>
      <c r="B57" s="42" t="s">
        <v>1941</v>
      </c>
      <c r="C57" s="638"/>
      <c r="D57" s="638"/>
      <c r="E57" s="375"/>
      <c r="F57" s="44"/>
      <c r="G57" s="17"/>
      <c r="H57" s="378"/>
      <c r="I57" s="29">
        <v>17.857142857142858</v>
      </c>
      <c r="J57" s="39">
        <v>2000</v>
      </c>
      <c r="K57" s="17">
        <f t="shared" si="1"/>
        <v>112</v>
      </c>
      <c r="L57" s="29">
        <v>17.857142857142858</v>
      </c>
      <c r="M57" s="18">
        <f>AVERAGE(M50:M56)</f>
        <v>1915.2736665797891</v>
      </c>
      <c r="N57" s="17">
        <f t="shared" si="3"/>
        <v>107.25532532846819</v>
      </c>
      <c r="O57" s="19">
        <f t="shared" si="4"/>
        <v>0</v>
      </c>
      <c r="P57" s="20">
        <f t="shared" si="5"/>
        <v>-4.7446746715318113</v>
      </c>
      <c r="Q57" s="373">
        <f t="shared" si="6"/>
        <v>0.95763683328989457</v>
      </c>
      <c r="R57" s="637"/>
      <c r="S57" s="40"/>
      <c r="T57" s="40"/>
      <c r="U57" s="374"/>
      <c r="V57" s="377"/>
      <c r="W57" s="17"/>
      <c r="X57" s="17"/>
      <c r="Y57" s="30">
        <f>SUM(Y50:Y56)</f>
        <v>0</v>
      </c>
      <c r="Z57" s="30">
        <f>SUM(Z50:Z56)</f>
        <v>0</v>
      </c>
      <c r="AA57" s="631"/>
      <c r="AB57" s="631"/>
      <c r="AC57" s="30">
        <v>7</v>
      </c>
      <c r="AD57" s="30">
        <f>SUM(AD50:AD56)</f>
        <v>0</v>
      </c>
      <c r="AE57" s="19">
        <f>M57-J57</f>
        <v>-84.726333420210949</v>
      </c>
      <c r="AF57" s="373">
        <f t="shared" si="9"/>
        <v>0.95763683328989457</v>
      </c>
      <c r="AG57" s="637"/>
    </row>
    <row r="58" spans="1:33" ht="15.75" customHeight="1">
      <c r="A58" s="639" t="s">
        <v>1953</v>
      </c>
      <c r="B58" s="378" t="s">
        <v>127</v>
      </c>
      <c r="C58" s="633" t="s">
        <v>141</v>
      </c>
      <c r="D58" s="633"/>
      <c r="E58" s="42">
        <v>35.119999999999997</v>
      </c>
      <c r="F58" s="48">
        <v>4097</v>
      </c>
      <c r="G58" s="374">
        <f t="shared" ref="G58:G63" si="40">E58*F58</f>
        <v>143886.63999999998</v>
      </c>
      <c r="H58" s="37" t="s">
        <v>91</v>
      </c>
      <c r="I58" s="376">
        <v>10</v>
      </c>
      <c r="J58" s="39">
        <v>3000</v>
      </c>
      <c r="K58" s="17">
        <f t="shared" si="1"/>
        <v>300</v>
      </c>
      <c r="L58" s="376">
        <v>10</v>
      </c>
      <c r="M58" s="18">
        <f t="shared" ref="M58:M63" si="41">F58/V58*60</f>
        <v>2858.3720930232571</v>
      </c>
      <c r="N58" s="17">
        <f t="shared" si="3"/>
        <v>285.83720930232573</v>
      </c>
      <c r="O58" s="19">
        <f t="shared" si="4"/>
        <v>0</v>
      </c>
      <c r="P58" s="20">
        <f t="shared" si="5"/>
        <v>-14.162790697674268</v>
      </c>
      <c r="Q58" s="373">
        <f t="shared" si="6"/>
        <v>0.95279069767441915</v>
      </c>
      <c r="R58" s="637">
        <f>Q64</f>
        <v>0.96133910761558461</v>
      </c>
      <c r="S58" s="40">
        <v>0.20833333333333334</v>
      </c>
      <c r="T58" s="40">
        <v>0.26805555555555555</v>
      </c>
      <c r="U58" s="374"/>
      <c r="V58" s="377">
        <f t="shared" ref="V58:V63" si="42">(T58-S58)*24*60</f>
        <v>85.999999999999972</v>
      </c>
      <c r="W58" s="23"/>
      <c r="X58" s="23"/>
      <c r="Y58" s="28"/>
      <c r="Z58" s="28"/>
      <c r="AA58" s="632"/>
      <c r="AB58" s="632"/>
      <c r="AC58" s="25">
        <v>6</v>
      </c>
      <c r="AD58" s="25"/>
      <c r="AE58" s="19">
        <f t="shared" ref="AE58:AE72" si="43">M58-J58</f>
        <v>-141.62790697674291</v>
      </c>
      <c r="AF58" s="373">
        <f t="shared" si="9"/>
        <v>0.95279069767441904</v>
      </c>
      <c r="AG58" s="637">
        <f>AF64</f>
        <v>0.96133910761558461</v>
      </c>
    </row>
    <row r="59" spans="1:33" ht="15.75" customHeight="1">
      <c r="A59" s="639" t="s">
        <v>1953</v>
      </c>
      <c r="B59" s="378" t="s">
        <v>127</v>
      </c>
      <c r="C59" s="633" t="s">
        <v>142</v>
      </c>
      <c r="D59" s="633"/>
      <c r="E59" s="42">
        <v>26.78</v>
      </c>
      <c r="F59" s="48">
        <v>2294</v>
      </c>
      <c r="G59" s="374">
        <f t="shared" si="40"/>
        <v>61433.32</v>
      </c>
      <c r="H59" s="37" t="s">
        <v>91</v>
      </c>
      <c r="I59" s="376">
        <v>10</v>
      </c>
      <c r="J59" s="39">
        <v>3000</v>
      </c>
      <c r="K59" s="17">
        <f t="shared" si="1"/>
        <v>300</v>
      </c>
      <c r="L59" s="376">
        <v>10</v>
      </c>
      <c r="M59" s="18">
        <f t="shared" si="41"/>
        <v>2867.5000000000009</v>
      </c>
      <c r="N59" s="17">
        <f t="shared" si="3"/>
        <v>286.75000000000011</v>
      </c>
      <c r="O59" s="19">
        <f t="shared" si="4"/>
        <v>0</v>
      </c>
      <c r="P59" s="20">
        <f t="shared" si="5"/>
        <v>-13.249999999999886</v>
      </c>
      <c r="Q59" s="373">
        <f t="shared" si="6"/>
        <v>0.95583333333333376</v>
      </c>
      <c r="R59" s="637"/>
      <c r="S59" s="40">
        <v>0.27361111111111108</v>
      </c>
      <c r="T59" s="40">
        <v>0.30694444444444441</v>
      </c>
      <c r="U59" s="374">
        <f t="shared" ref="U59:U63" si="44">(S59-T58)*24*60</f>
        <v>7.9999999999999716</v>
      </c>
      <c r="V59" s="377">
        <f t="shared" si="42"/>
        <v>47.999999999999986</v>
      </c>
      <c r="W59" s="374"/>
      <c r="X59" s="374"/>
      <c r="Y59" s="374"/>
      <c r="Z59" s="374"/>
      <c r="AA59" s="632"/>
      <c r="AB59" s="632"/>
      <c r="AC59" s="25"/>
      <c r="AD59" s="25"/>
      <c r="AE59" s="19">
        <f t="shared" si="43"/>
        <v>-132.49999999999909</v>
      </c>
      <c r="AF59" s="373">
        <f t="shared" si="9"/>
        <v>0.95583333333333365</v>
      </c>
      <c r="AG59" s="637"/>
    </row>
    <row r="60" spans="1:33" ht="15.75" customHeight="1">
      <c r="A60" s="639" t="s">
        <v>1953</v>
      </c>
      <c r="B60" s="378" t="s">
        <v>127</v>
      </c>
      <c r="C60" s="633" t="s">
        <v>143</v>
      </c>
      <c r="D60" s="633"/>
      <c r="E60" s="42">
        <v>36.14</v>
      </c>
      <c r="F60" s="48">
        <v>1075</v>
      </c>
      <c r="G60" s="374">
        <f t="shared" si="40"/>
        <v>38850.5</v>
      </c>
      <c r="H60" s="37" t="s">
        <v>91</v>
      </c>
      <c r="I60" s="376">
        <v>11</v>
      </c>
      <c r="J60" s="39">
        <v>3000</v>
      </c>
      <c r="K60" s="17">
        <f t="shared" si="1"/>
        <v>272.72727272727275</v>
      </c>
      <c r="L60" s="376">
        <v>11</v>
      </c>
      <c r="M60" s="18">
        <f t="shared" si="41"/>
        <v>2931.818181818182</v>
      </c>
      <c r="N60" s="17">
        <f t="shared" si="3"/>
        <v>266.52892561983475</v>
      </c>
      <c r="O60" s="19">
        <f t="shared" si="4"/>
        <v>0</v>
      </c>
      <c r="P60" s="20">
        <f t="shared" si="5"/>
        <v>-6.1983471074379963</v>
      </c>
      <c r="Q60" s="373">
        <f t="shared" si="6"/>
        <v>0.9772727272727274</v>
      </c>
      <c r="R60" s="637"/>
      <c r="S60" s="40">
        <v>0.3118055555555555</v>
      </c>
      <c r="T60" s="40">
        <v>0.32708333333333328</v>
      </c>
      <c r="U60" s="374">
        <f t="shared" si="44"/>
        <v>6.9999999999999751</v>
      </c>
      <c r="V60" s="377">
        <f t="shared" si="42"/>
        <v>22</v>
      </c>
      <c r="W60" s="374"/>
      <c r="X60" s="374"/>
      <c r="Y60" s="374"/>
      <c r="Z60" s="374"/>
      <c r="AA60" s="632"/>
      <c r="AB60" s="632"/>
      <c r="AC60" s="25"/>
      <c r="AD60" s="25"/>
      <c r="AE60" s="19">
        <f t="shared" si="43"/>
        <v>-68.181818181818016</v>
      </c>
      <c r="AF60" s="373">
        <f t="shared" si="9"/>
        <v>0.97727272727272729</v>
      </c>
      <c r="AG60" s="637"/>
    </row>
    <row r="61" spans="1:33" ht="15.75" customHeight="1">
      <c r="A61" s="639" t="s">
        <v>1953</v>
      </c>
      <c r="B61" s="378" t="s">
        <v>127</v>
      </c>
      <c r="C61" s="633" t="s">
        <v>131</v>
      </c>
      <c r="D61" s="633"/>
      <c r="E61" s="42">
        <v>34.35</v>
      </c>
      <c r="F61" s="48">
        <v>575</v>
      </c>
      <c r="G61" s="374">
        <f t="shared" si="40"/>
        <v>19751.25</v>
      </c>
      <c r="H61" s="37" t="s">
        <v>91</v>
      </c>
      <c r="I61" s="376">
        <v>8</v>
      </c>
      <c r="J61" s="39">
        <v>3000</v>
      </c>
      <c r="K61" s="17">
        <f t="shared" si="1"/>
        <v>375</v>
      </c>
      <c r="L61" s="376">
        <v>8</v>
      </c>
      <c r="M61" s="18">
        <f t="shared" si="41"/>
        <v>2874.9999999999909</v>
      </c>
      <c r="N61" s="17">
        <f t="shared" si="3"/>
        <v>359.37499999999886</v>
      </c>
      <c r="O61" s="19">
        <f t="shared" si="4"/>
        <v>0</v>
      </c>
      <c r="P61" s="20">
        <f t="shared" si="5"/>
        <v>-15.625000000001137</v>
      </c>
      <c r="Q61" s="373">
        <f t="shared" si="6"/>
        <v>0.95833333333333026</v>
      </c>
      <c r="R61" s="637"/>
      <c r="S61" s="40">
        <v>0.33263888888888882</v>
      </c>
      <c r="T61" s="40">
        <v>0.34097222222222218</v>
      </c>
      <c r="U61" s="374">
        <f t="shared" si="44"/>
        <v>7.9999999999999716</v>
      </c>
      <c r="V61" s="377">
        <f t="shared" si="42"/>
        <v>12.000000000000037</v>
      </c>
      <c r="W61" s="374"/>
      <c r="X61" s="374"/>
      <c r="Y61" s="374"/>
      <c r="Z61" s="374"/>
      <c r="AA61" s="632"/>
      <c r="AB61" s="632"/>
      <c r="AC61" s="25"/>
      <c r="AD61" s="25"/>
      <c r="AE61" s="19">
        <f t="shared" si="43"/>
        <v>-125.00000000000909</v>
      </c>
      <c r="AF61" s="373">
        <f t="shared" si="9"/>
        <v>0.95833333333333026</v>
      </c>
      <c r="AG61" s="637"/>
    </row>
    <row r="62" spans="1:33">
      <c r="A62" s="640" t="s">
        <v>1953</v>
      </c>
      <c r="B62" s="378" t="s">
        <v>127</v>
      </c>
      <c r="C62" s="633" t="s">
        <v>130</v>
      </c>
      <c r="D62" s="633"/>
      <c r="E62" s="42">
        <v>35.869999999999997</v>
      </c>
      <c r="F62" s="48">
        <v>1498</v>
      </c>
      <c r="G62" s="374">
        <f t="shared" si="40"/>
        <v>53733.259999999995</v>
      </c>
      <c r="H62" s="37" t="s">
        <v>91</v>
      </c>
      <c r="I62" s="376">
        <v>9</v>
      </c>
      <c r="J62" s="39">
        <v>3000</v>
      </c>
      <c r="K62" s="17">
        <f t="shared" si="1"/>
        <v>333.33333333333331</v>
      </c>
      <c r="L62" s="376">
        <v>9</v>
      </c>
      <c r="M62" s="18">
        <f t="shared" si="41"/>
        <v>2899.3548387096803</v>
      </c>
      <c r="N62" s="17">
        <f t="shared" si="3"/>
        <v>322.15053763440892</v>
      </c>
      <c r="O62" s="19">
        <f t="shared" si="4"/>
        <v>0</v>
      </c>
      <c r="P62" s="20">
        <f t="shared" si="5"/>
        <v>-11.182795698924394</v>
      </c>
      <c r="Q62" s="373">
        <f t="shared" si="6"/>
        <v>0.96645161290322679</v>
      </c>
      <c r="R62" s="637"/>
      <c r="S62" s="40">
        <v>0.34583333333333327</v>
      </c>
      <c r="T62" s="40">
        <v>0.36736111111111103</v>
      </c>
      <c r="U62" s="374">
        <f t="shared" si="44"/>
        <v>6.9999999999999751</v>
      </c>
      <c r="V62" s="377">
        <f t="shared" si="42"/>
        <v>30.999999999999972</v>
      </c>
      <c r="W62" s="23"/>
      <c r="X62" s="23"/>
      <c r="Y62" s="23"/>
      <c r="Z62" s="23"/>
      <c r="AA62" s="632"/>
      <c r="AB62" s="632"/>
      <c r="AC62" s="25"/>
      <c r="AD62" s="25"/>
      <c r="AE62" s="19">
        <f t="shared" si="43"/>
        <v>-100.64516129031972</v>
      </c>
      <c r="AF62" s="373">
        <f t="shared" si="9"/>
        <v>0.96645161290322679</v>
      </c>
      <c r="AG62" s="637"/>
    </row>
    <row r="63" spans="1:33" ht="15" customHeight="1">
      <c r="A63" s="640" t="s">
        <v>1953</v>
      </c>
      <c r="B63" s="378" t="s">
        <v>127</v>
      </c>
      <c r="C63" s="625" t="s">
        <v>144</v>
      </c>
      <c r="D63" s="626"/>
      <c r="E63" s="42">
        <v>35.869999999999997</v>
      </c>
      <c r="F63" s="48">
        <v>3255</v>
      </c>
      <c r="G63" s="374">
        <f t="shared" si="40"/>
        <v>116756.84999999999</v>
      </c>
      <c r="H63" s="37" t="s">
        <v>91</v>
      </c>
      <c r="I63" s="376">
        <v>10</v>
      </c>
      <c r="J63" s="39">
        <v>3000</v>
      </c>
      <c r="K63" s="17">
        <f t="shared" si="1"/>
        <v>300</v>
      </c>
      <c r="L63" s="376">
        <v>10</v>
      </c>
      <c r="M63" s="18">
        <f t="shared" si="41"/>
        <v>2872.0588235294117</v>
      </c>
      <c r="N63" s="17">
        <f t="shared" si="3"/>
        <v>287.20588235294116</v>
      </c>
      <c r="O63" s="19">
        <f t="shared" si="4"/>
        <v>0</v>
      </c>
      <c r="P63" s="20">
        <f t="shared" si="5"/>
        <v>-12.79411764705884</v>
      </c>
      <c r="Q63" s="373">
        <f t="shared" si="6"/>
        <v>0.95735294117647052</v>
      </c>
      <c r="R63" s="637"/>
      <c r="S63" s="40">
        <v>0.37152777777777768</v>
      </c>
      <c r="T63" s="40">
        <v>0.4187499999999999</v>
      </c>
      <c r="U63" s="374">
        <f t="shared" si="44"/>
        <v>5.9999999999999787</v>
      </c>
      <c r="V63" s="377">
        <f t="shared" si="42"/>
        <v>68</v>
      </c>
      <c r="W63" s="374"/>
      <c r="X63" s="374"/>
      <c r="Y63" s="369"/>
      <c r="Z63" s="369"/>
      <c r="AA63" s="627"/>
      <c r="AB63" s="628"/>
      <c r="AC63" s="25"/>
      <c r="AD63" s="25"/>
      <c r="AE63" s="19">
        <f t="shared" si="43"/>
        <v>-127.94117647058829</v>
      </c>
      <c r="AF63" s="373">
        <f t="shared" si="9"/>
        <v>0.95735294117647052</v>
      </c>
      <c r="AG63" s="637"/>
    </row>
    <row r="64" spans="1:33">
      <c r="A64" s="640" t="s">
        <v>1953</v>
      </c>
      <c r="B64" s="42" t="s">
        <v>1941</v>
      </c>
      <c r="C64" s="638"/>
      <c r="D64" s="638"/>
      <c r="E64" s="375"/>
      <c r="F64" s="44"/>
      <c r="G64" s="17"/>
      <c r="H64" s="378"/>
      <c r="I64" s="29">
        <v>9.6666666666666661</v>
      </c>
      <c r="J64" s="39">
        <v>3000</v>
      </c>
      <c r="K64" s="17">
        <f t="shared" si="1"/>
        <v>310.34482758620692</v>
      </c>
      <c r="L64" s="29">
        <v>9.6666666666666661</v>
      </c>
      <c r="M64" s="18">
        <f>AVERAGE(M58:M63)</f>
        <v>2884.0173228467538</v>
      </c>
      <c r="N64" s="17">
        <f t="shared" si="3"/>
        <v>298.34661960483663</v>
      </c>
      <c r="O64" s="19">
        <f t="shared" si="4"/>
        <v>0</v>
      </c>
      <c r="P64" s="20">
        <f t="shared" si="5"/>
        <v>-11.998207981370285</v>
      </c>
      <c r="Q64" s="373">
        <f t="shared" si="6"/>
        <v>0.96133910761558461</v>
      </c>
      <c r="R64" s="637"/>
      <c r="S64" s="40"/>
      <c r="T64" s="40"/>
      <c r="U64" s="17"/>
      <c r="V64" s="377"/>
      <c r="W64" s="17"/>
      <c r="X64" s="17"/>
      <c r="Y64" s="30">
        <f>SUM(Y58:Y63)</f>
        <v>0</v>
      </c>
      <c r="Z64" s="30">
        <f>SUM(Z58:Z63)</f>
        <v>0</v>
      </c>
      <c r="AA64" s="631"/>
      <c r="AB64" s="631"/>
      <c r="AC64" s="30">
        <v>6</v>
      </c>
      <c r="AD64" s="30">
        <f>SUM(AD58:AD63)</f>
        <v>0</v>
      </c>
      <c r="AE64" s="19">
        <f t="shared" si="43"/>
        <v>-115.98267715324619</v>
      </c>
      <c r="AF64" s="373">
        <f t="shared" si="9"/>
        <v>0.96133910761558461</v>
      </c>
      <c r="AG64" s="637"/>
    </row>
    <row r="65" spans="1:33" ht="15.75" customHeight="1">
      <c r="A65" s="634" t="s">
        <v>1954</v>
      </c>
      <c r="B65" s="378" t="s">
        <v>116</v>
      </c>
      <c r="C65" s="633" t="s">
        <v>145</v>
      </c>
      <c r="D65" s="633"/>
      <c r="E65" s="42">
        <v>19.02</v>
      </c>
      <c r="F65" s="378">
        <v>6000</v>
      </c>
      <c r="G65" s="374">
        <f t="shared" ref="G65:G71" si="45">E65*F65</f>
        <v>114120</v>
      </c>
      <c r="H65" s="37">
        <v>2</v>
      </c>
      <c r="I65" s="376">
        <v>14</v>
      </c>
      <c r="J65" s="39">
        <v>2400</v>
      </c>
      <c r="K65" s="17">
        <f t="shared" si="1"/>
        <v>171.42857142857142</v>
      </c>
      <c r="L65" s="376">
        <v>14</v>
      </c>
      <c r="M65" s="18">
        <f t="shared" ref="M65:M71" si="46">F65/V65*60</f>
        <v>2292.993630573249</v>
      </c>
      <c r="N65" s="17">
        <f t="shared" si="3"/>
        <v>163.78525932666065</v>
      </c>
      <c r="O65" s="19">
        <f t="shared" si="4"/>
        <v>0</v>
      </c>
      <c r="P65" s="20">
        <f t="shared" si="5"/>
        <v>-7.6433121019107659</v>
      </c>
      <c r="Q65" s="373">
        <f t="shared" si="6"/>
        <v>0.95541401273885385</v>
      </c>
      <c r="R65" s="637">
        <f>Q72</f>
        <v>0.95846536546270755</v>
      </c>
      <c r="S65" s="40">
        <v>8.3333333333333329E-2</v>
      </c>
      <c r="T65" s="40">
        <v>0.19236111111111109</v>
      </c>
      <c r="U65" s="28"/>
      <c r="V65" s="377">
        <f t="shared" ref="V65:V71" si="47">(T65-S65)*24*60</f>
        <v>156.99999999999997</v>
      </c>
      <c r="W65" s="23">
        <f>T65</f>
        <v>0.19236111111111109</v>
      </c>
      <c r="X65" s="23">
        <f>S66</f>
        <v>0.21111111111111111</v>
      </c>
      <c r="Y65" s="23"/>
      <c r="Z65" s="23"/>
      <c r="AA65" s="632"/>
      <c r="AB65" s="632"/>
      <c r="AC65" s="25">
        <v>7</v>
      </c>
      <c r="AD65" s="25"/>
      <c r="AE65" s="19">
        <f t="shared" si="43"/>
        <v>-107.00636942675101</v>
      </c>
      <c r="AF65" s="373">
        <f t="shared" si="9"/>
        <v>0.95541401273885374</v>
      </c>
      <c r="AG65" s="637">
        <f>AF72</f>
        <v>0.95846536546270744</v>
      </c>
    </row>
    <row r="66" spans="1:33" ht="15.75" customHeight="1">
      <c r="A66" s="635" t="s">
        <v>1954</v>
      </c>
      <c r="B66" s="378" t="s">
        <v>116</v>
      </c>
      <c r="C66" s="633" t="s">
        <v>146</v>
      </c>
      <c r="D66" s="633"/>
      <c r="E66" s="42">
        <v>20.36</v>
      </c>
      <c r="F66" s="378">
        <v>4443</v>
      </c>
      <c r="G66" s="374">
        <f t="shared" si="45"/>
        <v>90459.48</v>
      </c>
      <c r="H66" s="37" t="s">
        <v>91</v>
      </c>
      <c r="I66" s="376">
        <v>17</v>
      </c>
      <c r="J66" s="39">
        <v>2400</v>
      </c>
      <c r="K66" s="17">
        <f t="shared" si="1"/>
        <v>141.1764705882353</v>
      </c>
      <c r="L66" s="376">
        <v>17</v>
      </c>
      <c r="M66" s="18">
        <f t="shared" si="46"/>
        <v>2298.1034482758614</v>
      </c>
      <c r="N66" s="17">
        <f t="shared" si="3"/>
        <v>135.18255578093303</v>
      </c>
      <c r="O66" s="19">
        <f t="shared" si="4"/>
        <v>0</v>
      </c>
      <c r="P66" s="20">
        <f t="shared" si="5"/>
        <v>-5.993914807302275</v>
      </c>
      <c r="Q66" s="373">
        <f t="shared" si="6"/>
        <v>0.95754310344827553</v>
      </c>
      <c r="R66" s="637"/>
      <c r="S66" s="40">
        <v>0.21111111111111111</v>
      </c>
      <c r="T66" s="40">
        <v>0.29166666666666669</v>
      </c>
      <c r="U66" s="374">
        <f t="shared" ref="U66:U71" si="48">(S66-T65)*24*60</f>
        <v>27.000000000000025</v>
      </c>
      <c r="V66" s="377">
        <f t="shared" si="47"/>
        <v>116.00000000000003</v>
      </c>
      <c r="W66" s="23"/>
      <c r="X66" s="23"/>
      <c r="Y66" s="23"/>
      <c r="Z66" s="23"/>
      <c r="AA66" s="632"/>
      <c r="AB66" s="632"/>
      <c r="AC66" s="25"/>
      <c r="AD66" s="25"/>
      <c r="AE66" s="19">
        <f t="shared" si="43"/>
        <v>-101.89655172413859</v>
      </c>
      <c r="AF66" s="373">
        <f t="shared" si="9"/>
        <v>0.95754310344827553</v>
      </c>
      <c r="AG66" s="637"/>
    </row>
    <row r="67" spans="1:33" ht="15.75" customHeight="1">
      <c r="A67" s="635" t="s">
        <v>1954</v>
      </c>
      <c r="B67" s="378" t="s">
        <v>116</v>
      </c>
      <c r="C67" s="633" t="s">
        <v>120</v>
      </c>
      <c r="D67" s="633"/>
      <c r="E67" s="42">
        <v>25.99</v>
      </c>
      <c r="F67" s="378">
        <v>1235</v>
      </c>
      <c r="G67" s="374">
        <f t="shared" si="45"/>
        <v>32097.649999999998</v>
      </c>
      <c r="H67" s="37" t="s">
        <v>91</v>
      </c>
      <c r="I67" s="376">
        <v>18</v>
      </c>
      <c r="J67" s="39">
        <v>2400</v>
      </c>
      <c r="K67" s="17">
        <f t="shared" si="1"/>
        <v>133.33333333333334</v>
      </c>
      <c r="L67" s="376">
        <v>18</v>
      </c>
      <c r="M67" s="18">
        <f t="shared" si="46"/>
        <v>2315.6250000000027</v>
      </c>
      <c r="N67" s="17">
        <f t="shared" si="3"/>
        <v>128.64583333333348</v>
      </c>
      <c r="O67" s="19">
        <f t="shared" si="4"/>
        <v>0</v>
      </c>
      <c r="P67" s="20">
        <f t="shared" si="5"/>
        <v>-4.6874999999998579</v>
      </c>
      <c r="Q67" s="373">
        <f t="shared" si="6"/>
        <v>0.96484375000000111</v>
      </c>
      <c r="R67" s="637"/>
      <c r="S67" s="40">
        <v>0.2951388888888889</v>
      </c>
      <c r="T67" s="40">
        <v>0.31736111111111109</v>
      </c>
      <c r="U67" s="374">
        <f t="shared" si="48"/>
        <v>4.9999999999999822</v>
      </c>
      <c r="V67" s="377">
        <f t="shared" si="47"/>
        <v>31.999999999999964</v>
      </c>
      <c r="W67" s="23"/>
      <c r="X67" s="23"/>
      <c r="Y67" s="23"/>
      <c r="Z67" s="23"/>
      <c r="AA67" s="632"/>
      <c r="AB67" s="632"/>
      <c r="AC67" s="25"/>
      <c r="AD67" s="25"/>
      <c r="AE67" s="19">
        <f t="shared" si="43"/>
        <v>-84.374999999997272</v>
      </c>
      <c r="AF67" s="373">
        <f t="shared" si="9"/>
        <v>0.96484375000000111</v>
      </c>
      <c r="AG67" s="637"/>
    </row>
    <row r="68" spans="1:33" ht="15.75" customHeight="1">
      <c r="A68" s="635" t="s">
        <v>1954</v>
      </c>
      <c r="B68" s="378" t="s">
        <v>116</v>
      </c>
      <c r="C68" s="633" t="s">
        <v>148</v>
      </c>
      <c r="D68" s="633"/>
      <c r="E68" s="42">
        <v>28.29</v>
      </c>
      <c r="F68" s="378">
        <v>3683</v>
      </c>
      <c r="G68" s="374">
        <f t="shared" si="45"/>
        <v>104192.06999999999</v>
      </c>
      <c r="H68" s="37" t="s">
        <v>91</v>
      </c>
      <c r="I68" s="376">
        <v>19</v>
      </c>
      <c r="J68" s="39">
        <v>2400</v>
      </c>
      <c r="K68" s="17">
        <f t="shared" si="1"/>
        <v>126.31578947368421</v>
      </c>
      <c r="L68" s="376">
        <v>19</v>
      </c>
      <c r="M68" s="18">
        <f t="shared" si="46"/>
        <v>2301.8750000000005</v>
      </c>
      <c r="N68" s="17">
        <f t="shared" si="3"/>
        <v>121.15131578947371</v>
      </c>
      <c r="O68" s="19">
        <f t="shared" si="4"/>
        <v>0</v>
      </c>
      <c r="P68" s="20">
        <f t="shared" si="5"/>
        <v>-5.1644736842104919</v>
      </c>
      <c r="Q68" s="373">
        <f t="shared" si="6"/>
        <v>0.95911458333333366</v>
      </c>
      <c r="R68" s="637"/>
      <c r="S68" s="40">
        <v>0.32291666666666663</v>
      </c>
      <c r="T68" s="40">
        <v>0.38958333333333328</v>
      </c>
      <c r="U68" s="374">
        <f t="shared" si="48"/>
        <v>7.9999999999999716</v>
      </c>
      <c r="V68" s="377">
        <f t="shared" si="47"/>
        <v>95.999999999999972</v>
      </c>
      <c r="W68" s="23"/>
      <c r="X68" s="23"/>
      <c r="Y68" s="23"/>
      <c r="Z68" s="23"/>
      <c r="AA68" s="632"/>
      <c r="AB68" s="632"/>
      <c r="AC68" s="25"/>
      <c r="AD68" s="25"/>
      <c r="AE68" s="19">
        <f t="shared" si="43"/>
        <v>-98.124999999999545</v>
      </c>
      <c r="AF68" s="373">
        <f t="shared" si="9"/>
        <v>0.95911458333333355</v>
      </c>
      <c r="AG68" s="637"/>
    </row>
    <row r="69" spans="1:33" ht="15.75" customHeight="1">
      <c r="A69" s="635" t="s">
        <v>1954</v>
      </c>
      <c r="B69" s="378" t="s">
        <v>116</v>
      </c>
      <c r="C69" s="633" t="s">
        <v>1859</v>
      </c>
      <c r="D69" s="633"/>
      <c r="E69" s="42">
        <v>25.98</v>
      </c>
      <c r="F69" s="378">
        <v>4300</v>
      </c>
      <c r="G69" s="374">
        <f t="shared" si="45"/>
        <v>111714</v>
      </c>
      <c r="H69" s="37">
        <v>2</v>
      </c>
      <c r="I69" s="376">
        <v>19</v>
      </c>
      <c r="J69" s="39">
        <v>2400</v>
      </c>
      <c r="K69" s="17">
        <f t="shared" ref="K69:K72" si="49">J69/I69</f>
        <v>126.31578947368421</v>
      </c>
      <c r="L69" s="376">
        <v>19</v>
      </c>
      <c r="M69" s="18">
        <f t="shared" si="46"/>
        <v>2303.5714285714289</v>
      </c>
      <c r="N69" s="17">
        <f t="shared" ref="N69:N72" si="50">M69/L69</f>
        <v>121.24060150375942</v>
      </c>
      <c r="O69" s="19">
        <f t="shared" ref="O69:O72" si="51">L69-I69</f>
        <v>0</v>
      </c>
      <c r="P69" s="20">
        <f t="shared" ref="P69:P72" si="52">N69-K69</f>
        <v>-5.0751879699247837</v>
      </c>
      <c r="Q69" s="373">
        <f t="shared" ref="Q69:Q72" si="53">N69/K69</f>
        <v>0.95982142857142883</v>
      </c>
      <c r="R69" s="637"/>
      <c r="S69" s="40">
        <v>0.39305555555555549</v>
      </c>
      <c r="T69" s="40">
        <v>0.47083333333333327</v>
      </c>
      <c r="U69" s="374">
        <f t="shared" si="48"/>
        <v>4.9999999999999822</v>
      </c>
      <c r="V69" s="377">
        <f t="shared" si="47"/>
        <v>112</v>
      </c>
      <c r="W69" s="23">
        <f>T69</f>
        <v>0.47083333333333327</v>
      </c>
      <c r="X69" s="23">
        <f>S70</f>
        <v>0.51111111111111107</v>
      </c>
      <c r="Y69" s="23"/>
      <c r="Z69" s="23"/>
      <c r="AA69" s="632"/>
      <c r="AB69" s="632"/>
      <c r="AC69" s="25"/>
      <c r="AD69" s="25"/>
      <c r="AE69" s="19">
        <f t="shared" si="43"/>
        <v>-96.428571428571104</v>
      </c>
      <c r="AF69" s="373">
        <f t="shared" ref="AF69:AF72" si="54">M69/J69</f>
        <v>0.95982142857142871</v>
      </c>
      <c r="AG69" s="637"/>
    </row>
    <row r="70" spans="1:33" ht="15.75" customHeight="1">
      <c r="A70" s="635" t="s">
        <v>1954</v>
      </c>
      <c r="B70" s="378" t="s">
        <v>116</v>
      </c>
      <c r="C70" s="633" t="s">
        <v>145</v>
      </c>
      <c r="D70" s="633"/>
      <c r="E70" s="42">
        <v>19.02</v>
      </c>
      <c r="F70" s="378">
        <v>4901</v>
      </c>
      <c r="G70" s="374">
        <f t="shared" si="45"/>
        <v>93217.02</v>
      </c>
      <c r="H70" s="37" t="s">
        <v>91</v>
      </c>
      <c r="I70" s="376">
        <v>14</v>
      </c>
      <c r="J70" s="39">
        <v>2400</v>
      </c>
      <c r="K70" s="17">
        <f t="shared" si="49"/>
        <v>171.42857142857142</v>
      </c>
      <c r="L70" s="376">
        <v>14</v>
      </c>
      <c r="M70" s="18">
        <f t="shared" si="46"/>
        <v>2297.3437499999995</v>
      </c>
      <c r="N70" s="17">
        <f t="shared" si="50"/>
        <v>164.09598214285711</v>
      </c>
      <c r="O70" s="19">
        <f t="shared" si="51"/>
        <v>0</v>
      </c>
      <c r="P70" s="20">
        <f t="shared" si="52"/>
        <v>-7.332589285714306</v>
      </c>
      <c r="Q70" s="373">
        <f t="shared" si="53"/>
        <v>0.95722656249999993</v>
      </c>
      <c r="R70" s="637"/>
      <c r="S70" s="40">
        <v>0.51111111111111107</v>
      </c>
      <c r="T70" s="40">
        <v>0.6</v>
      </c>
      <c r="U70" s="374">
        <f t="shared" si="48"/>
        <v>58.000000000000036</v>
      </c>
      <c r="V70" s="377">
        <f t="shared" si="47"/>
        <v>128.00000000000003</v>
      </c>
      <c r="W70" s="23"/>
      <c r="X70" s="23"/>
      <c r="Y70" s="23"/>
      <c r="Z70" s="23"/>
      <c r="AA70" s="632"/>
      <c r="AB70" s="632"/>
      <c r="AC70" s="25"/>
      <c r="AD70" s="25"/>
      <c r="AE70" s="19">
        <f t="shared" si="43"/>
        <v>-102.65625000000045</v>
      </c>
      <c r="AF70" s="373">
        <f t="shared" si="54"/>
        <v>0.95722656249999982</v>
      </c>
      <c r="AG70" s="637"/>
    </row>
    <row r="71" spans="1:33" ht="15.75" customHeight="1">
      <c r="A71" s="635" t="s">
        <v>1954</v>
      </c>
      <c r="B71" s="378" t="s">
        <v>116</v>
      </c>
      <c r="C71" s="625" t="s">
        <v>1859</v>
      </c>
      <c r="D71" s="626"/>
      <c r="E71" s="42">
        <v>25.98</v>
      </c>
      <c r="F71" s="378">
        <v>3248</v>
      </c>
      <c r="G71" s="374">
        <f t="shared" si="45"/>
        <v>84383.040000000008</v>
      </c>
      <c r="H71" s="37" t="s">
        <v>91</v>
      </c>
      <c r="I71" s="376">
        <v>19</v>
      </c>
      <c r="J71" s="39">
        <v>2400</v>
      </c>
      <c r="K71" s="17">
        <f t="shared" si="49"/>
        <v>126.31578947368421</v>
      </c>
      <c r="L71" s="376">
        <v>19</v>
      </c>
      <c r="M71" s="18">
        <f t="shared" si="46"/>
        <v>2292.7058823529405</v>
      </c>
      <c r="N71" s="17">
        <f t="shared" si="50"/>
        <v>120.66873065015477</v>
      </c>
      <c r="O71" s="19">
        <f t="shared" si="51"/>
        <v>0</v>
      </c>
      <c r="P71" s="20">
        <f t="shared" si="52"/>
        <v>-5.6470588235294343</v>
      </c>
      <c r="Q71" s="373">
        <f t="shared" si="53"/>
        <v>0.95529411764705863</v>
      </c>
      <c r="R71" s="637"/>
      <c r="S71" s="40">
        <v>0.60486111111111107</v>
      </c>
      <c r="T71" s="40">
        <v>0.66388888888888886</v>
      </c>
      <c r="U71" s="374">
        <f t="shared" si="48"/>
        <v>6.9999999999999751</v>
      </c>
      <c r="V71" s="377">
        <f t="shared" si="47"/>
        <v>85.000000000000014</v>
      </c>
      <c r="W71" s="23"/>
      <c r="X71" s="23"/>
      <c r="Y71" s="26"/>
      <c r="Z71" s="26"/>
      <c r="AA71" s="627"/>
      <c r="AB71" s="628"/>
      <c r="AC71" s="25"/>
      <c r="AD71" s="25"/>
      <c r="AE71" s="19">
        <f t="shared" si="43"/>
        <v>-107.29411764705947</v>
      </c>
      <c r="AF71" s="373">
        <f t="shared" si="54"/>
        <v>0.95529411764705852</v>
      </c>
      <c r="AG71" s="637"/>
    </row>
    <row r="72" spans="1:33" ht="16.5" customHeight="1">
      <c r="A72" s="636" t="s">
        <v>1954</v>
      </c>
      <c r="B72" s="42" t="s">
        <v>1941</v>
      </c>
      <c r="C72" s="629"/>
      <c r="D72" s="630"/>
      <c r="E72" s="375"/>
      <c r="F72" s="44"/>
      <c r="G72" s="17"/>
      <c r="H72" s="378"/>
      <c r="I72" s="29">
        <v>17.142857142857142</v>
      </c>
      <c r="J72" s="39">
        <v>2400</v>
      </c>
      <c r="K72" s="17">
        <f t="shared" si="49"/>
        <v>140</v>
      </c>
      <c r="L72" s="29">
        <v>17.142857142857142</v>
      </c>
      <c r="M72" s="18">
        <f>AVERAGE(M65:M71)</f>
        <v>2300.3168771104979</v>
      </c>
      <c r="N72" s="17">
        <f t="shared" si="50"/>
        <v>134.18515116477906</v>
      </c>
      <c r="O72" s="19">
        <f t="shared" si="51"/>
        <v>0</v>
      </c>
      <c r="P72" s="20">
        <f t="shared" si="52"/>
        <v>-5.8148488352209426</v>
      </c>
      <c r="Q72" s="373">
        <f t="shared" si="53"/>
        <v>0.95846536546270755</v>
      </c>
      <c r="R72" s="637"/>
      <c r="S72" s="40"/>
      <c r="T72" s="40"/>
      <c r="U72" s="17"/>
      <c r="V72" s="377"/>
      <c r="W72" s="17"/>
      <c r="X72" s="17"/>
      <c r="Y72" s="30">
        <f>SUM(Y65:Y71)</f>
        <v>0</v>
      </c>
      <c r="Z72" s="30">
        <f>SUM(Z65:Z71)</f>
        <v>0</v>
      </c>
      <c r="AA72" s="631"/>
      <c r="AB72" s="631"/>
      <c r="AC72" s="30">
        <v>7</v>
      </c>
      <c r="AD72" s="30">
        <f>SUM(AD65:AD71)</f>
        <v>0</v>
      </c>
      <c r="AE72" s="19">
        <f t="shared" si="43"/>
        <v>-99.683122889502101</v>
      </c>
      <c r="AF72" s="373">
        <f t="shared" si="54"/>
        <v>0.95846536546270744</v>
      </c>
      <c r="AG72" s="637"/>
    </row>
    <row r="73" spans="1:33">
      <c r="D73" s="33"/>
      <c r="E73" s="33"/>
    </row>
  </sheetData>
  <mergeCells count="193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G13:AG20"/>
    <mergeCell ref="C14:D14"/>
    <mergeCell ref="AA14:AB14"/>
    <mergeCell ref="C15:D15"/>
    <mergeCell ref="AA15:AB15"/>
    <mergeCell ref="C16:D16"/>
    <mergeCell ref="A10:A12"/>
    <mergeCell ref="C10:D10"/>
    <mergeCell ref="R10:R12"/>
    <mergeCell ref="AA10:AB10"/>
    <mergeCell ref="AG10:AG12"/>
    <mergeCell ref="C11:D11"/>
    <mergeCell ref="AA11:AB11"/>
    <mergeCell ref="C12:D12"/>
    <mergeCell ref="AA12:AB12"/>
    <mergeCell ref="AA16:AB16"/>
    <mergeCell ref="C17:D17"/>
    <mergeCell ref="AA17:AB17"/>
    <mergeCell ref="C20:D20"/>
    <mergeCell ref="AA20:AB20"/>
    <mergeCell ref="A21:A28"/>
    <mergeCell ref="C21:D21"/>
    <mergeCell ref="R21:R28"/>
    <mergeCell ref="AA21:AB21"/>
    <mergeCell ref="AA26:AB26"/>
    <mergeCell ref="A13:A20"/>
    <mergeCell ref="C13:D13"/>
    <mergeCell ref="R13:R20"/>
    <mergeCell ref="AA13:AB13"/>
    <mergeCell ref="AG21:AG28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27:D27"/>
    <mergeCell ref="AA27:AB27"/>
    <mergeCell ref="C28:D28"/>
    <mergeCell ref="AA28:AB28"/>
    <mergeCell ref="A29:A36"/>
    <mergeCell ref="C29:D29"/>
    <mergeCell ref="R29:R36"/>
    <mergeCell ref="AA29:AB29"/>
    <mergeCell ref="AA34:AB34"/>
    <mergeCell ref="C35:D35"/>
    <mergeCell ref="AG29:AG36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C34:D34"/>
    <mergeCell ref="AA35:AB35"/>
    <mergeCell ref="C36:D36"/>
    <mergeCell ref="AA36:AB36"/>
    <mergeCell ref="A37:A45"/>
    <mergeCell ref="C37:D37"/>
    <mergeCell ref="R37:R45"/>
    <mergeCell ref="AA37:AB37"/>
    <mergeCell ref="AA42:AB42"/>
    <mergeCell ref="C43:D43"/>
    <mergeCell ref="AA43:AB43"/>
    <mergeCell ref="A46:A49"/>
    <mergeCell ref="C46:D46"/>
    <mergeCell ref="R46:R49"/>
    <mergeCell ref="AA46:AB46"/>
    <mergeCell ref="C44:D44"/>
    <mergeCell ref="AA44:AB44"/>
    <mergeCell ref="C45:D45"/>
    <mergeCell ref="AA45:AB45"/>
    <mergeCell ref="AG37:AG45"/>
    <mergeCell ref="C38:D38"/>
    <mergeCell ref="AA38:AB38"/>
    <mergeCell ref="C39:D39"/>
    <mergeCell ref="AA39:AB39"/>
    <mergeCell ref="C40:D40"/>
    <mergeCell ref="AA40:AB40"/>
    <mergeCell ref="C41:D41"/>
    <mergeCell ref="AA41:AB41"/>
    <mergeCell ref="C42:D42"/>
    <mergeCell ref="AG50:AG57"/>
    <mergeCell ref="C51:D51"/>
    <mergeCell ref="AA51:AB51"/>
    <mergeCell ref="C52:D52"/>
    <mergeCell ref="AA52:AB52"/>
    <mergeCell ref="AA53:AB53"/>
    <mergeCell ref="AG46:AG49"/>
    <mergeCell ref="C47:D47"/>
    <mergeCell ref="AA47:AB47"/>
    <mergeCell ref="C48:D48"/>
    <mergeCell ref="AA48:AB48"/>
    <mergeCell ref="C49:D49"/>
    <mergeCell ref="AA49:AB49"/>
    <mergeCell ref="C64:D64"/>
    <mergeCell ref="AA64:AB64"/>
    <mergeCell ref="A50:A57"/>
    <mergeCell ref="C50:D50"/>
    <mergeCell ref="R50:R57"/>
    <mergeCell ref="AA50:AB50"/>
    <mergeCell ref="C59:D59"/>
    <mergeCell ref="AA59:AB59"/>
    <mergeCell ref="C60:D60"/>
    <mergeCell ref="AA60:AB60"/>
    <mergeCell ref="C61:D61"/>
    <mergeCell ref="AA54:AB54"/>
    <mergeCell ref="C55:D55"/>
    <mergeCell ref="AA55:AB55"/>
    <mergeCell ref="C56:D56"/>
    <mergeCell ref="AA56:AB56"/>
    <mergeCell ref="C57:D57"/>
    <mergeCell ref="AA57:AB57"/>
    <mergeCell ref="AA61:AB61"/>
    <mergeCell ref="A58:A64"/>
    <mergeCell ref="C58:D58"/>
    <mergeCell ref="R58:R64"/>
    <mergeCell ref="AA58:AB58"/>
    <mergeCell ref="AG58:AG64"/>
    <mergeCell ref="C62:D62"/>
    <mergeCell ref="AA62:AB62"/>
    <mergeCell ref="C63:D63"/>
    <mergeCell ref="A65:A72"/>
    <mergeCell ref="C65:D65"/>
    <mergeCell ref="R65:R72"/>
    <mergeCell ref="AA65:AB65"/>
    <mergeCell ref="AG65:AG72"/>
    <mergeCell ref="C66:D66"/>
    <mergeCell ref="AA66:AB66"/>
    <mergeCell ref="C67:D67"/>
    <mergeCell ref="AA67:AB67"/>
    <mergeCell ref="C68:D68"/>
    <mergeCell ref="C72:D72"/>
    <mergeCell ref="AA72:AB72"/>
    <mergeCell ref="AA68:AB68"/>
    <mergeCell ref="C69:D69"/>
    <mergeCell ref="AA69:AB69"/>
    <mergeCell ref="C70:D70"/>
    <mergeCell ref="AA70:AB70"/>
    <mergeCell ref="C71:D71"/>
    <mergeCell ref="AA71:AB71"/>
    <mergeCell ref="AA63:AB63"/>
  </mergeCells>
  <phoneticPr fontId="3" type="noConversion"/>
  <conditionalFormatting sqref="O61:O70 O57:O58 O72 O5:O10 O12:O14 O20:O55">
    <cfRule type="cellIs" dxfId="1421" priority="53" operator="greaterThan">
      <formula>0</formula>
    </cfRule>
  </conditionalFormatting>
  <conditionalFormatting sqref="P5:P8 P61:P63 AE61:AE63 P65:P70 P29:P35 P58 P10 P12:P14 P21:P27 P50:P55 P37:P48 AE5:AE58 AE65:AE72">
    <cfRule type="cellIs" dxfId="1420" priority="57" operator="lessThan">
      <formula>0</formula>
    </cfRule>
  </conditionalFormatting>
  <conditionalFormatting sqref="AF61:AF63 Q61:Q70 Q57:Q58 Q72 Q5:Q10 Q12:Q14 Q20:Q55 AF5:AF58 AF65:AF72">
    <cfRule type="cellIs" dxfId="1419" priority="54" operator="greaterThan">
      <formula>1</formula>
    </cfRule>
    <cfRule type="cellIs" dxfId="1418" priority="55" operator="lessThan">
      <formula>0.8</formula>
    </cfRule>
  </conditionalFormatting>
  <conditionalFormatting sqref="AG13:AG14 R13:R14 AG61 R61:R70 R20:R26 AG20:AG26 AG57:AG58 R57:R58 R72 AG5:AG10 R5:R10 AG28:AG55 R28:R55">
    <cfRule type="cellIs" dxfId="1417" priority="59" operator="lessThan">
      <formula>0.8</formula>
    </cfRule>
  </conditionalFormatting>
  <conditionalFormatting sqref="AG46">
    <cfRule type="cellIs" dxfId="1416" priority="61" operator="lessThan">
      <formula>0.8</formula>
    </cfRule>
  </conditionalFormatting>
  <conditionalFormatting sqref="AG21:AG26">
    <cfRule type="cellIs" dxfId="1415" priority="58" operator="lessThan">
      <formula>0.8</formula>
    </cfRule>
  </conditionalFormatting>
  <conditionalFormatting sqref="AG29">
    <cfRule type="cellIs" dxfId="1414" priority="60" operator="lessThan">
      <formula>0.8</formula>
    </cfRule>
  </conditionalFormatting>
  <conditionalFormatting sqref="AG37:AG44">
    <cfRule type="cellIs" dxfId="1413" priority="56" operator="lessThan">
      <formula>0.8</formula>
    </cfRule>
  </conditionalFormatting>
  <conditionalFormatting sqref="AE64">
    <cfRule type="cellIs" dxfId="1412" priority="52" operator="lessThan">
      <formula>0</formula>
    </cfRule>
  </conditionalFormatting>
  <conditionalFormatting sqref="AF64">
    <cfRule type="cellIs" dxfId="1411" priority="50" operator="greaterThan">
      <formula>1</formula>
    </cfRule>
    <cfRule type="cellIs" dxfId="1410" priority="51" operator="lessThan">
      <formula>0.8</formula>
    </cfRule>
  </conditionalFormatting>
  <conditionalFormatting sqref="O15:O16">
    <cfRule type="cellIs" dxfId="1409" priority="45" operator="greaterThan">
      <formula>0</formula>
    </cfRule>
  </conditionalFormatting>
  <conditionalFormatting sqref="P15:P16">
    <cfRule type="cellIs" dxfId="1408" priority="48" operator="lessThan">
      <formula>0</formula>
    </cfRule>
  </conditionalFormatting>
  <conditionalFormatting sqref="Q15:Q16">
    <cfRule type="cellIs" dxfId="1407" priority="46" operator="greaterThan">
      <formula>1</formula>
    </cfRule>
    <cfRule type="cellIs" dxfId="1406" priority="47" operator="lessThan">
      <formula>0.8</formula>
    </cfRule>
  </conditionalFormatting>
  <conditionalFormatting sqref="R15:R16 AG15:AG16">
    <cfRule type="cellIs" dxfId="1405" priority="49" operator="lessThan">
      <formula>0.8</formula>
    </cfRule>
  </conditionalFormatting>
  <conditionalFormatting sqref="O11">
    <cfRule type="cellIs" dxfId="1404" priority="41" operator="greaterThan">
      <formula>0</formula>
    </cfRule>
  </conditionalFormatting>
  <conditionalFormatting sqref="P11">
    <cfRule type="cellIs" dxfId="1403" priority="44" operator="lessThan">
      <formula>0</formula>
    </cfRule>
  </conditionalFormatting>
  <conditionalFormatting sqref="Q11">
    <cfRule type="cellIs" dxfId="1402" priority="42" operator="greaterThan">
      <formula>1</formula>
    </cfRule>
    <cfRule type="cellIs" dxfId="1401" priority="43" operator="lessThan">
      <formula>0.8</formula>
    </cfRule>
  </conditionalFormatting>
  <conditionalFormatting sqref="O56">
    <cfRule type="cellIs" dxfId="1400" priority="36" operator="greaterThan">
      <formula>0</formula>
    </cfRule>
  </conditionalFormatting>
  <conditionalFormatting sqref="P56">
    <cfRule type="cellIs" dxfId="1399" priority="39" operator="lessThan">
      <formula>0</formula>
    </cfRule>
  </conditionalFormatting>
  <conditionalFormatting sqref="Q56">
    <cfRule type="cellIs" dxfId="1398" priority="37" operator="greaterThan">
      <formula>1</formula>
    </cfRule>
    <cfRule type="cellIs" dxfId="1397" priority="38" operator="lessThan">
      <formula>0.8</formula>
    </cfRule>
  </conditionalFormatting>
  <conditionalFormatting sqref="R56 AG56">
    <cfRule type="cellIs" dxfId="1396" priority="40" operator="lessThan">
      <formula>0.8</formula>
    </cfRule>
  </conditionalFormatting>
  <conditionalFormatting sqref="O60">
    <cfRule type="cellIs" dxfId="1395" priority="31" operator="greaterThan">
      <formula>0</formula>
    </cfRule>
  </conditionalFormatting>
  <conditionalFormatting sqref="P60 AE60">
    <cfRule type="cellIs" dxfId="1394" priority="34" operator="lessThan">
      <formula>0</formula>
    </cfRule>
  </conditionalFormatting>
  <conditionalFormatting sqref="Q60 AF60">
    <cfRule type="cellIs" dxfId="1393" priority="32" operator="greaterThan">
      <formula>1</formula>
    </cfRule>
    <cfRule type="cellIs" dxfId="1392" priority="33" operator="lessThan">
      <formula>0.8</formula>
    </cfRule>
  </conditionalFormatting>
  <conditionalFormatting sqref="R60 AG60">
    <cfRule type="cellIs" dxfId="1391" priority="35" operator="lessThan">
      <formula>0.8</formula>
    </cfRule>
  </conditionalFormatting>
  <conditionalFormatting sqref="O71">
    <cfRule type="cellIs" dxfId="1390" priority="26" operator="greaterThan">
      <formula>0</formula>
    </cfRule>
  </conditionalFormatting>
  <conditionalFormatting sqref="P71">
    <cfRule type="cellIs" dxfId="1389" priority="29" operator="lessThan">
      <formula>0</formula>
    </cfRule>
  </conditionalFormatting>
  <conditionalFormatting sqref="Q71">
    <cfRule type="cellIs" dxfId="1388" priority="27" operator="greaterThan">
      <formula>1</formula>
    </cfRule>
    <cfRule type="cellIs" dxfId="1387" priority="28" operator="lessThan">
      <formula>0.8</formula>
    </cfRule>
  </conditionalFormatting>
  <conditionalFormatting sqref="R71">
    <cfRule type="cellIs" dxfId="1386" priority="30" operator="lessThan">
      <formula>0.8</formula>
    </cfRule>
  </conditionalFormatting>
  <conditionalFormatting sqref="O17:O18">
    <cfRule type="cellIs" dxfId="1385" priority="21" operator="greaterThan">
      <formula>0</formula>
    </cfRule>
  </conditionalFormatting>
  <conditionalFormatting sqref="P17:P18">
    <cfRule type="cellIs" dxfId="1384" priority="24" operator="lessThan">
      <formula>0</formula>
    </cfRule>
  </conditionalFormatting>
  <conditionalFormatting sqref="Q17:Q18">
    <cfRule type="cellIs" dxfId="1383" priority="22" operator="greaterThan">
      <formula>1</formula>
    </cfRule>
    <cfRule type="cellIs" dxfId="1382" priority="23" operator="lessThan">
      <formula>0.8</formula>
    </cfRule>
  </conditionalFormatting>
  <conditionalFormatting sqref="R17:R18 AG17:AG18">
    <cfRule type="cellIs" dxfId="1381" priority="25" operator="lessThan">
      <formula>0.8</formula>
    </cfRule>
  </conditionalFormatting>
  <conditionalFormatting sqref="R27 AG27">
    <cfRule type="cellIs" dxfId="1380" priority="20" operator="lessThan">
      <formula>0.8</formula>
    </cfRule>
  </conditionalFormatting>
  <conditionalFormatting sqref="AG27">
    <cfRule type="cellIs" dxfId="1379" priority="19" operator="lessThan">
      <formula>0.8</formula>
    </cfRule>
  </conditionalFormatting>
  <conditionalFormatting sqref="O59">
    <cfRule type="cellIs" dxfId="1378" priority="14" operator="greaterThan">
      <formula>0</formula>
    </cfRule>
  </conditionalFormatting>
  <conditionalFormatting sqref="P59 AE59">
    <cfRule type="cellIs" dxfId="1377" priority="17" operator="lessThan">
      <formula>0</formula>
    </cfRule>
  </conditionalFormatting>
  <conditionalFormatting sqref="Q59 AF59">
    <cfRule type="cellIs" dxfId="1376" priority="15" operator="greaterThan">
      <formula>1</formula>
    </cfRule>
    <cfRule type="cellIs" dxfId="1375" priority="16" operator="lessThan">
      <formula>0.8</formula>
    </cfRule>
  </conditionalFormatting>
  <conditionalFormatting sqref="R59 AG59">
    <cfRule type="cellIs" dxfId="1374" priority="18" operator="lessThan">
      <formula>0.8</formula>
    </cfRule>
  </conditionalFormatting>
  <conditionalFormatting sqref="O19">
    <cfRule type="cellIs" dxfId="1373" priority="9" operator="greaterThan">
      <formula>0</formula>
    </cfRule>
  </conditionalFormatting>
  <conditionalFormatting sqref="P19">
    <cfRule type="cellIs" dxfId="1372" priority="12" operator="lessThan">
      <formula>0</formula>
    </cfRule>
  </conditionalFormatting>
  <conditionalFormatting sqref="Q19">
    <cfRule type="cellIs" dxfId="1371" priority="10" operator="greaterThan">
      <formula>1</formula>
    </cfRule>
    <cfRule type="cellIs" dxfId="1370" priority="11" operator="lessThan">
      <formula>0.8</formula>
    </cfRule>
  </conditionalFormatting>
  <conditionalFormatting sqref="AG19 R19">
    <cfRule type="cellIs" dxfId="1369" priority="13" operator="lessThan">
      <formula>0.8</formula>
    </cfRule>
  </conditionalFormatting>
  <conditionalFormatting sqref="P9">
    <cfRule type="cellIs" dxfId="1368" priority="8" operator="lessThan">
      <formula>0</formula>
    </cfRule>
  </conditionalFormatting>
  <conditionalFormatting sqref="P20">
    <cfRule type="cellIs" dxfId="1367" priority="7" operator="lessThan">
      <formula>0</formula>
    </cfRule>
  </conditionalFormatting>
  <conditionalFormatting sqref="P28">
    <cfRule type="cellIs" dxfId="1366" priority="6" operator="lessThan">
      <formula>0</formula>
    </cfRule>
  </conditionalFormatting>
  <conditionalFormatting sqref="P36">
    <cfRule type="cellIs" dxfId="1365" priority="5" operator="lessThan">
      <formula>0</formula>
    </cfRule>
  </conditionalFormatting>
  <conditionalFormatting sqref="P49">
    <cfRule type="cellIs" dxfId="1364" priority="4" operator="lessThan">
      <formula>0</formula>
    </cfRule>
  </conditionalFormatting>
  <conditionalFormatting sqref="P57">
    <cfRule type="cellIs" dxfId="1363" priority="3" operator="lessThan">
      <formula>0</formula>
    </cfRule>
  </conditionalFormatting>
  <conditionalFormatting sqref="P64">
    <cfRule type="cellIs" dxfId="1362" priority="2" operator="lessThan">
      <formula>0</formula>
    </cfRule>
  </conditionalFormatting>
  <conditionalFormatting sqref="P72">
    <cfRule type="cellIs" dxfId="1361" priority="1" operator="lessThan">
      <formula>0</formula>
    </cfRule>
  </conditionalFormatting>
  <dataValidations count="1">
    <dataValidation type="list" allowBlank="1" showInputMessage="1" showErrorMessage="1" sqref="AB9 AA5:AB8 AB62:AB63 AA9:AA63 AB11:AB58 AA64:AB72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Q14" sqref="Q14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612" t="s">
        <v>1761</v>
      </c>
      <c r="C1" s="612"/>
      <c r="D1" s="612"/>
      <c r="E1" s="612"/>
      <c r="F1" s="612"/>
      <c r="G1" s="612"/>
      <c r="H1" s="612"/>
      <c r="I1" s="612"/>
      <c r="J1" s="612"/>
      <c r="K1" s="51"/>
      <c r="L1" s="51"/>
      <c r="M1" s="51"/>
      <c r="N1" s="51"/>
      <c r="O1" s="51"/>
      <c r="P1" s="51"/>
    </row>
    <row r="2" spans="2:17" ht="27.75" customHeight="1">
      <c r="B2" s="613"/>
      <c r="C2" s="613"/>
      <c r="D2" s="613"/>
      <c r="E2" s="613"/>
      <c r="F2" s="613"/>
      <c r="G2" s="613"/>
      <c r="H2" s="613"/>
      <c r="I2" s="613"/>
      <c r="J2" s="613"/>
      <c r="K2" s="53"/>
      <c r="L2" s="53"/>
      <c r="M2" s="53"/>
      <c r="N2" s="51"/>
      <c r="O2" s="51"/>
      <c r="P2" s="51"/>
    </row>
    <row r="3" spans="2:17" ht="46.5" customHeight="1">
      <c r="B3" s="54" t="s">
        <v>1762</v>
      </c>
      <c r="C3" s="614" t="str">
        <f>TEXT('0818 4度C'!A2,"yyyy.mm.ddaaaa")</f>
        <v>2026.08.18星期二</v>
      </c>
      <c r="D3" s="615"/>
      <c r="E3" s="54" t="s">
        <v>1763</v>
      </c>
      <c r="F3" s="616">
        <f>'0818 4度C'!D1</f>
        <v>193700</v>
      </c>
      <c r="G3" s="617"/>
      <c r="H3" s="54" t="s">
        <v>1764</v>
      </c>
      <c r="I3" s="618">
        <f>'0818 4度C'!F1</f>
        <v>6719906.7299999986</v>
      </c>
      <c r="J3" s="619"/>
      <c r="K3" s="55"/>
      <c r="L3" s="56"/>
      <c r="M3" s="57"/>
      <c r="N3" s="57"/>
    </row>
    <row r="4" spans="2:17" ht="28.5" customHeight="1">
      <c r="B4" s="620" t="s">
        <v>1765</v>
      </c>
      <c r="C4" s="606" t="s">
        <v>1766</v>
      </c>
      <c r="D4" s="607"/>
      <c r="E4" s="623" t="s">
        <v>1767</v>
      </c>
      <c r="F4" s="624"/>
      <c r="G4" s="623" t="s">
        <v>1768</v>
      </c>
      <c r="H4" s="624"/>
      <c r="I4" s="623" t="s">
        <v>1769</v>
      </c>
      <c r="J4" s="624"/>
      <c r="K4" s="604" t="s">
        <v>1770</v>
      </c>
      <c r="L4" s="605"/>
      <c r="M4" s="605" t="s">
        <v>1771</v>
      </c>
      <c r="N4" s="605"/>
    </row>
    <row r="5" spans="2:17" ht="28.5" customHeight="1">
      <c r="B5" s="621"/>
      <c r="C5" s="606" t="s">
        <v>1772</v>
      </c>
      <c r="D5" s="607"/>
      <c r="E5" s="606" t="s">
        <v>1773</v>
      </c>
      <c r="F5" s="607"/>
      <c r="G5" s="608" t="s">
        <v>1774</v>
      </c>
      <c r="H5" s="609"/>
      <c r="I5" s="610" t="s">
        <v>1775</v>
      </c>
      <c r="J5" s="611"/>
      <c r="K5" s="58" t="s">
        <v>1776</v>
      </c>
      <c r="L5" s="59" t="s">
        <v>1777</v>
      </c>
      <c r="M5" s="58" t="s">
        <v>1776</v>
      </c>
      <c r="N5" s="59" t="s">
        <v>1778</v>
      </c>
    </row>
    <row r="6" spans="2:17" ht="28.5" customHeight="1">
      <c r="B6" s="621"/>
      <c r="C6" s="606" t="s">
        <v>169</v>
      </c>
      <c r="D6" s="607"/>
      <c r="E6" s="598">
        <f>AVERAGE(D13:M13)</f>
        <v>155.3888004657444</v>
      </c>
      <c r="F6" s="599">
        <f>AVERAGE(D31:O31,D13:J13)</f>
        <v>162.88972861709388</v>
      </c>
      <c r="G6" s="600">
        <f>AVERAGE(D13:J13)</f>
        <v>162.88972861709388</v>
      </c>
      <c r="H6" s="601"/>
      <c r="I6" s="600">
        <f>AVERAGE(K13:M13)</f>
        <v>137.88663477926221</v>
      </c>
      <c r="J6" s="601"/>
      <c r="K6" s="602">
        <f>'0818 4度C'!Y2</f>
        <v>0</v>
      </c>
      <c r="L6" s="587">
        <f>'0818 4度C'!Z2</f>
        <v>0</v>
      </c>
      <c r="M6" s="603">
        <f>'0818 4度C'!AC2</f>
        <v>59</v>
      </c>
      <c r="N6" s="587">
        <f>'0818 4度C'!AD2</f>
        <v>0</v>
      </c>
    </row>
    <row r="7" spans="2:17" ht="28.5" customHeight="1">
      <c r="B7" s="621"/>
      <c r="C7" s="588" t="s">
        <v>170</v>
      </c>
      <c r="D7" s="589"/>
      <c r="E7" s="590">
        <f>AVERAGE(D14:M14)</f>
        <v>148.95598469939455</v>
      </c>
      <c r="F7" s="591">
        <f>AVERAGE(D32:O32,D14:J14)</f>
        <v>156.29361290225032</v>
      </c>
      <c r="G7" s="592">
        <f>AVERAGE(D14:J14)</f>
        <v>156.29361290225032</v>
      </c>
      <c r="H7" s="593"/>
      <c r="I7" s="592">
        <f>AVERAGE(K14:M14)</f>
        <v>131.83485222606444</v>
      </c>
      <c r="J7" s="593"/>
      <c r="K7" s="602"/>
      <c r="L7" s="587"/>
      <c r="M7" s="603"/>
      <c r="N7" s="587"/>
    </row>
    <row r="8" spans="2:17" ht="28.5" customHeight="1">
      <c r="B8" s="622"/>
      <c r="C8" s="588" t="s">
        <v>171</v>
      </c>
      <c r="D8" s="589"/>
      <c r="E8" s="594">
        <f>AVERAGE(D15:M15)</f>
        <v>0.95813003592381829</v>
      </c>
      <c r="F8" s="595">
        <f>AVERAGE(D15:J15,D33:O33)</f>
        <v>0.9590198658741258</v>
      </c>
      <c r="G8" s="596">
        <f>AVERAGE(D15:J15)</f>
        <v>0.9590198658741258</v>
      </c>
      <c r="H8" s="597"/>
      <c r="I8" s="596">
        <f>AVERAGE(K15:M15)</f>
        <v>0.95605376603976733</v>
      </c>
      <c r="J8" s="597"/>
      <c r="K8" s="602"/>
      <c r="L8" s="587"/>
      <c r="M8" s="603"/>
      <c r="N8" s="587"/>
    </row>
    <row r="9" spans="2:17" ht="28.5" customHeight="1" thickBot="1">
      <c r="H9" s="61"/>
      <c r="K9" s="62" t="s">
        <v>1779</v>
      </c>
      <c r="N9" s="57"/>
      <c r="O9" s="57"/>
      <c r="P9" s="57"/>
      <c r="Q9" s="57"/>
    </row>
    <row r="10" spans="2:17" ht="30" customHeight="1">
      <c r="B10" s="570" t="s">
        <v>1780</v>
      </c>
      <c r="C10" s="571"/>
      <c r="D10" s="572" t="s">
        <v>1781</v>
      </c>
      <c r="E10" s="573"/>
      <c r="F10" s="573"/>
      <c r="G10" s="573"/>
      <c r="H10" s="573"/>
      <c r="I10" s="573"/>
      <c r="J10" s="574"/>
      <c r="K10" s="575" t="s">
        <v>1782</v>
      </c>
      <c r="L10" s="576"/>
      <c r="M10" s="577"/>
      <c r="P10" s="63"/>
      <c r="Q10" s="63"/>
    </row>
    <row r="11" spans="2:17" ht="17.25" customHeight="1">
      <c r="B11" s="578" t="s">
        <v>1783</v>
      </c>
      <c r="C11" s="579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80"/>
      <c r="C12" s="581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582" t="s">
        <v>1784</v>
      </c>
      <c r="C13" s="70" t="s">
        <v>1785</v>
      </c>
      <c r="D13" s="71">
        <f>SUMIFS('0818 4度C'!$K:$K,'0818 4度C'!$A:$A,"新豐6線",'0818 4度C'!$B:$B,"平均")</f>
        <v>129.03225806451613</v>
      </c>
      <c r="E13" s="72">
        <f>SUMIFS('0818 4度C'!$K:$K,'0818 4度C'!$A:$A,"新豐2線",'0818 4度C'!$B:$B,"平均")</f>
        <v>83.333333333333329</v>
      </c>
      <c r="F13" s="73">
        <f>SUMIFS('0818 4度C'!$K:$K,'0818 4度C'!$A:$A,"新豐5線",'0818 4度C'!$B:$B,"平均")</f>
        <v>93.75</v>
      </c>
      <c r="G13" s="73">
        <f>SUMIFS('0818 4度C'!$K:$K,'0818 4度C'!$A:$A,"新豐7線",'0818 4度C'!$B:$B,"平均")</f>
        <v>123.89380530973452</v>
      </c>
      <c r="H13" s="73">
        <f>SUMIFS('0818 4度C'!$K:$K,'0818 4度C'!$A:$A,"新豐3線",'0818 4度C'!$B:$B,"平均")</f>
        <v>319.14893617021278</v>
      </c>
      <c r="I13" s="73">
        <f>SUMIFS('0818 4度C'!$K:$K,'0818 4度C'!$A:$A,"新豐1線",'0818 4度C'!$B:$B,"平均")</f>
        <v>112</v>
      </c>
      <c r="J13" s="74">
        <f>SUMIFS('0818 4度C'!$K:$K,'0818 4度C'!$A:$A,"新豐10線",'0818 4度C'!$B:$B,"平均")</f>
        <v>279.06976744186045</v>
      </c>
      <c r="K13" s="75">
        <f>SUMIFS('0818 4度C'!$K:$K,'0818 4度C'!$A:$A,"新豐8線",'0818 4度C'!$B:$B,"平均")</f>
        <v>148.83720930232559</v>
      </c>
      <c r="L13" s="76">
        <f>SUMIFS('0818 4度C'!$K:$K,'0818 4度C'!$A:$A,"新豐9線",'0818 4度C'!$B:$B,"平均")</f>
        <v>124.822695035461</v>
      </c>
      <c r="M13" s="74">
        <f>SUMIFS('0818 4度C'!$K:$K,'0818 4度C'!$A:$A,"新豐4線",'0818 4度C'!$B:$B,"平均")</f>
        <v>140</v>
      </c>
    </row>
    <row r="14" spans="2:17" ht="39.6" customHeight="1">
      <c r="B14" s="583"/>
      <c r="C14" s="77" t="s">
        <v>1786</v>
      </c>
      <c r="D14" s="78">
        <f>SUMIFS('0818 4度C'!$N:$N,'0818 4度C'!$A:$A,"新豐6線",'0818 4度C'!$B:$B,"平均")</f>
        <v>123.59759219173431</v>
      </c>
      <c r="E14" s="79">
        <f>SUMIFS('0818 4度C'!$N:$N,'0818 4度C'!$A:$A,"新豐2線",'0818 4度C'!$B:$B,"平均")</f>
        <v>79.494933094163002</v>
      </c>
      <c r="F14" s="79">
        <f>SUMIFS('0818 4度C'!$N:$N,'0818 4度C'!$A:$A,"新豐5線",'0818 4度C'!$B:$B,"平均")</f>
        <v>90.038303377369175</v>
      </c>
      <c r="G14" s="79">
        <f>SUMIFS('0818 4度C'!$N:$N,'0818 4度C'!$A:$A,"新豐7線",'0818 4度C'!$B:$B,"平均")</f>
        <v>118.87733717783172</v>
      </c>
      <c r="H14" s="79">
        <f>SUMIFS('0818 4度C'!$N:$N,'0818 4度C'!$A:$A,"新豐3線",'0818 4度C'!$B:$B,"平均")</f>
        <v>306.16056904757602</v>
      </c>
      <c r="I14" s="79">
        <f>SUMIFS('0818 4度C'!$N:$N,'0818 4度C'!$A:$A,"新豐1線",'0818 4度C'!$B:$B,"平均")</f>
        <v>107.60420193471126</v>
      </c>
      <c r="J14" s="80">
        <f>SUMIFS('0818 4度C'!$N:$N,'0818 4度C'!$A:$A,"新豐10線",'0818 4度C'!$B:$B,"平均")</f>
        <v>268.28235349236678</v>
      </c>
      <c r="K14" s="81">
        <f>SUMIFS('0818 4度C'!$N:$N,'0818 4度C'!$A:$A,"新豐8線",'0818 4度C'!$B:$B,"平均")</f>
        <v>142.42712186959579</v>
      </c>
      <c r="L14" s="82">
        <f>SUMIFS('0818 4度C'!$N:$N,'0818 4度C'!$A:$A,"新豐9線",'0818 4度C'!$B:$B,"平均")</f>
        <v>119.20821653433914</v>
      </c>
      <c r="M14" s="80">
        <f>SUMIFS('0818 4度C'!$N:$N,'0818 4度C'!$A:$A,"新豐4線",'0818 4度C'!$B:$B,"平均")</f>
        <v>133.86921827425837</v>
      </c>
    </row>
    <row r="15" spans="2:17" ht="40.15" customHeight="1">
      <c r="B15" s="584"/>
      <c r="C15" s="83" t="s">
        <v>1787</v>
      </c>
      <c r="D15" s="84">
        <f t="shared" ref="D15:M15" si="0">D14/D13</f>
        <v>0.9578813394859409</v>
      </c>
      <c r="E15" s="85">
        <f t="shared" si="0"/>
        <v>0.95393919712995612</v>
      </c>
      <c r="F15" s="85">
        <f t="shared" si="0"/>
        <v>0.96040856935860452</v>
      </c>
      <c r="G15" s="85">
        <f t="shared" si="0"/>
        <v>0.95950993579249888</v>
      </c>
      <c r="H15" s="85">
        <f t="shared" si="0"/>
        <v>0.95930311634907151</v>
      </c>
      <c r="I15" s="85">
        <f t="shared" si="0"/>
        <v>0.96075180298849339</v>
      </c>
      <c r="J15" s="86">
        <f t="shared" si="0"/>
        <v>0.96134510001431439</v>
      </c>
      <c r="K15" s="84">
        <f t="shared" si="0"/>
        <v>0.95693222506134668</v>
      </c>
      <c r="L15" s="85">
        <f t="shared" si="0"/>
        <v>0.95502037109896698</v>
      </c>
      <c r="M15" s="86">
        <f t="shared" si="0"/>
        <v>0.95620870195898833</v>
      </c>
    </row>
    <row r="16" spans="2:17" ht="17.25" customHeight="1">
      <c r="B16" s="585" t="s">
        <v>1788</v>
      </c>
      <c r="C16" s="87" t="s">
        <v>452</v>
      </c>
      <c r="D16" s="88">
        <f>VLOOKUP("新豐6線",'0818 4度C'!$A:$T,19,0)</f>
        <v>0.70833333333333337</v>
      </c>
      <c r="E16" s="89">
        <f>VLOOKUP("新豐2線",'0818 4度C'!$A:$T,19,0)</f>
        <v>8.3333333333333329E-2</v>
      </c>
      <c r="F16" s="89">
        <f>VLOOKUP("新豐5線",'0818 4度C'!$A:$T,19,0)</f>
        <v>0.20833333333333334</v>
      </c>
      <c r="G16" s="89">
        <f>VLOOKUP("新豐7線",'0818 4度C'!$A:$T,19,0)</f>
        <v>0.20833333333333334</v>
      </c>
      <c r="H16" s="89">
        <f>VLOOKUP("新豐3線",'0818 4度C'!$A:$T,19,0)</f>
        <v>0.20833333333333334</v>
      </c>
      <c r="I16" s="89">
        <f>VLOOKUP("新豐1線",'0818 4度C'!$A:$T,19,0)</f>
        <v>0.20833333333333334</v>
      </c>
      <c r="J16" s="90">
        <f>VLOOKUP("新豐10線",'0818 4度C'!$A:$T,19,0)</f>
        <v>0.20833333333333334</v>
      </c>
      <c r="K16" s="91">
        <f>VLOOKUP("新豐8線",'0818 4度C'!$A:$T,19,0)</f>
        <v>8.3333333333333329E-2</v>
      </c>
      <c r="L16" s="92">
        <f>VLOOKUP("新豐9線",'0818 4度C'!$A:$T,19,0)</f>
        <v>8.3333333333333329E-2</v>
      </c>
      <c r="M16" s="93">
        <f>VLOOKUP("新豐4線",'0818 4度C'!$A:$T,19,0)</f>
        <v>8.3333333333333329E-2</v>
      </c>
    </row>
    <row r="17" spans="2:13" ht="17.25" customHeight="1">
      <c r="B17" s="586"/>
      <c r="C17" s="87" t="s">
        <v>1789</v>
      </c>
      <c r="D17" s="91">
        <f>LOOKUP(2,1/(('0818 4度C'!$A:$A="新豐6線")*('0818 4度C'!$T:$T&lt;&gt;"")),'0818 4度C'!$T:$T)</f>
        <v>0.9145833333333333</v>
      </c>
      <c r="E17" s="89">
        <f>LOOKUP(2,1/(('0818 4度C'!$A:$A="新豐2線")*('0818 4度C'!$T:$T&lt;&gt;"")),'0818 4度C'!$T:$T)</f>
        <v>0.46527777777777779</v>
      </c>
      <c r="F17" s="89">
        <f>LOOKUP(2,1/(('0818 4度C'!$A:$A="新豐5線")*('0818 4度C'!$T:$T&lt;&gt;"")),'0818 4度C'!$T:$T)</f>
        <v>0.84930555555555554</v>
      </c>
      <c r="G17" s="89">
        <f>LOOKUP(2,1/(('0818 4度C'!$A:$A="新豐7線")*('0818 4度C'!$T:$T&lt;&gt;"")),'0818 4度C'!$T:$T)</f>
        <v>0.84930555555555554</v>
      </c>
      <c r="H17" s="89">
        <f>LOOKUP(2,1/(('0818 4度C'!$A:$A="新豐3線")*('0818 4度C'!$T:$T&lt;&gt;"")),'0818 4度C'!$T:$T)</f>
        <v>0.47638888888888886</v>
      </c>
      <c r="I17" s="89">
        <f>LOOKUP(2,1/(('0818 4度C'!$A:$A="新豐1線")*('0818 4度C'!$T:$T&lt;&gt;"")),'0818 4度C'!$T:$T)</f>
        <v>0.83402777777777781</v>
      </c>
      <c r="J17" s="90">
        <f>LOOKUP(2,1/(('0818 4度C'!$A:$A="新豐10線")*('0818 4度C'!$T:$T&lt;&gt;"")),'0818 4度C'!$T:$T)</f>
        <v>0.47152777777777777</v>
      </c>
      <c r="K17" s="88">
        <f>LOOKUP(2,1/(('0818 4度C'!$A:$A="新豐8線")*('0818 4度C'!$T:$T&lt;&gt;"")),'0818 4度C'!$T:$T)</f>
        <v>0.72013888888888888</v>
      </c>
      <c r="L17" s="89">
        <f>LOOKUP(2,1/(('0818 4度C'!$A:$A="新豐9線")*('0818 4度C'!$T:$T&lt;&gt;"")),'0818 4度C'!$T:$T)</f>
        <v>0.74930555555555556</v>
      </c>
      <c r="M17" s="90">
        <f>LOOKUP(2,1/(('0818 4度C'!$A:$A="新豐4線")*('0818 4度C'!$T:$T&lt;&gt;"")),'0818 4度C'!$T:$T)</f>
        <v>0.71805555555555534</v>
      </c>
    </row>
    <row r="18" spans="2:13" ht="17.25" customHeight="1">
      <c r="B18" s="564" t="s">
        <v>194</v>
      </c>
      <c r="C18" s="94" t="s">
        <v>1790</v>
      </c>
      <c r="D18" s="95">
        <f>SUMIFS('0818 4度C'!$Y:$Y,'0818 4度C'!$A:$A,"新豐6線",'0818 4度C'!$B:$B,"平均")</f>
        <v>0</v>
      </c>
      <c r="E18" s="96">
        <f>SUMIFS('0818 4度C'!$Y:$Y,'0818 4度C'!$A:$A,"新豐2線",'0818 4度C'!$B:$B,"平均")</f>
        <v>0</v>
      </c>
      <c r="F18" s="96">
        <f>SUMIFS('0818 4度C'!$Y:$Y,'0818 4度C'!$A:$A,"新豐5線",'0818 4度C'!$B:$B,"平均")</f>
        <v>0</v>
      </c>
      <c r="G18" s="96">
        <f>SUMIFS('0818 4度C'!$Y:$Y,'0818 4度C'!$A:$A,"新豐7線",'0818 4度C'!$B:$B,"平均")</f>
        <v>0</v>
      </c>
      <c r="H18" s="96">
        <f>SUMIFS('0818 4度C'!$Y:$Y,'0818 4度C'!$A:$A,"新豐3線",'0818 4度C'!$B:$B,"平均")</f>
        <v>0</v>
      </c>
      <c r="I18" s="96">
        <f>SUMIFS('0818 4度C'!$Y:$Y,'0818 4度C'!$A:$A,"新豐1線",'0818 4度C'!$B:$B,"平均")</f>
        <v>0</v>
      </c>
      <c r="J18" s="97">
        <f>SUMIFS('0818 4度C'!$Y:$Y,'0818 4度C'!$A:$A,"新豐10線",'0818 4度C'!$B:$B,"平均")</f>
        <v>0</v>
      </c>
      <c r="K18" s="98">
        <f>SUMIFS('0818 4度C'!$Y:$Y,'0818 4度C'!$A:$A,"新豐8線",'0818 4度C'!$B:$B,"平均")</f>
        <v>0</v>
      </c>
      <c r="L18" s="96">
        <f>SUMIFS('0818 4度C'!$Y:$Y,'0818 4度C'!$A:$A,"新豐9線",'0818 4度C'!$B:$B,"平均")</f>
        <v>0</v>
      </c>
      <c r="M18" s="97">
        <f>SUMIFS('0818 4度C'!$Y:$Y,'0818 4度C'!$A:$A,"新豐4線",'0818 4度C'!$B:$B,"平均")</f>
        <v>0</v>
      </c>
    </row>
    <row r="19" spans="2:13" ht="17.25" customHeight="1">
      <c r="B19" s="565"/>
      <c r="C19" s="94" t="s">
        <v>1791</v>
      </c>
      <c r="D19" s="95">
        <f>SUMIFS('0818 4度C'!$Z:$Z,'0818 4度C'!$A:$A,"新豐6線",'0818 4度C'!$B:$B,"平均")</f>
        <v>0</v>
      </c>
      <c r="E19" s="96">
        <f>SUMIFS('0818 4度C'!$Z:$Z,'0818 4度C'!$A:$A,"新豐2線",'0818 4度C'!$B:$B,"平均")</f>
        <v>0</v>
      </c>
      <c r="F19" s="96">
        <f>SUMIFS('0818 4度C'!$Z:$Z,'0818 4度C'!$A:$A,"新豐5線",'0818 4度C'!$B:$B,"平均")</f>
        <v>0</v>
      </c>
      <c r="G19" s="96">
        <f>SUMIFS('0818 4度C'!$Z:$Z,'0818 4度C'!$A:$A,"新豐7線",'0818 4度C'!$B:$B,"平均")</f>
        <v>0</v>
      </c>
      <c r="H19" s="96">
        <f>SUMIFS('0818 4度C'!$Z:$Z,'0818 4度C'!$A:$A,"新豐3線",'0818 4度C'!$B:$B,"平均")</f>
        <v>0</v>
      </c>
      <c r="I19" s="96">
        <f>SUMIFS('0818 4度C'!$Z:$Z,'0818 4度C'!$A:$A,"新豐1線",'0818 4度C'!$B:$B,"平均")</f>
        <v>0</v>
      </c>
      <c r="J19" s="97">
        <f>SUMIFS('0818 4度C'!$Z:$Z,'0818 4度C'!$A:$A,"新豐10線",'0818 4度C'!$B:$B,"平均")</f>
        <v>0</v>
      </c>
      <c r="K19" s="98">
        <f>SUMIFS('0818 4度C'!$Z:$Z,'0818 4度C'!$A:$A,"新豐8線",'0818 4度C'!$B:$B,"平均")</f>
        <v>0</v>
      </c>
      <c r="L19" s="96">
        <f>SUMIFS('0818 4度C'!$Z:$Z,'0818 4度C'!$A:$A,"新豐9線",'0818 4度C'!$B:$B,"平均")</f>
        <v>0</v>
      </c>
      <c r="M19" s="97">
        <f>SUMIFS('0818 4度C'!$Z:$Z,'0818 4度C'!$A:$A,"新豐4線",'0818 4度C'!$B:$B,"平均")</f>
        <v>0</v>
      </c>
    </row>
    <row r="20" spans="2:13" ht="17.25" customHeight="1">
      <c r="B20" s="564" t="s">
        <v>1792</v>
      </c>
      <c r="C20" s="94" t="s">
        <v>43</v>
      </c>
      <c r="D20" s="95">
        <f>SUMIFS('0818 4度C'!$AC:$AC,'0818 4度C'!$A:$A,"新豐6線",'0818 4度C'!$B:$B,"平均")</f>
        <v>4</v>
      </c>
      <c r="E20" s="96">
        <f>SUMIFS('0818 4度C'!$AC:$AC,'0818 4度C'!$A:$A,"新豐2線",'0818 4度C'!$B:$B,"平均")</f>
        <v>2</v>
      </c>
      <c r="F20" s="96">
        <f>SUMIFS('0818 4度C'!$AC:$AC,'0818 4度C'!$A:$A,"新豐5線",'0818 4度C'!$B:$B,"平均")</f>
        <v>7</v>
      </c>
      <c r="G20" s="96">
        <f>SUMIFS('0818 4度C'!$AC:$AC,'0818 4度C'!$A:$A,"新豐7線",'0818 4度C'!$B:$B,"平均")</f>
        <v>7</v>
      </c>
      <c r="H20" s="96">
        <f>SUMIFS('0818 4度C'!$AC:$AC,'0818 4度C'!$A:$A,"新豐3線",'0818 4度C'!$B:$B,"平均")</f>
        <v>5</v>
      </c>
      <c r="I20" s="96">
        <f>SUMIFS('0818 4度C'!$AC:$AC,'0818 4度C'!$A:$A,"新豐1線",'0818 4度C'!$B:$B,"平均")</f>
        <v>7</v>
      </c>
      <c r="J20" s="97">
        <f>SUMIFS('0818 4度C'!$AC:$AC,'0818 4度C'!$A:$A,"新豐10線",'0818 4度C'!$B:$B,"平均")</f>
        <v>4</v>
      </c>
      <c r="K20" s="98">
        <f>SUMIFS('0818 4度C'!$AC:$AC,'0818 4度C'!$A:$A,"新豐8線",'0818 4度C'!$B:$B,"平均")</f>
        <v>8</v>
      </c>
      <c r="L20" s="96">
        <f>SUMIFS('0818 4度C'!$AC:$AC,'0818 4度C'!$A:$A,"新豐9線",'0818 4度C'!$B:$B,"平均")</f>
        <v>8</v>
      </c>
      <c r="M20" s="97">
        <f>SUMIFS('0818 4度C'!$AC:$AC,'0818 4度C'!$A:$A,"新豐4線",'0818 4度C'!$B:$B,"平均")</f>
        <v>7</v>
      </c>
    </row>
    <row r="21" spans="2:13" ht="17.25" customHeight="1">
      <c r="B21" s="565"/>
      <c r="C21" s="94" t="s">
        <v>1793</v>
      </c>
      <c r="D21" s="95">
        <f>SUMIFS('0818 4度C'!$AD:$AD,'0818 4度C'!$A:$A,"新豐6線",'0818 4度C'!$B:$B,"平均")</f>
        <v>0</v>
      </c>
      <c r="E21" s="96">
        <f>SUMIFS('0818 4度C'!$AD:$AD,'0818 4度C'!$A:$A,"新豐2線",'0818 4度C'!$B:$B,"平均")</f>
        <v>0</v>
      </c>
      <c r="F21" s="96">
        <f>SUMIFS('0818 4度C'!$AD:$AD,'0818 4度C'!$A:$A,"新豐5線",'0818 4度C'!$B:$B,"平均")</f>
        <v>0</v>
      </c>
      <c r="G21" s="96">
        <f>SUMIFS('0818 4度C'!$AD:$AD,'0818 4度C'!$A:$A,"新豐7線",'0818 4度C'!$B:$B,"平均")</f>
        <v>0</v>
      </c>
      <c r="H21" s="96">
        <f>SUMIFS('0818 4度C'!$AD:$AD,'0818 4度C'!$A:$A,"新豐3線",'0818 4度C'!$B:$B,"平均")</f>
        <v>0</v>
      </c>
      <c r="I21" s="96">
        <f>SUMIFS('0818 4度C'!$AD:$AD,'0818 4度C'!$A:$A,"新豐1線",'0818 4度C'!$B:$B,"平均")</f>
        <v>0</v>
      </c>
      <c r="J21" s="97">
        <f>SUMIFS('0818 4度C'!$AD:$AD,'0818 4度C'!$A:$A,"新豐10線",'0818 4度C'!$B:$B,"平均")</f>
        <v>0</v>
      </c>
      <c r="K21" s="98">
        <f>SUMIFS('0818 4度C'!$AD:$AD,'0818 4度C'!$A:$A,"新豐8線",'0818 4度C'!$B:$B,"平均")</f>
        <v>0</v>
      </c>
      <c r="L21" s="96">
        <f>SUMIFS('0818 4度C'!$AD:$AD,'0818 4度C'!$A:$A,"新豐9線",'0818 4度C'!$B:$B,"平均")</f>
        <v>0</v>
      </c>
      <c r="M21" s="97">
        <f>SUMIFS('0818 4度C'!$AD:$AD,'0818 4度C'!$A:$A,"新豐4線",'0818 4度C'!$B:$B,"平均")</f>
        <v>0</v>
      </c>
    </row>
    <row r="22" spans="2:13" ht="17.25" customHeight="1">
      <c r="B22" s="566" t="s">
        <v>1794</v>
      </c>
      <c r="C22" s="567"/>
      <c r="D22" s="99">
        <f>SUMIFS('0818 4度C'!$I:$I,'0818 4度C'!$A:$A,"新豐6線",'0818 4度C'!$B:$B,"平均")</f>
        <v>15.5</v>
      </c>
      <c r="E22" s="100">
        <f>SUMIFS('0818 4度C'!$I:$I,'0818 4度C'!$A:$A,"新豐2線",'0818 4度C'!$B:$B,"平均")</f>
        <v>18</v>
      </c>
      <c r="F22" s="100">
        <f>SUMIFS('0818 4度C'!$I:$I,'0818 4度C'!$A:$A,"新豐5線",'0818 4度C'!$B:$B,"平均")</f>
        <v>18.285714285714285</v>
      </c>
      <c r="G22" s="100">
        <f>SUMIFS('0818 4度C'!$I:$I,'0818 4度C'!$A:$A,"新豐7線",'0818 4度C'!$B:$B,"平均")</f>
        <v>16.142857142857142</v>
      </c>
      <c r="H22" s="100">
        <f>SUMIFS('0818 4度C'!$I:$I,'0818 4度C'!$A:$A,"新豐3線",'0818 4度C'!$B:$B,"平均")</f>
        <v>9.4</v>
      </c>
      <c r="I22" s="100">
        <f>SUMIFS('0818 4度C'!$I:$I,'0818 4度C'!$A:$A,"新豐1線",'0818 4度C'!$B:$B,"平均")</f>
        <v>17.857142857142858</v>
      </c>
      <c r="J22" s="101">
        <f>SUMIFS('0818 4度C'!$I:$I,'0818 4度C'!$A:$A,"新豐10線",'0818 4度C'!$B:$B,"平均")</f>
        <v>10.75</v>
      </c>
      <c r="K22" s="99">
        <f>SUMIFS('0818 4度C'!$I:$I,'0818 4度C'!$A:$A,"新豐8線",'0818 4度C'!$B:$B,"平均")</f>
        <v>16.125</v>
      </c>
      <c r="L22" s="100">
        <f>SUMIFS('0818 4度C'!$I:$I,'0818 4度C'!$A:$A,"新豐9線",'0818 4度C'!$B:$B,"平均")</f>
        <v>17.625</v>
      </c>
      <c r="M22" s="101">
        <f>SUMIFS('0818 4度C'!$I:$I,'0818 4度C'!$A:$A,"新豐4線",'0818 4度C'!$B:$B,"平均")</f>
        <v>17.142857142857142</v>
      </c>
    </row>
    <row r="23" spans="2:13" ht="17.25" customHeight="1">
      <c r="B23" s="566" t="s">
        <v>1795</v>
      </c>
      <c r="C23" s="567"/>
      <c r="D23" s="102" t="s">
        <v>202</v>
      </c>
      <c r="E23" s="103" t="s">
        <v>203</v>
      </c>
      <c r="F23" s="103" t="s">
        <v>1796</v>
      </c>
      <c r="G23" s="103" t="s">
        <v>1796</v>
      </c>
      <c r="H23" s="103" t="s">
        <v>205</v>
      </c>
      <c r="I23" s="103" t="s">
        <v>202</v>
      </c>
      <c r="J23" s="104" t="s">
        <v>205</v>
      </c>
      <c r="K23" s="102" t="s">
        <v>1797</v>
      </c>
      <c r="L23" s="103" t="s">
        <v>1797</v>
      </c>
      <c r="M23" s="104" t="s">
        <v>1797</v>
      </c>
    </row>
    <row r="24" spans="2:13" ht="17.25" customHeight="1">
      <c r="B24" s="566" t="s">
        <v>1798</v>
      </c>
      <c r="C24" s="567"/>
      <c r="D24" s="102"/>
      <c r="E24" s="103"/>
      <c r="F24" s="103" t="s">
        <v>1799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68" t="s">
        <v>1800</v>
      </c>
      <c r="C25" s="569"/>
      <c r="D25" s="105"/>
      <c r="E25" s="106" t="s">
        <v>1801</v>
      </c>
      <c r="F25" s="562" t="s">
        <v>1802</v>
      </c>
      <c r="G25" s="563"/>
      <c r="H25" s="106" t="s">
        <v>1803</v>
      </c>
      <c r="I25" s="106" t="s">
        <v>1804</v>
      </c>
      <c r="J25" s="107" t="s">
        <v>1803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360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4"/>
  <sheetViews>
    <sheetView zoomScale="80" zoomScaleNormal="80" workbookViewId="0">
      <pane ySplit="4" topLeftCell="A41" activePane="bottomLeft" state="frozen"/>
      <selection activeCell="Q14" sqref="Q14"/>
      <selection pane="bottomLeft" activeCell="U43" sqref="U43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41" customWidth="1"/>
    <col min="20" max="20" width="7.625" style="41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1805</v>
      </c>
      <c r="B1" s="1"/>
      <c r="C1" s="2" t="s">
        <v>1806</v>
      </c>
      <c r="D1" s="3">
        <f>SUM(F5:F73)</f>
        <v>193700</v>
      </c>
      <c r="E1" s="359" t="s">
        <v>1807</v>
      </c>
      <c r="F1" s="1">
        <f>SUM(G5:G73)</f>
        <v>6719906.7299999986</v>
      </c>
      <c r="G1" s="1" t="s">
        <v>1808</v>
      </c>
      <c r="H1" s="5">
        <f>L9+L12+L52+L60+L20+L65+L37+L46+L28+L73</f>
        <v>156.82857142857142</v>
      </c>
      <c r="I1" s="676" t="s">
        <v>1809</v>
      </c>
      <c r="J1" s="676"/>
      <c r="K1" s="676"/>
      <c r="L1" s="676" t="s">
        <v>1810</v>
      </c>
      <c r="M1" s="676"/>
      <c r="N1" s="676"/>
      <c r="O1" s="676" t="s">
        <v>1811</v>
      </c>
      <c r="P1" s="676"/>
      <c r="Q1" s="676"/>
      <c r="R1" s="676"/>
      <c r="S1" s="676" t="s">
        <v>1812</v>
      </c>
      <c r="T1" s="676"/>
      <c r="U1" s="676"/>
      <c r="V1" s="676"/>
      <c r="W1" s="676"/>
      <c r="X1" s="676"/>
      <c r="Y1" s="6" t="s">
        <v>1813</v>
      </c>
      <c r="Z1" s="7" t="s">
        <v>1814</v>
      </c>
      <c r="AA1" s="677" t="s">
        <v>1815</v>
      </c>
      <c r="AB1" s="677"/>
      <c r="AC1" s="8" t="s">
        <v>1813</v>
      </c>
      <c r="AD1" s="7" t="s">
        <v>1816</v>
      </c>
      <c r="AE1" s="676" t="s">
        <v>1817</v>
      </c>
      <c r="AF1" s="678"/>
      <c r="AG1" s="678"/>
    </row>
    <row r="2" spans="1:33" ht="26.25" customHeight="1">
      <c r="A2" s="35">
        <v>46252</v>
      </c>
      <c r="B2" s="36" t="s">
        <v>422</v>
      </c>
      <c r="C2" s="2" t="s">
        <v>1784</v>
      </c>
      <c r="D2" s="10">
        <f>AVERAGE(N9,N12,N52,N60,N20,N65,N28,N37,N46,N73)</f>
        <v>148.95598469939455</v>
      </c>
      <c r="E2" s="11" t="s">
        <v>14</v>
      </c>
      <c r="F2" s="12">
        <f>F1/D1</f>
        <v>34.692342436757869</v>
      </c>
      <c r="G2" s="1" t="s">
        <v>1818</v>
      </c>
      <c r="H2" s="365">
        <f>COUNT(H5:H73)</f>
        <v>9</v>
      </c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14">
        <f>SUM(Y9+Y12+Y20+Y28+Y37+Y46+Y52+Y60+Y65+Y73)</f>
        <v>0</v>
      </c>
      <c r="Z2" s="14">
        <f>SUM(Z9+Z12+Z20+Z28+Z37+Z46+Z52+Z60+Z65+Z73)</f>
        <v>0</v>
      </c>
      <c r="AA2" s="677"/>
      <c r="AB2" s="677"/>
      <c r="AC2" s="14">
        <v>59</v>
      </c>
      <c r="AD2" s="14">
        <f>SUM(AD9+AD12+AD20+AD28+AD37+AD46+AD52+AD60+AD65+AD73)</f>
        <v>0</v>
      </c>
      <c r="AE2" s="678"/>
      <c r="AF2" s="678"/>
      <c r="AG2" s="678"/>
    </row>
    <row r="3" spans="1:33" ht="40.5" customHeight="1">
      <c r="A3" s="632" t="s">
        <v>1819</v>
      </c>
      <c r="B3" s="632" t="s">
        <v>1820</v>
      </c>
      <c r="C3" s="632" t="s">
        <v>1821</v>
      </c>
      <c r="D3" s="632"/>
      <c r="E3" s="674" t="s">
        <v>1822</v>
      </c>
      <c r="F3" s="632" t="s">
        <v>1823</v>
      </c>
      <c r="G3" s="674" t="s">
        <v>1824</v>
      </c>
      <c r="H3" s="667" t="s">
        <v>1825</v>
      </c>
      <c r="I3" s="665" t="s">
        <v>1826</v>
      </c>
      <c r="J3" s="662" t="s">
        <v>1827</v>
      </c>
      <c r="K3" s="672" t="s">
        <v>1784</v>
      </c>
      <c r="L3" s="665" t="s">
        <v>1826</v>
      </c>
      <c r="M3" s="662" t="s">
        <v>1827</v>
      </c>
      <c r="N3" s="672" t="s">
        <v>1784</v>
      </c>
      <c r="O3" s="665" t="s">
        <v>1826</v>
      </c>
      <c r="P3" s="672" t="s">
        <v>1784</v>
      </c>
      <c r="Q3" s="663" t="s">
        <v>1828</v>
      </c>
      <c r="R3" s="641" t="s">
        <v>1829</v>
      </c>
      <c r="S3" s="673" t="s">
        <v>29</v>
      </c>
      <c r="T3" s="673"/>
      <c r="U3" s="667" t="s">
        <v>30</v>
      </c>
      <c r="V3" s="667" t="s">
        <v>1830</v>
      </c>
      <c r="W3" s="632" t="s">
        <v>1831</v>
      </c>
      <c r="X3" s="632"/>
      <c r="Y3" s="668" t="s">
        <v>1832</v>
      </c>
      <c r="Z3" s="631"/>
      <c r="AA3" s="669" t="s">
        <v>1833</v>
      </c>
      <c r="AB3" s="670"/>
      <c r="AC3" s="668" t="s">
        <v>1834</v>
      </c>
      <c r="AD3" s="631"/>
      <c r="AE3" s="662" t="s">
        <v>1835</v>
      </c>
      <c r="AF3" s="663" t="s">
        <v>1836</v>
      </c>
      <c r="AG3" s="641" t="s">
        <v>1829</v>
      </c>
    </row>
    <row r="4" spans="1:33" ht="15.75" customHeight="1">
      <c r="A4" s="632"/>
      <c r="B4" s="632"/>
      <c r="C4" s="632"/>
      <c r="D4" s="632"/>
      <c r="E4" s="675"/>
      <c r="F4" s="632"/>
      <c r="G4" s="675"/>
      <c r="H4" s="667"/>
      <c r="I4" s="665"/>
      <c r="J4" s="662"/>
      <c r="K4" s="672"/>
      <c r="L4" s="665"/>
      <c r="M4" s="662"/>
      <c r="N4" s="672"/>
      <c r="O4" s="665"/>
      <c r="P4" s="672"/>
      <c r="Q4" s="663"/>
      <c r="R4" s="641"/>
      <c r="S4" s="366" t="s">
        <v>39</v>
      </c>
      <c r="T4" s="366" t="s">
        <v>40</v>
      </c>
      <c r="U4" s="667"/>
      <c r="V4" s="667"/>
      <c r="W4" s="359" t="s">
        <v>1837</v>
      </c>
      <c r="X4" s="359" t="s">
        <v>1838</v>
      </c>
      <c r="Y4" s="357" t="s">
        <v>1839</v>
      </c>
      <c r="Z4" s="357" t="s">
        <v>1791</v>
      </c>
      <c r="AA4" s="671"/>
      <c r="AB4" s="670"/>
      <c r="AC4" s="357" t="s">
        <v>1840</v>
      </c>
      <c r="AD4" s="357" t="s">
        <v>1841</v>
      </c>
      <c r="AE4" s="662"/>
      <c r="AF4" s="663"/>
      <c r="AG4" s="641"/>
    </row>
    <row r="5" spans="1:33">
      <c r="A5" s="664" t="s">
        <v>1842</v>
      </c>
      <c r="B5" s="42" t="s">
        <v>92</v>
      </c>
      <c r="C5" s="666" t="s">
        <v>93</v>
      </c>
      <c r="D5" s="666"/>
      <c r="E5" s="42">
        <v>50.92</v>
      </c>
      <c r="F5" s="366">
        <v>2540</v>
      </c>
      <c r="G5" s="359">
        <f t="shared" ref="G5:G8" si="0">E5*F5</f>
        <v>129336.8</v>
      </c>
      <c r="H5" s="37" t="s">
        <v>91</v>
      </c>
      <c r="I5" s="363">
        <v>15</v>
      </c>
      <c r="J5" s="39">
        <v>2000</v>
      </c>
      <c r="K5" s="17">
        <f t="shared" ref="K5:K68" si="1">J5/I5</f>
        <v>133.33333333333334</v>
      </c>
      <c r="L5" s="363">
        <v>15</v>
      </c>
      <c r="M5" s="18">
        <f t="shared" ref="M5:M8" si="2">F5/V5*60</f>
        <v>1904.9999999999993</v>
      </c>
      <c r="N5" s="17">
        <f t="shared" ref="N5:N68" si="3">M5/L5</f>
        <v>126.99999999999996</v>
      </c>
      <c r="O5" s="19">
        <f t="shared" ref="O5:O68" si="4">L5-I5</f>
        <v>0</v>
      </c>
      <c r="P5" s="20">
        <f t="shared" ref="P5:P68" si="5">N5-K5</f>
        <v>-6.3333333333333854</v>
      </c>
      <c r="Q5" s="358">
        <f t="shared" ref="Q5:Q68" si="6">N5/K5</f>
        <v>0.95249999999999957</v>
      </c>
      <c r="R5" s="637">
        <f>Q9</f>
        <v>0.9578813394859409</v>
      </c>
      <c r="S5" s="40">
        <v>0.70833333333333337</v>
      </c>
      <c r="T5" s="40">
        <v>0.76388888888888895</v>
      </c>
      <c r="U5" s="359"/>
      <c r="V5" s="364">
        <f t="shared" ref="V5:V8" si="7">(T5-S5)*24*60</f>
        <v>80.000000000000028</v>
      </c>
      <c r="W5" s="23"/>
      <c r="X5" s="23"/>
      <c r="Y5" s="24"/>
      <c r="Z5" s="24"/>
      <c r="AA5" s="632"/>
      <c r="AB5" s="632"/>
      <c r="AC5" s="25">
        <v>4</v>
      </c>
      <c r="AD5" s="25"/>
      <c r="AE5" s="19">
        <f t="shared" ref="AE5:AE59" si="8">M5-J5</f>
        <v>-95.000000000000682</v>
      </c>
      <c r="AF5" s="358">
        <f t="shared" ref="AF5:AF68" si="9">M5/J5</f>
        <v>0.95249999999999968</v>
      </c>
      <c r="AG5" s="637">
        <f>AF9</f>
        <v>0.9578813394859409</v>
      </c>
    </row>
    <row r="6" spans="1:33">
      <c r="A6" s="665" t="s">
        <v>1843</v>
      </c>
      <c r="B6" s="42" t="s">
        <v>92</v>
      </c>
      <c r="C6" s="666" t="s">
        <v>94</v>
      </c>
      <c r="D6" s="666"/>
      <c r="E6" s="42">
        <v>50.98</v>
      </c>
      <c r="F6" s="366">
        <v>1000</v>
      </c>
      <c r="G6" s="359">
        <f t="shared" si="0"/>
        <v>50980</v>
      </c>
      <c r="H6" s="37">
        <v>2</v>
      </c>
      <c r="I6" s="363">
        <v>16</v>
      </c>
      <c r="J6" s="39">
        <v>2000</v>
      </c>
      <c r="K6" s="17">
        <f t="shared" si="1"/>
        <v>125</v>
      </c>
      <c r="L6" s="363">
        <v>16</v>
      </c>
      <c r="M6" s="18">
        <f t="shared" si="2"/>
        <v>1935.483870967739</v>
      </c>
      <c r="N6" s="17">
        <f t="shared" si="3"/>
        <v>120.96774193548369</v>
      </c>
      <c r="O6" s="19">
        <f t="shared" si="4"/>
        <v>0</v>
      </c>
      <c r="P6" s="20">
        <f t="shared" si="5"/>
        <v>-4.0322580645163129</v>
      </c>
      <c r="Q6" s="358">
        <f t="shared" si="6"/>
        <v>0.96774193548386944</v>
      </c>
      <c r="R6" s="637"/>
      <c r="S6" s="40">
        <v>0.76736111111111116</v>
      </c>
      <c r="T6" s="40">
        <v>0.78888888888888897</v>
      </c>
      <c r="U6" s="359">
        <f t="shared" ref="U6:U8" si="10">IF(S6=TIME(17,0,0),"",(S6-T5)*24*60)</f>
        <v>4.9999999999999822</v>
      </c>
      <c r="V6" s="364">
        <f t="shared" si="7"/>
        <v>31.00000000000005</v>
      </c>
      <c r="W6" s="23"/>
      <c r="X6" s="23"/>
      <c r="Y6" s="23"/>
      <c r="Z6" s="23"/>
      <c r="AA6" s="632"/>
      <c r="AB6" s="632"/>
      <c r="AC6" s="25"/>
      <c r="AD6" s="25"/>
      <c r="AE6" s="19">
        <f t="shared" si="8"/>
        <v>-64.516129032261006</v>
      </c>
      <c r="AF6" s="358">
        <f t="shared" si="9"/>
        <v>0.96774193548386944</v>
      </c>
      <c r="AG6" s="637"/>
    </row>
    <row r="7" spans="1:33">
      <c r="A7" s="665" t="s">
        <v>1842</v>
      </c>
      <c r="B7" s="42" t="s">
        <v>92</v>
      </c>
      <c r="C7" s="660" t="s">
        <v>109</v>
      </c>
      <c r="D7" s="661"/>
      <c r="E7" s="42">
        <v>50.49</v>
      </c>
      <c r="F7" s="366">
        <v>2098</v>
      </c>
      <c r="G7" s="359">
        <f t="shared" si="0"/>
        <v>105928.02</v>
      </c>
      <c r="H7" s="37" t="s">
        <v>91</v>
      </c>
      <c r="I7" s="363">
        <v>15</v>
      </c>
      <c r="J7" s="39">
        <v>2000</v>
      </c>
      <c r="K7" s="17">
        <f t="shared" si="1"/>
        <v>133.33333333333334</v>
      </c>
      <c r="L7" s="363">
        <v>15</v>
      </c>
      <c r="M7" s="18">
        <f t="shared" si="2"/>
        <v>1907.2727272727293</v>
      </c>
      <c r="N7" s="17">
        <f t="shared" si="3"/>
        <v>127.15151515151528</v>
      </c>
      <c r="O7" s="19">
        <f t="shared" si="4"/>
        <v>0</v>
      </c>
      <c r="P7" s="20">
        <f t="shared" si="5"/>
        <v>-6.1818181818180591</v>
      </c>
      <c r="Q7" s="358">
        <f t="shared" si="6"/>
        <v>0.95363636363636461</v>
      </c>
      <c r="R7" s="637"/>
      <c r="S7" s="40">
        <v>0.79236111111111118</v>
      </c>
      <c r="T7" s="40">
        <v>0.83819444444444446</v>
      </c>
      <c r="U7" s="359">
        <f t="shared" si="10"/>
        <v>4.9999999999999822</v>
      </c>
      <c r="V7" s="364">
        <f t="shared" si="7"/>
        <v>65.999999999999929</v>
      </c>
      <c r="W7" s="23">
        <f>T7</f>
        <v>0.83819444444444446</v>
      </c>
      <c r="X7" s="23">
        <f>S8</f>
        <v>0.87916666666666665</v>
      </c>
      <c r="Y7" s="26"/>
      <c r="Z7" s="26"/>
      <c r="AA7" s="627"/>
      <c r="AB7" s="628"/>
      <c r="AC7" s="27"/>
      <c r="AD7" s="27"/>
      <c r="AE7" s="19">
        <f t="shared" si="8"/>
        <v>-92.727272727270702</v>
      </c>
      <c r="AF7" s="358">
        <f t="shared" si="9"/>
        <v>0.95363636363636461</v>
      </c>
      <c r="AG7" s="637"/>
    </row>
    <row r="8" spans="1:33">
      <c r="A8" s="665" t="s">
        <v>1842</v>
      </c>
      <c r="B8" s="42" t="s">
        <v>92</v>
      </c>
      <c r="C8" s="660" t="s">
        <v>94</v>
      </c>
      <c r="D8" s="661"/>
      <c r="E8" s="42">
        <v>50.98</v>
      </c>
      <c r="F8" s="366">
        <v>1628</v>
      </c>
      <c r="G8" s="359">
        <f t="shared" si="0"/>
        <v>82995.439999999988</v>
      </c>
      <c r="H8" s="37" t="s">
        <v>91</v>
      </c>
      <c r="I8" s="363">
        <v>16</v>
      </c>
      <c r="J8" s="39">
        <v>2000</v>
      </c>
      <c r="K8" s="17">
        <f t="shared" si="1"/>
        <v>125</v>
      </c>
      <c r="L8" s="363">
        <v>16</v>
      </c>
      <c r="M8" s="18">
        <f t="shared" si="2"/>
        <v>1915.2941176470597</v>
      </c>
      <c r="N8" s="17">
        <f t="shared" si="3"/>
        <v>119.70588235294123</v>
      </c>
      <c r="O8" s="19">
        <f t="shared" si="4"/>
        <v>0</v>
      </c>
      <c r="P8" s="20">
        <f t="shared" si="5"/>
        <v>-5.2941176470587692</v>
      </c>
      <c r="Q8" s="358">
        <f t="shared" si="6"/>
        <v>0.95764705882352985</v>
      </c>
      <c r="R8" s="637"/>
      <c r="S8" s="40">
        <v>0.87916666666666665</v>
      </c>
      <c r="T8" s="40">
        <v>0.9145833333333333</v>
      </c>
      <c r="U8" s="359">
        <f t="shared" si="10"/>
        <v>58.99999999999995</v>
      </c>
      <c r="V8" s="364">
        <f t="shared" si="7"/>
        <v>50.999999999999979</v>
      </c>
      <c r="W8" s="28"/>
      <c r="X8" s="28"/>
      <c r="Y8" s="136"/>
      <c r="Z8" s="136"/>
      <c r="AA8" s="627"/>
      <c r="AB8" s="628"/>
      <c r="AC8" s="27"/>
      <c r="AD8" s="27"/>
      <c r="AE8" s="19">
        <f t="shared" si="8"/>
        <v>-84.705882352940307</v>
      </c>
      <c r="AF8" s="358">
        <f t="shared" si="9"/>
        <v>0.95764705882352985</v>
      </c>
      <c r="AG8" s="637"/>
    </row>
    <row r="9" spans="1:33">
      <c r="A9" s="665" t="s">
        <v>1842</v>
      </c>
      <c r="B9" s="42" t="s">
        <v>1844</v>
      </c>
      <c r="C9" s="638"/>
      <c r="D9" s="638"/>
      <c r="E9" s="360"/>
      <c r="F9" s="44"/>
      <c r="G9" s="17"/>
      <c r="H9" s="366"/>
      <c r="I9" s="29">
        <v>15.5</v>
      </c>
      <c r="J9" s="39">
        <v>2000</v>
      </c>
      <c r="K9" s="17">
        <f t="shared" si="1"/>
        <v>129.03225806451613</v>
      </c>
      <c r="L9" s="29">
        <v>15.5</v>
      </c>
      <c r="M9" s="18">
        <f>AVERAGE(M5:M8)</f>
        <v>1915.7626789718818</v>
      </c>
      <c r="N9" s="17">
        <f t="shared" si="3"/>
        <v>123.59759219173431</v>
      </c>
      <c r="O9" s="19">
        <f t="shared" si="4"/>
        <v>0</v>
      </c>
      <c r="P9" s="20">
        <f t="shared" si="5"/>
        <v>-5.4346658727818209</v>
      </c>
      <c r="Q9" s="358">
        <f t="shared" si="6"/>
        <v>0.9578813394859409</v>
      </c>
      <c r="R9" s="637"/>
      <c r="S9" s="40"/>
      <c r="T9" s="40"/>
      <c r="U9" s="359"/>
      <c r="V9" s="364"/>
      <c r="W9" s="17"/>
      <c r="X9" s="17"/>
      <c r="Y9" s="30">
        <f>SUM(Y5:Y8)</f>
        <v>0</v>
      </c>
      <c r="Z9" s="30">
        <f>SUM(Z5:Z8)</f>
        <v>0</v>
      </c>
      <c r="AA9" s="631"/>
      <c r="AB9" s="631"/>
      <c r="AC9" s="30">
        <v>4</v>
      </c>
      <c r="AD9" s="30">
        <f>SUM(AD5:AD8)</f>
        <v>0</v>
      </c>
      <c r="AE9" s="19">
        <f t="shared" si="8"/>
        <v>-84.237321028118231</v>
      </c>
      <c r="AF9" s="358">
        <f t="shared" si="9"/>
        <v>0.9578813394859409</v>
      </c>
      <c r="AG9" s="637"/>
    </row>
    <row r="10" spans="1:33" ht="15.75" customHeight="1">
      <c r="A10" s="659" t="s">
        <v>1845</v>
      </c>
      <c r="B10" s="42" t="s">
        <v>96</v>
      </c>
      <c r="C10" s="660" t="s">
        <v>100</v>
      </c>
      <c r="D10" s="661"/>
      <c r="E10" s="42">
        <v>39.619999999999997</v>
      </c>
      <c r="F10" s="366">
        <v>4867</v>
      </c>
      <c r="G10" s="359">
        <f t="shared" ref="G10:G11" si="11">E10*F10</f>
        <v>192830.53999999998</v>
      </c>
      <c r="H10" s="37" t="s">
        <v>91</v>
      </c>
      <c r="I10" s="363">
        <v>19</v>
      </c>
      <c r="J10" s="39">
        <v>1500</v>
      </c>
      <c r="K10" s="17">
        <f t="shared" si="1"/>
        <v>78.94736842105263</v>
      </c>
      <c r="L10" s="363">
        <v>19</v>
      </c>
      <c r="M10" s="18">
        <f t="shared" ref="M10:M11" si="12">F10/V10*60</f>
        <v>1431.4705882352941</v>
      </c>
      <c r="N10" s="17">
        <f t="shared" si="3"/>
        <v>75.340557275541798</v>
      </c>
      <c r="O10" s="19">
        <f t="shared" si="4"/>
        <v>0</v>
      </c>
      <c r="P10" s="20">
        <f t="shared" si="5"/>
        <v>-3.6068111455108323</v>
      </c>
      <c r="Q10" s="358">
        <f t="shared" si="6"/>
        <v>0.95431372549019611</v>
      </c>
      <c r="R10" s="637">
        <f>Q12</f>
        <v>0.95393919712995612</v>
      </c>
      <c r="S10" s="40">
        <v>8.3333333333333329E-2</v>
      </c>
      <c r="T10" s="40">
        <v>0.22499999999999998</v>
      </c>
      <c r="U10" s="359"/>
      <c r="V10" s="364">
        <f t="shared" ref="V10:V11" si="13">(T10-S10)*24*60</f>
        <v>204</v>
      </c>
      <c r="W10" s="23">
        <f>T10</f>
        <v>0.22499999999999998</v>
      </c>
      <c r="X10" s="23">
        <f>S11</f>
        <v>0.24513888888888888</v>
      </c>
      <c r="Y10" s="23"/>
      <c r="Z10" s="23"/>
      <c r="AA10" s="632"/>
      <c r="AB10" s="632"/>
      <c r="AC10" s="25">
        <v>2</v>
      </c>
      <c r="AD10" s="25"/>
      <c r="AE10" s="19">
        <f t="shared" si="8"/>
        <v>-68.529411764705856</v>
      </c>
      <c r="AF10" s="358">
        <f t="shared" si="9"/>
        <v>0.95431372549019611</v>
      </c>
      <c r="AG10" s="637">
        <f>AF12</f>
        <v>0.95393919712995601</v>
      </c>
    </row>
    <row r="11" spans="1:33" ht="15.75" customHeight="1">
      <c r="A11" s="659" t="s">
        <v>1845</v>
      </c>
      <c r="B11" s="42" t="s">
        <v>96</v>
      </c>
      <c r="C11" s="660" t="s">
        <v>97</v>
      </c>
      <c r="D11" s="661"/>
      <c r="E11" s="42">
        <v>39.799999999999997</v>
      </c>
      <c r="F11" s="366">
        <v>7557</v>
      </c>
      <c r="G11" s="359">
        <f t="shared" si="11"/>
        <v>300768.59999999998</v>
      </c>
      <c r="H11" s="37" t="s">
        <v>91</v>
      </c>
      <c r="I11" s="363">
        <v>17</v>
      </c>
      <c r="J11" s="39">
        <v>1500</v>
      </c>
      <c r="K11" s="17">
        <f t="shared" si="1"/>
        <v>88.235294117647058</v>
      </c>
      <c r="L11" s="363">
        <v>17</v>
      </c>
      <c r="M11" s="18">
        <f t="shared" si="12"/>
        <v>1430.3470031545739</v>
      </c>
      <c r="N11" s="17">
        <f t="shared" si="3"/>
        <v>84.138059009092586</v>
      </c>
      <c r="O11" s="19">
        <f t="shared" si="4"/>
        <v>0</v>
      </c>
      <c r="P11" s="20">
        <f t="shared" si="5"/>
        <v>-4.0972351085544716</v>
      </c>
      <c r="Q11" s="358">
        <f t="shared" si="6"/>
        <v>0.95356466876971602</v>
      </c>
      <c r="R11" s="637"/>
      <c r="S11" s="40">
        <v>0.24513888888888888</v>
      </c>
      <c r="T11" s="40">
        <v>0.46527777777777779</v>
      </c>
      <c r="U11" s="359">
        <f t="shared" ref="U11" si="14">IF(S11=TIME(17,0,0),"",(S11-T10)*24*60)</f>
        <v>29.000000000000018</v>
      </c>
      <c r="V11" s="364">
        <f t="shared" si="13"/>
        <v>317.00000000000006</v>
      </c>
      <c r="W11" s="23"/>
      <c r="X11" s="23"/>
      <c r="Y11" s="23"/>
      <c r="Z11" s="23"/>
      <c r="AA11" s="632"/>
      <c r="AB11" s="632"/>
      <c r="AC11" s="25"/>
      <c r="AD11" s="25"/>
      <c r="AE11" s="19">
        <f t="shared" si="8"/>
        <v>-69.65299684542606</v>
      </c>
      <c r="AF11" s="358">
        <f t="shared" si="9"/>
        <v>0.95356466876971591</v>
      </c>
      <c r="AG11" s="637"/>
    </row>
    <row r="12" spans="1:33" ht="16.5" customHeight="1">
      <c r="A12" s="659" t="s">
        <v>1846</v>
      </c>
      <c r="B12" s="42" t="s">
        <v>1847</v>
      </c>
      <c r="C12" s="638"/>
      <c r="D12" s="638"/>
      <c r="E12" s="360"/>
      <c r="F12" s="39"/>
      <c r="G12" s="18"/>
      <c r="H12" s="366"/>
      <c r="I12" s="29">
        <v>18</v>
      </c>
      <c r="J12" s="39">
        <v>1500</v>
      </c>
      <c r="K12" s="17">
        <f t="shared" si="1"/>
        <v>83.333333333333329</v>
      </c>
      <c r="L12" s="29">
        <v>18</v>
      </c>
      <c r="M12" s="18">
        <f>AVERAGE(M10:M11)</f>
        <v>1430.908795694934</v>
      </c>
      <c r="N12" s="17">
        <f t="shared" si="3"/>
        <v>79.494933094163002</v>
      </c>
      <c r="O12" s="19">
        <f t="shared" si="4"/>
        <v>0</v>
      </c>
      <c r="P12" s="20">
        <f t="shared" si="5"/>
        <v>-3.8384002391703262</v>
      </c>
      <c r="Q12" s="358">
        <f t="shared" si="6"/>
        <v>0.95393919712995612</v>
      </c>
      <c r="R12" s="637"/>
      <c r="S12" s="40"/>
      <c r="T12" s="40"/>
      <c r="U12" s="17"/>
      <c r="V12" s="364"/>
      <c r="W12" s="17"/>
      <c r="X12" s="17"/>
      <c r="Y12" s="30">
        <f>SUM(Y10:Y11)</f>
        <v>0</v>
      </c>
      <c r="Z12" s="30">
        <f>SUM(Z10:Z11)</f>
        <v>0</v>
      </c>
      <c r="AA12" s="631"/>
      <c r="AB12" s="631"/>
      <c r="AC12" s="30">
        <v>2</v>
      </c>
      <c r="AD12" s="30">
        <f>SUM(AD10:AD11)</f>
        <v>0</v>
      </c>
      <c r="AE12" s="19">
        <f t="shared" si="8"/>
        <v>-69.091204305065958</v>
      </c>
      <c r="AF12" s="358">
        <f t="shared" si="9"/>
        <v>0.95393919712995601</v>
      </c>
      <c r="AG12" s="637"/>
    </row>
    <row r="13" spans="1:33" ht="16.5" customHeight="1">
      <c r="A13" s="657" t="s">
        <v>1848</v>
      </c>
      <c r="B13" s="366" t="s">
        <v>101</v>
      </c>
      <c r="C13" s="653" t="s">
        <v>102</v>
      </c>
      <c r="D13" s="653"/>
      <c r="E13" s="42">
        <v>31.11</v>
      </c>
      <c r="F13" s="366">
        <v>3768</v>
      </c>
      <c r="G13" s="359">
        <f t="shared" ref="G13:G19" si="15">E13*F13</f>
        <v>117222.48</v>
      </c>
      <c r="H13" s="37" t="s">
        <v>91</v>
      </c>
      <c r="I13" s="363">
        <v>14</v>
      </c>
      <c r="J13" s="39">
        <v>2000</v>
      </c>
      <c r="K13" s="17">
        <f t="shared" si="1"/>
        <v>142.85714285714286</v>
      </c>
      <c r="L13" s="363">
        <v>14</v>
      </c>
      <c r="M13" s="18">
        <f t="shared" ref="M13:M19" si="16">F13/V13*60</f>
        <v>1915.9322033898302</v>
      </c>
      <c r="N13" s="17">
        <f t="shared" si="3"/>
        <v>136.85230024213072</v>
      </c>
      <c r="O13" s="19">
        <f t="shared" si="4"/>
        <v>0</v>
      </c>
      <c r="P13" s="20">
        <f t="shared" si="5"/>
        <v>-6.0048426150121372</v>
      </c>
      <c r="Q13" s="358">
        <f t="shared" si="6"/>
        <v>0.95796610169491503</v>
      </c>
      <c r="R13" s="637">
        <f>Q20</f>
        <v>0.96040856935860452</v>
      </c>
      <c r="S13" s="40">
        <v>0.20833333333333334</v>
      </c>
      <c r="T13" s="40">
        <v>0.2902777777777778</v>
      </c>
      <c r="U13" s="359"/>
      <c r="V13" s="364">
        <f t="shared" ref="V13:V19" si="17">(T13-S13)*24*60</f>
        <v>118.00000000000001</v>
      </c>
      <c r="W13" s="23"/>
      <c r="X13" s="23"/>
      <c r="Y13" s="28"/>
      <c r="Z13" s="28"/>
      <c r="AA13" s="632"/>
      <c r="AB13" s="632"/>
      <c r="AC13" s="25">
        <v>7</v>
      </c>
      <c r="AD13" s="25"/>
      <c r="AE13" s="19">
        <f t="shared" si="8"/>
        <v>-84.067796610169808</v>
      </c>
      <c r="AF13" s="358">
        <f t="shared" si="9"/>
        <v>0.95796610169491514</v>
      </c>
      <c r="AG13" s="637">
        <f>AF20</f>
        <v>0.96040856935860441</v>
      </c>
    </row>
    <row r="14" spans="1:33" ht="16.5" customHeight="1">
      <c r="A14" s="658" t="s">
        <v>1849</v>
      </c>
      <c r="B14" s="366" t="s">
        <v>103</v>
      </c>
      <c r="C14" s="653" t="s">
        <v>105</v>
      </c>
      <c r="D14" s="653"/>
      <c r="E14" s="42">
        <v>41</v>
      </c>
      <c r="F14" s="366">
        <v>1863</v>
      </c>
      <c r="G14" s="359">
        <f t="shared" si="15"/>
        <v>76383</v>
      </c>
      <c r="H14" s="37" t="s">
        <v>91</v>
      </c>
      <c r="I14" s="363">
        <v>26</v>
      </c>
      <c r="J14" s="39">
        <v>1500</v>
      </c>
      <c r="K14" s="17">
        <f t="shared" si="1"/>
        <v>57.692307692307693</v>
      </c>
      <c r="L14" s="363">
        <v>26</v>
      </c>
      <c r="M14" s="18">
        <f t="shared" si="16"/>
        <v>1433.0769230769238</v>
      </c>
      <c r="N14" s="17">
        <f t="shared" si="3"/>
        <v>55.118343195266299</v>
      </c>
      <c r="O14" s="19">
        <f t="shared" si="4"/>
        <v>0</v>
      </c>
      <c r="P14" s="20">
        <f t="shared" si="5"/>
        <v>-2.5739644970413948</v>
      </c>
      <c r="Q14" s="358">
        <f t="shared" si="6"/>
        <v>0.95538461538461583</v>
      </c>
      <c r="R14" s="637"/>
      <c r="S14" s="40">
        <v>0.29375000000000001</v>
      </c>
      <c r="T14" s="40">
        <v>0.34791666666666665</v>
      </c>
      <c r="U14" s="359">
        <f t="shared" ref="U14:U19" si="18">IF(S14=TIME(17,0,0),"",(S14-T13)*24*60)</f>
        <v>4.9999999999999822</v>
      </c>
      <c r="V14" s="364">
        <f t="shared" si="17"/>
        <v>77.999999999999957</v>
      </c>
      <c r="W14" s="23"/>
      <c r="X14" s="23"/>
      <c r="Y14" s="23"/>
      <c r="Z14" s="23"/>
      <c r="AA14" s="632"/>
      <c r="AB14" s="632"/>
      <c r="AC14" s="25"/>
      <c r="AD14" s="25"/>
      <c r="AE14" s="19">
        <f t="shared" si="8"/>
        <v>-66.923076923076223</v>
      </c>
      <c r="AF14" s="358">
        <f t="shared" si="9"/>
        <v>0.95538461538461583</v>
      </c>
      <c r="AG14" s="637"/>
    </row>
    <row r="15" spans="1:33" ht="16.5" customHeight="1">
      <c r="A15" s="658" t="s">
        <v>1849</v>
      </c>
      <c r="B15" s="366" t="s">
        <v>96</v>
      </c>
      <c r="C15" s="653" t="s">
        <v>99</v>
      </c>
      <c r="D15" s="653"/>
      <c r="E15" s="42">
        <v>39.520000000000003</v>
      </c>
      <c r="F15" s="366">
        <v>2210</v>
      </c>
      <c r="G15" s="359">
        <f t="shared" si="15"/>
        <v>87339.200000000012</v>
      </c>
      <c r="H15" s="37" t="s">
        <v>91</v>
      </c>
      <c r="I15" s="363">
        <v>19</v>
      </c>
      <c r="J15" s="39">
        <v>1500</v>
      </c>
      <c r="K15" s="17">
        <f t="shared" si="1"/>
        <v>78.94736842105263</v>
      </c>
      <c r="L15" s="363">
        <v>19</v>
      </c>
      <c r="M15" s="18">
        <f t="shared" si="16"/>
        <v>1441.304347826087</v>
      </c>
      <c r="N15" s="17">
        <f t="shared" si="3"/>
        <v>75.858123569794046</v>
      </c>
      <c r="O15" s="19">
        <f t="shared" si="4"/>
        <v>0</v>
      </c>
      <c r="P15" s="20">
        <f t="shared" si="5"/>
        <v>-3.0892448512585844</v>
      </c>
      <c r="Q15" s="358">
        <f t="shared" si="6"/>
        <v>0.96086956521739131</v>
      </c>
      <c r="R15" s="637"/>
      <c r="S15" s="40">
        <v>0.35277777777777775</v>
      </c>
      <c r="T15" s="40">
        <v>0.41666666666666663</v>
      </c>
      <c r="U15" s="359">
        <f t="shared" si="18"/>
        <v>6.9999999999999751</v>
      </c>
      <c r="V15" s="364">
        <f t="shared" si="17"/>
        <v>92</v>
      </c>
      <c r="W15" s="23"/>
      <c r="X15" s="23"/>
      <c r="Y15" s="23"/>
      <c r="Z15" s="23"/>
      <c r="AA15" s="632"/>
      <c r="AB15" s="632"/>
      <c r="AC15" s="25"/>
      <c r="AD15" s="25"/>
      <c r="AE15" s="19">
        <f t="shared" si="8"/>
        <v>-58.695652173913004</v>
      </c>
      <c r="AF15" s="358">
        <f t="shared" si="9"/>
        <v>0.96086956521739131</v>
      </c>
      <c r="AG15" s="637"/>
    </row>
    <row r="16" spans="1:33" ht="16.5" customHeight="1">
      <c r="A16" s="658" t="s">
        <v>1849</v>
      </c>
      <c r="B16" s="366" t="s">
        <v>96</v>
      </c>
      <c r="C16" s="653" t="s">
        <v>98</v>
      </c>
      <c r="D16" s="653"/>
      <c r="E16" s="42">
        <v>39.46</v>
      </c>
      <c r="F16" s="366">
        <v>2489</v>
      </c>
      <c r="G16" s="359">
        <f t="shared" si="15"/>
        <v>98215.94</v>
      </c>
      <c r="H16" s="37" t="s">
        <v>91</v>
      </c>
      <c r="I16" s="363">
        <v>15</v>
      </c>
      <c r="J16" s="39">
        <v>1500</v>
      </c>
      <c r="K16" s="17">
        <f t="shared" si="1"/>
        <v>100</v>
      </c>
      <c r="L16" s="363">
        <v>15</v>
      </c>
      <c r="M16" s="18">
        <f t="shared" si="16"/>
        <v>1435.9615384615379</v>
      </c>
      <c r="N16" s="17">
        <f t="shared" si="3"/>
        <v>95.730769230769198</v>
      </c>
      <c r="O16" s="19">
        <f t="shared" si="4"/>
        <v>0</v>
      </c>
      <c r="P16" s="20">
        <f t="shared" si="5"/>
        <v>-4.269230769230802</v>
      </c>
      <c r="Q16" s="358">
        <f t="shared" si="6"/>
        <v>0.95730769230769197</v>
      </c>
      <c r="R16" s="637"/>
      <c r="S16" s="40">
        <v>0.42013888888888884</v>
      </c>
      <c r="T16" s="40">
        <v>0.49236111111111108</v>
      </c>
      <c r="U16" s="359">
        <f t="shared" si="18"/>
        <v>4.9999999999999822</v>
      </c>
      <c r="V16" s="364">
        <f t="shared" si="17"/>
        <v>104.00000000000003</v>
      </c>
      <c r="W16" s="23"/>
      <c r="X16" s="23"/>
      <c r="Y16" s="23"/>
      <c r="Z16" s="23"/>
      <c r="AA16" s="632"/>
      <c r="AB16" s="632"/>
      <c r="AC16" s="25"/>
      <c r="AD16" s="25"/>
      <c r="AE16" s="19">
        <f t="shared" si="8"/>
        <v>-64.038461538462116</v>
      </c>
      <c r="AF16" s="358">
        <f t="shared" si="9"/>
        <v>0.95730769230769197</v>
      </c>
      <c r="AG16" s="637"/>
    </row>
    <row r="17" spans="1:33" ht="16.5" customHeight="1">
      <c r="A17" s="658" t="s">
        <v>1849</v>
      </c>
      <c r="B17" s="366" t="s">
        <v>92</v>
      </c>
      <c r="C17" s="653" t="s">
        <v>108</v>
      </c>
      <c r="D17" s="653"/>
      <c r="E17" s="42">
        <v>54.5</v>
      </c>
      <c r="F17" s="366">
        <v>1450</v>
      </c>
      <c r="G17" s="359">
        <f t="shared" si="15"/>
        <v>79025</v>
      </c>
      <c r="H17" s="37" t="s">
        <v>91</v>
      </c>
      <c r="I17" s="363">
        <v>19</v>
      </c>
      <c r="J17" s="39">
        <v>1500</v>
      </c>
      <c r="K17" s="17">
        <f t="shared" si="1"/>
        <v>78.94736842105263</v>
      </c>
      <c r="L17" s="363">
        <v>19</v>
      </c>
      <c r="M17" s="18">
        <f t="shared" si="16"/>
        <v>1450.0000000000014</v>
      </c>
      <c r="N17" s="17">
        <f t="shared" si="3"/>
        <v>76.315789473684276</v>
      </c>
      <c r="O17" s="19">
        <f t="shared" si="4"/>
        <v>0</v>
      </c>
      <c r="P17" s="20">
        <f t="shared" si="5"/>
        <v>-2.6315789473683537</v>
      </c>
      <c r="Q17" s="358">
        <f t="shared" si="6"/>
        <v>0.96666666666666756</v>
      </c>
      <c r="R17" s="637"/>
      <c r="S17" s="40">
        <v>0.70833333333333337</v>
      </c>
      <c r="T17" s="40">
        <v>0.75</v>
      </c>
      <c r="U17" s="359" t="str">
        <f t="shared" si="18"/>
        <v/>
      </c>
      <c r="V17" s="364">
        <f t="shared" si="17"/>
        <v>59.999999999999943</v>
      </c>
      <c r="W17" s="23"/>
      <c r="X17" s="23"/>
      <c r="Y17" s="23"/>
      <c r="Z17" s="23"/>
      <c r="AA17" s="632"/>
      <c r="AB17" s="632"/>
      <c r="AC17" s="25"/>
      <c r="AD17" s="25"/>
      <c r="AE17" s="19">
        <f t="shared" si="8"/>
        <v>-49.999999999998636</v>
      </c>
      <c r="AF17" s="358">
        <f t="shared" si="9"/>
        <v>0.96666666666666756</v>
      </c>
      <c r="AG17" s="637"/>
    </row>
    <row r="18" spans="1:33" ht="16.5" customHeight="1">
      <c r="A18" s="658" t="s">
        <v>1849</v>
      </c>
      <c r="B18" s="366" t="s">
        <v>92</v>
      </c>
      <c r="C18" s="361" t="s">
        <v>107</v>
      </c>
      <c r="D18" s="362"/>
      <c r="E18" s="42">
        <v>50.67</v>
      </c>
      <c r="F18" s="366">
        <v>1803</v>
      </c>
      <c r="G18" s="359">
        <f t="shared" si="15"/>
        <v>91358.010000000009</v>
      </c>
      <c r="H18" s="37" t="s">
        <v>91</v>
      </c>
      <c r="I18" s="363">
        <v>17</v>
      </c>
      <c r="J18" s="39">
        <v>2000</v>
      </c>
      <c r="K18" s="17">
        <f t="shared" si="1"/>
        <v>117.64705882352941</v>
      </c>
      <c r="L18" s="363">
        <v>17</v>
      </c>
      <c r="M18" s="18">
        <f t="shared" si="16"/>
        <v>1931.7857142857158</v>
      </c>
      <c r="N18" s="17">
        <f t="shared" si="3"/>
        <v>113.63445378151269</v>
      </c>
      <c r="O18" s="19">
        <f t="shared" si="4"/>
        <v>0</v>
      </c>
      <c r="P18" s="20">
        <f t="shared" si="5"/>
        <v>-4.0126050420167161</v>
      </c>
      <c r="Q18" s="358">
        <f t="shared" si="6"/>
        <v>0.96589285714285789</v>
      </c>
      <c r="R18" s="637"/>
      <c r="S18" s="40">
        <v>0.75347222222222221</v>
      </c>
      <c r="T18" s="40">
        <v>0.79236111111111107</v>
      </c>
      <c r="U18" s="359">
        <f t="shared" si="18"/>
        <v>4.9999999999999822</v>
      </c>
      <c r="V18" s="364">
        <f t="shared" si="17"/>
        <v>55.999999999999957</v>
      </c>
      <c r="W18" s="23"/>
      <c r="X18" s="23"/>
      <c r="Y18" s="26"/>
      <c r="Z18" s="26"/>
      <c r="AA18" s="354"/>
      <c r="AB18" s="355"/>
      <c r="AC18" s="25"/>
      <c r="AD18" s="25"/>
      <c r="AE18" s="19">
        <f t="shared" si="8"/>
        <v>-68.214285714284188</v>
      </c>
      <c r="AF18" s="358">
        <f t="shared" si="9"/>
        <v>0.96589285714285789</v>
      </c>
      <c r="AG18" s="637"/>
    </row>
    <row r="19" spans="1:33" ht="16.5" customHeight="1">
      <c r="A19" s="658" t="s">
        <v>1849</v>
      </c>
      <c r="B19" s="366" t="s">
        <v>92</v>
      </c>
      <c r="C19" s="361" t="s">
        <v>114</v>
      </c>
      <c r="D19" s="362"/>
      <c r="E19" s="42">
        <v>54.09</v>
      </c>
      <c r="F19" s="366">
        <v>2428</v>
      </c>
      <c r="G19" s="359">
        <f t="shared" si="15"/>
        <v>131330.52000000002</v>
      </c>
      <c r="H19" s="37" t="s">
        <v>91</v>
      </c>
      <c r="I19" s="363">
        <v>18</v>
      </c>
      <c r="J19" s="39">
        <v>2000</v>
      </c>
      <c r="K19" s="17">
        <f t="shared" si="1"/>
        <v>111.11111111111111</v>
      </c>
      <c r="L19" s="363">
        <v>18</v>
      </c>
      <c r="M19" s="18">
        <f t="shared" si="16"/>
        <v>1916.8421052631566</v>
      </c>
      <c r="N19" s="17">
        <f t="shared" si="3"/>
        <v>106.49122807017537</v>
      </c>
      <c r="O19" s="19">
        <f t="shared" si="4"/>
        <v>0</v>
      </c>
      <c r="P19" s="20">
        <f t="shared" si="5"/>
        <v>-4.619883040935747</v>
      </c>
      <c r="Q19" s="358">
        <f t="shared" si="6"/>
        <v>0.95842105263157829</v>
      </c>
      <c r="R19" s="637"/>
      <c r="S19" s="40">
        <v>0.79652777777777772</v>
      </c>
      <c r="T19" s="40">
        <v>0.84930555555555554</v>
      </c>
      <c r="U19" s="359">
        <f t="shared" si="18"/>
        <v>5.9999999999999787</v>
      </c>
      <c r="V19" s="364">
        <f t="shared" si="17"/>
        <v>76.000000000000057</v>
      </c>
      <c r="W19" s="23"/>
      <c r="X19" s="23"/>
      <c r="Y19" s="26"/>
      <c r="Z19" s="26"/>
      <c r="AA19" s="354"/>
      <c r="AB19" s="355"/>
      <c r="AC19" s="25"/>
      <c r="AD19" s="25"/>
      <c r="AE19" s="19">
        <f t="shared" si="8"/>
        <v>-83.157894736843446</v>
      </c>
      <c r="AF19" s="358">
        <f t="shared" si="9"/>
        <v>0.95842105263157829</v>
      </c>
      <c r="AG19" s="637"/>
    </row>
    <row r="20" spans="1:33" ht="16.5" customHeight="1">
      <c r="A20" s="658" t="s">
        <v>1849</v>
      </c>
      <c r="B20" s="42" t="s">
        <v>1850</v>
      </c>
      <c r="C20" s="638"/>
      <c r="D20" s="638"/>
      <c r="E20" s="360"/>
      <c r="F20" s="44"/>
      <c r="G20" s="17"/>
      <c r="H20" s="366"/>
      <c r="I20" s="29">
        <v>18.285714285714285</v>
      </c>
      <c r="J20" s="39">
        <v>1714.2857142857142</v>
      </c>
      <c r="K20" s="17">
        <f t="shared" si="1"/>
        <v>93.75</v>
      </c>
      <c r="L20" s="29">
        <v>18.285714285714285</v>
      </c>
      <c r="M20" s="18">
        <f>AVERAGE(M13:M19)</f>
        <v>1646.4146903290361</v>
      </c>
      <c r="N20" s="17">
        <f t="shared" si="3"/>
        <v>90.038303377369175</v>
      </c>
      <c r="O20" s="19">
        <f t="shared" si="4"/>
        <v>0</v>
      </c>
      <c r="P20" s="20">
        <f t="shared" si="5"/>
        <v>-3.711696622630825</v>
      </c>
      <c r="Q20" s="358">
        <f t="shared" si="6"/>
        <v>0.96040856935860452</v>
      </c>
      <c r="R20" s="637"/>
      <c r="S20" s="40"/>
      <c r="T20" s="40"/>
      <c r="U20" s="359"/>
      <c r="V20" s="364"/>
      <c r="W20" s="17"/>
      <c r="X20" s="17"/>
      <c r="Y20" s="30">
        <f>SUM(Y13:Y19)</f>
        <v>0</v>
      </c>
      <c r="Z20" s="30">
        <f>SUM(Z13:Z19)</f>
        <v>0</v>
      </c>
      <c r="AA20" s="631"/>
      <c r="AB20" s="631"/>
      <c r="AC20" s="30">
        <v>7</v>
      </c>
      <c r="AD20" s="30">
        <f>SUM(AD13:AD19)</f>
        <v>0</v>
      </c>
      <c r="AE20" s="19">
        <f t="shared" si="8"/>
        <v>-67.871023956678073</v>
      </c>
      <c r="AF20" s="358">
        <f t="shared" si="9"/>
        <v>0.96040856935860441</v>
      </c>
      <c r="AG20" s="637"/>
    </row>
    <row r="21" spans="1:33" ht="15.75" customHeight="1">
      <c r="A21" s="655" t="s">
        <v>1851</v>
      </c>
      <c r="B21" s="42" t="s">
        <v>92</v>
      </c>
      <c r="C21" s="653" t="s">
        <v>110</v>
      </c>
      <c r="D21" s="653"/>
      <c r="E21" s="42">
        <v>50.67</v>
      </c>
      <c r="F21" s="366">
        <v>1824</v>
      </c>
      <c r="G21" s="359">
        <f t="shared" ref="G21:G27" si="19">E21*F21</f>
        <v>92422.080000000002</v>
      </c>
      <c r="H21" s="37" t="s">
        <v>91</v>
      </c>
      <c r="I21" s="363">
        <v>17</v>
      </c>
      <c r="J21" s="39">
        <v>2000</v>
      </c>
      <c r="K21" s="17">
        <f t="shared" si="1"/>
        <v>117.64705882352941</v>
      </c>
      <c r="L21" s="363">
        <v>17</v>
      </c>
      <c r="M21" s="18">
        <f t="shared" ref="M21:M27" si="20">F21/V21*60</f>
        <v>1920</v>
      </c>
      <c r="N21" s="17">
        <f t="shared" si="3"/>
        <v>112.94117647058823</v>
      </c>
      <c r="O21" s="19">
        <f t="shared" si="4"/>
        <v>0</v>
      </c>
      <c r="P21" s="20">
        <f t="shared" si="5"/>
        <v>-4.705882352941174</v>
      </c>
      <c r="Q21" s="358">
        <f t="shared" si="6"/>
        <v>0.96</v>
      </c>
      <c r="R21" s="637">
        <f>Q28</f>
        <v>0.95950993579249888</v>
      </c>
      <c r="S21" s="40">
        <v>0.20833333333333334</v>
      </c>
      <c r="T21" s="40">
        <v>0.24791666666666667</v>
      </c>
      <c r="U21" s="359"/>
      <c r="V21" s="364">
        <f t="shared" ref="V21:V27" si="21">(T21-S21)*24*60</f>
        <v>57</v>
      </c>
      <c r="W21" s="23"/>
      <c r="X21" s="23"/>
      <c r="Y21" s="28"/>
      <c r="Z21" s="28"/>
      <c r="AA21" s="632"/>
      <c r="AB21" s="632"/>
      <c r="AC21" s="25">
        <v>7</v>
      </c>
      <c r="AD21" s="25"/>
      <c r="AE21" s="19">
        <f t="shared" si="8"/>
        <v>-80</v>
      </c>
      <c r="AF21" s="358">
        <f t="shared" si="9"/>
        <v>0.96</v>
      </c>
      <c r="AG21" s="637">
        <f>AF28</f>
        <v>0.95950993579249877</v>
      </c>
    </row>
    <row r="22" spans="1:33" ht="15.75" customHeight="1">
      <c r="A22" s="656" t="s">
        <v>1851</v>
      </c>
      <c r="B22" s="42" t="s">
        <v>92</v>
      </c>
      <c r="C22" s="653" t="s">
        <v>111</v>
      </c>
      <c r="D22" s="653"/>
      <c r="E22" s="42">
        <v>57.73</v>
      </c>
      <c r="F22" s="366">
        <v>2551</v>
      </c>
      <c r="G22" s="359">
        <f t="shared" si="19"/>
        <v>147269.22999999998</v>
      </c>
      <c r="H22" s="37" t="s">
        <v>91</v>
      </c>
      <c r="I22" s="363">
        <v>14</v>
      </c>
      <c r="J22" s="39">
        <v>2000</v>
      </c>
      <c r="K22" s="17">
        <f t="shared" si="1"/>
        <v>142.85714285714286</v>
      </c>
      <c r="L22" s="363">
        <v>14</v>
      </c>
      <c r="M22" s="18">
        <f t="shared" si="20"/>
        <v>1913.2499999999993</v>
      </c>
      <c r="N22" s="17">
        <f t="shared" si="3"/>
        <v>136.66071428571425</v>
      </c>
      <c r="O22" s="19">
        <f t="shared" si="4"/>
        <v>0</v>
      </c>
      <c r="P22" s="20">
        <f t="shared" si="5"/>
        <v>-6.196428571428612</v>
      </c>
      <c r="Q22" s="358">
        <f t="shared" si="6"/>
        <v>0.95662499999999973</v>
      </c>
      <c r="R22" s="637"/>
      <c r="S22" s="40">
        <v>0.25347222222222221</v>
      </c>
      <c r="T22" s="40">
        <v>0.30902777777777779</v>
      </c>
      <c r="U22" s="359">
        <f t="shared" ref="U22:U27" si="22">IF(S22=TIME(17,0,0),"",(S22-T21)*24*60)</f>
        <v>7.9999999999999716</v>
      </c>
      <c r="V22" s="364">
        <f t="shared" si="21"/>
        <v>80.000000000000028</v>
      </c>
      <c r="W22" s="23"/>
      <c r="X22" s="359"/>
      <c r="Y22" s="359"/>
      <c r="Z22" s="359"/>
      <c r="AA22" s="632"/>
      <c r="AB22" s="632"/>
      <c r="AC22" s="25"/>
      <c r="AD22" s="25"/>
      <c r="AE22" s="19">
        <f t="shared" si="8"/>
        <v>-86.750000000000682</v>
      </c>
      <c r="AF22" s="358">
        <f t="shared" si="9"/>
        <v>0.95662499999999961</v>
      </c>
      <c r="AG22" s="637"/>
    </row>
    <row r="23" spans="1:33" ht="15.75" customHeight="1">
      <c r="A23" s="656" t="s">
        <v>1851</v>
      </c>
      <c r="B23" s="42" t="s">
        <v>92</v>
      </c>
      <c r="C23" s="653" t="s">
        <v>112</v>
      </c>
      <c r="D23" s="653"/>
      <c r="E23" s="42">
        <v>53.27</v>
      </c>
      <c r="F23" s="366">
        <v>1403</v>
      </c>
      <c r="G23" s="359">
        <f t="shared" si="19"/>
        <v>74737.81</v>
      </c>
      <c r="H23" s="37" t="s">
        <v>91</v>
      </c>
      <c r="I23" s="363">
        <v>16</v>
      </c>
      <c r="J23" s="39">
        <v>2000</v>
      </c>
      <c r="K23" s="17">
        <f t="shared" si="1"/>
        <v>125</v>
      </c>
      <c r="L23" s="363">
        <v>16</v>
      </c>
      <c r="M23" s="18">
        <f t="shared" si="20"/>
        <v>1913.1818181818182</v>
      </c>
      <c r="N23" s="17">
        <f t="shared" si="3"/>
        <v>119.57386363636364</v>
      </c>
      <c r="O23" s="19">
        <f t="shared" si="4"/>
        <v>0</v>
      </c>
      <c r="P23" s="20">
        <f t="shared" si="5"/>
        <v>-5.4261363636363598</v>
      </c>
      <c r="Q23" s="358">
        <f t="shared" si="6"/>
        <v>0.95659090909090916</v>
      </c>
      <c r="R23" s="637"/>
      <c r="S23" s="40">
        <v>0.3125</v>
      </c>
      <c r="T23" s="40">
        <v>0.34305555555555556</v>
      </c>
      <c r="U23" s="359">
        <f t="shared" si="22"/>
        <v>4.9999999999999822</v>
      </c>
      <c r="V23" s="364">
        <f t="shared" si="21"/>
        <v>44</v>
      </c>
      <c r="W23" s="23"/>
      <c r="X23" s="359"/>
      <c r="Y23" s="359"/>
      <c r="Z23" s="359"/>
      <c r="AA23" s="632"/>
      <c r="AB23" s="632"/>
      <c r="AC23" s="25"/>
      <c r="AD23" s="25"/>
      <c r="AE23" s="19">
        <f t="shared" si="8"/>
        <v>-86.818181818181756</v>
      </c>
      <c r="AF23" s="358">
        <f t="shared" si="9"/>
        <v>0.95659090909090916</v>
      </c>
      <c r="AG23" s="637"/>
    </row>
    <row r="24" spans="1:33" ht="15.75" customHeight="1">
      <c r="A24" s="656" t="s">
        <v>1851</v>
      </c>
      <c r="B24" s="42" t="s">
        <v>92</v>
      </c>
      <c r="C24" s="653" t="s">
        <v>1852</v>
      </c>
      <c r="D24" s="653"/>
      <c r="E24" s="42">
        <v>56.43</v>
      </c>
      <c r="F24" s="366">
        <v>5331</v>
      </c>
      <c r="G24" s="359">
        <f t="shared" si="19"/>
        <v>300828.33</v>
      </c>
      <c r="H24" s="37" t="s">
        <v>91</v>
      </c>
      <c r="I24" s="363">
        <v>25</v>
      </c>
      <c r="J24" s="39">
        <v>2000</v>
      </c>
      <c r="K24" s="17">
        <f t="shared" si="1"/>
        <v>80</v>
      </c>
      <c r="L24" s="363">
        <v>25</v>
      </c>
      <c r="M24" s="18">
        <f t="shared" si="20"/>
        <v>1903.9285714285716</v>
      </c>
      <c r="N24" s="17">
        <f t="shared" si="3"/>
        <v>76.157142857142858</v>
      </c>
      <c r="O24" s="19">
        <f t="shared" si="4"/>
        <v>0</v>
      </c>
      <c r="P24" s="20">
        <f t="shared" si="5"/>
        <v>-3.8428571428571416</v>
      </c>
      <c r="Q24" s="358">
        <f t="shared" si="6"/>
        <v>0.95196428571428571</v>
      </c>
      <c r="R24" s="637"/>
      <c r="S24" s="40">
        <v>0.34722222222222221</v>
      </c>
      <c r="T24" s="40">
        <v>0.46388888888888885</v>
      </c>
      <c r="U24" s="359">
        <f t="shared" si="22"/>
        <v>5.9999999999999787</v>
      </c>
      <c r="V24" s="364">
        <f t="shared" si="21"/>
        <v>167.99999999999997</v>
      </c>
      <c r="W24" s="23"/>
      <c r="X24" s="359"/>
      <c r="Y24" s="359"/>
      <c r="Z24" s="359"/>
      <c r="AA24" s="632"/>
      <c r="AB24" s="632"/>
      <c r="AC24" s="25"/>
      <c r="AD24" s="25"/>
      <c r="AE24" s="19">
        <f t="shared" si="8"/>
        <v>-96.071428571428442</v>
      </c>
      <c r="AF24" s="358">
        <f t="shared" si="9"/>
        <v>0.95196428571428582</v>
      </c>
      <c r="AG24" s="637"/>
    </row>
    <row r="25" spans="1:33" ht="15.75" customHeight="1">
      <c r="A25" s="656" t="s">
        <v>1851</v>
      </c>
      <c r="B25" s="42" t="s">
        <v>92</v>
      </c>
      <c r="C25" s="653" t="s">
        <v>113</v>
      </c>
      <c r="D25" s="653"/>
      <c r="E25" s="42">
        <v>56.43</v>
      </c>
      <c r="F25" s="366">
        <v>1353</v>
      </c>
      <c r="G25" s="359">
        <f t="shared" si="19"/>
        <v>76349.789999999994</v>
      </c>
      <c r="H25" s="37" t="s">
        <v>91</v>
      </c>
      <c r="I25" s="363">
        <v>13</v>
      </c>
      <c r="J25" s="39">
        <v>2000</v>
      </c>
      <c r="K25" s="17">
        <f t="shared" si="1"/>
        <v>153.84615384615384</v>
      </c>
      <c r="L25" s="363">
        <v>13</v>
      </c>
      <c r="M25" s="18">
        <f t="shared" si="20"/>
        <v>1932.857142857142</v>
      </c>
      <c r="N25" s="17">
        <f t="shared" si="3"/>
        <v>148.6813186813186</v>
      </c>
      <c r="O25" s="19">
        <f t="shared" si="4"/>
        <v>0</v>
      </c>
      <c r="P25" s="20">
        <f t="shared" si="5"/>
        <v>-5.1648351648352389</v>
      </c>
      <c r="Q25" s="358">
        <f t="shared" si="6"/>
        <v>0.96642857142857097</v>
      </c>
      <c r="R25" s="637"/>
      <c r="S25" s="40">
        <v>0.70833333333333337</v>
      </c>
      <c r="T25" s="40">
        <v>0.73750000000000004</v>
      </c>
      <c r="U25" s="359" t="str">
        <f t="shared" si="22"/>
        <v/>
      </c>
      <c r="V25" s="364">
        <f t="shared" si="21"/>
        <v>42.000000000000014</v>
      </c>
      <c r="W25" s="23"/>
      <c r="X25" s="23"/>
      <c r="Y25" s="359"/>
      <c r="Z25" s="359"/>
      <c r="AA25" s="632"/>
      <c r="AB25" s="632"/>
      <c r="AC25" s="25"/>
      <c r="AD25" s="25"/>
      <c r="AE25" s="19">
        <f t="shared" si="8"/>
        <v>-67.14285714285802</v>
      </c>
      <c r="AF25" s="358">
        <f t="shared" si="9"/>
        <v>0.96642857142857097</v>
      </c>
      <c r="AG25" s="637"/>
    </row>
    <row r="26" spans="1:33" ht="15.75" customHeight="1">
      <c r="A26" s="656" t="s">
        <v>1851</v>
      </c>
      <c r="B26" s="42" t="s">
        <v>92</v>
      </c>
      <c r="C26" s="653" t="s">
        <v>140</v>
      </c>
      <c r="D26" s="653"/>
      <c r="E26" s="42">
        <v>51.06</v>
      </c>
      <c r="F26" s="366">
        <v>3265</v>
      </c>
      <c r="G26" s="359">
        <f t="shared" si="19"/>
        <v>166710.9</v>
      </c>
      <c r="H26" s="37" t="s">
        <v>91</v>
      </c>
      <c r="I26" s="363">
        <v>13</v>
      </c>
      <c r="J26" s="39">
        <v>2000</v>
      </c>
      <c r="K26" s="17">
        <f t="shared" si="1"/>
        <v>153.84615384615384</v>
      </c>
      <c r="L26" s="363">
        <v>13</v>
      </c>
      <c r="M26" s="18">
        <f t="shared" si="20"/>
        <v>1920.5882352941185</v>
      </c>
      <c r="N26" s="17">
        <f t="shared" si="3"/>
        <v>147.73755656108602</v>
      </c>
      <c r="O26" s="19">
        <f t="shared" si="4"/>
        <v>0</v>
      </c>
      <c r="P26" s="20">
        <f t="shared" si="5"/>
        <v>-6.1085972850678161</v>
      </c>
      <c r="Q26" s="358">
        <f t="shared" si="6"/>
        <v>0.96029411764705919</v>
      </c>
      <c r="R26" s="637"/>
      <c r="S26" s="40">
        <v>0.74236111111111114</v>
      </c>
      <c r="T26" s="40">
        <v>0.81319444444444444</v>
      </c>
      <c r="U26" s="359">
        <f t="shared" si="22"/>
        <v>6.9999999999999751</v>
      </c>
      <c r="V26" s="364">
        <f t="shared" si="21"/>
        <v>101.99999999999996</v>
      </c>
      <c r="W26" s="23"/>
      <c r="X26" s="28"/>
      <c r="Y26" s="28"/>
      <c r="Z26" s="28"/>
      <c r="AA26" s="632"/>
      <c r="AB26" s="632"/>
      <c r="AC26" s="25"/>
      <c r="AD26" s="25"/>
      <c r="AE26" s="19">
        <f t="shared" si="8"/>
        <v>-79.411764705881524</v>
      </c>
      <c r="AF26" s="358">
        <f t="shared" si="9"/>
        <v>0.96029411764705919</v>
      </c>
      <c r="AG26" s="637"/>
    </row>
    <row r="27" spans="1:33" ht="15.75" customHeight="1">
      <c r="A27" s="656" t="s">
        <v>1851</v>
      </c>
      <c r="B27" s="42" t="s">
        <v>92</v>
      </c>
      <c r="C27" s="679" t="s">
        <v>95</v>
      </c>
      <c r="D27" s="680"/>
      <c r="E27" s="42">
        <v>50.67</v>
      </c>
      <c r="F27" s="366">
        <v>1447</v>
      </c>
      <c r="G27" s="359">
        <f t="shared" si="19"/>
        <v>73319.490000000005</v>
      </c>
      <c r="H27" s="37" t="s">
        <v>91</v>
      </c>
      <c r="I27" s="363">
        <v>15</v>
      </c>
      <c r="J27" s="39">
        <v>2000</v>
      </c>
      <c r="K27" s="17">
        <f t="shared" si="1"/>
        <v>133.33333333333334</v>
      </c>
      <c r="L27" s="363">
        <v>15</v>
      </c>
      <c r="M27" s="18">
        <f t="shared" si="20"/>
        <v>1929.3333333333335</v>
      </c>
      <c r="N27" s="17">
        <f t="shared" si="3"/>
        <v>128.62222222222223</v>
      </c>
      <c r="O27" s="19">
        <f t="shared" si="4"/>
        <v>0</v>
      </c>
      <c r="P27" s="20">
        <f t="shared" si="5"/>
        <v>-4.7111111111111086</v>
      </c>
      <c r="Q27" s="358">
        <f t="shared" si="6"/>
        <v>0.96466666666666667</v>
      </c>
      <c r="R27" s="637"/>
      <c r="S27" s="40">
        <v>0.81805555555555554</v>
      </c>
      <c r="T27" s="40">
        <v>0.84930555555555554</v>
      </c>
      <c r="U27" s="359">
        <f t="shared" si="22"/>
        <v>6.9999999999999751</v>
      </c>
      <c r="V27" s="364">
        <f t="shared" si="21"/>
        <v>45</v>
      </c>
      <c r="W27" s="23"/>
      <c r="X27" s="28"/>
      <c r="Y27" s="136"/>
      <c r="Z27" s="136"/>
      <c r="AA27" s="627"/>
      <c r="AB27" s="628"/>
      <c r="AC27" s="25"/>
      <c r="AD27" s="25"/>
      <c r="AE27" s="19">
        <f t="shared" si="8"/>
        <v>-70.666666666666515</v>
      </c>
      <c r="AF27" s="358">
        <f t="shared" si="9"/>
        <v>0.96466666666666678</v>
      </c>
      <c r="AG27" s="637"/>
    </row>
    <row r="28" spans="1:33" ht="15.75" customHeight="1">
      <c r="A28" s="656" t="s">
        <v>1851</v>
      </c>
      <c r="B28" s="42" t="s">
        <v>1850</v>
      </c>
      <c r="C28" s="638"/>
      <c r="D28" s="638"/>
      <c r="E28" s="360"/>
      <c r="F28" s="366"/>
      <c r="G28" s="359"/>
      <c r="H28" s="366"/>
      <c r="I28" s="29">
        <v>16.142857142857142</v>
      </c>
      <c r="J28" s="39">
        <v>2000</v>
      </c>
      <c r="K28" s="17">
        <f t="shared" si="1"/>
        <v>123.89380530973452</v>
      </c>
      <c r="L28" s="29">
        <v>16.142857142857142</v>
      </c>
      <c r="M28" s="18">
        <f>AVERAGE(M21:M27)</f>
        <v>1919.0198715849976</v>
      </c>
      <c r="N28" s="17">
        <f t="shared" si="3"/>
        <v>118.87733717783172</v>
      </c>
      <c r="O28" s="19">
        <f t="shared" si="4"/>
        <v>0</v>
      </c>
      <c r="P28" s="20">
        <f t="shared" si="5"/>
        <v>-5.0164681319027977</v>
      </c>
      <c r="Q28" s="358">
        <f t="shared" si="6"/>
        <v>0.95950993579249888</v>
      </c>
      <c r="R28" s="637"/>
      <c r="S28" s="40"/>
      <c r="T28" s="40"/>
      <c r="U28" s="17"/>
      <c r="V28" s="364"/>
      <c r="W28" s="17"/>
      <c r="X28" s="17"/>
      <c r="Y28" s="30">
        <f>SUM(Y21:Y27)</f>
        <v>0</v>
      </c>
      <c r="Z28" s="30">
        <f>SUM(Z21:Z27)</f>
        <v>0</v>
      </c>
      <c r="AA28" s="631"/>
      <c r="AB28" s="631"/>
      <c r="AC28" s="30">
        <v>7</v>
      </c>
      <c r="AD28" s="30">
        <f>SUM(AD21:AD27)</f>
        <v>0</v>
      </c>
      <c r="AE28" s="19">
        <f t="shared" si="8"/>
        <v>-80.980128415002355</v>
      </c>
      <c r="AF28" s="358">
        <f t="shared" si="9"/>
        <v>0.95950993579249877</v>
      </c>
      <c r="AG28" s="637"/>
    </row>
    <row r="29" spans="1:33" ht="15.75" customHeight="1">
      <c r="A29" s="654" t="s">
        <v>1853</v>
      </c>
      <c r="B29" s="42" t="s">
        <v>116</v>
      </c>
      <c r="C29" s="653" t="s">
        <v>117</v>
      </c>
      <c r="D29" s="653"/>
      <c r="E29" s="42">
        <v>31.29</v>
      </c>
      <c r="F29" s="366">
        <v>5600</v>
      </c>
      <c r="G29" s="359">
        <f t="shared" ref="G29:G36" si="23">E29*F29</f>
        <v>175224</v>
      </c>
      <c r="H29" s="37">
        <v>2</v>
      </c>
      <c r="I29" s="363">
        <v>18</v>
      </c>
      <c r="J29" s="39">
        <v>2400</v>
      </c>
      <c r="K29" s="17">
        <f t="shared" si="1"/>
        <v>133.33333333333334</v>
      </c>
      <c r="L29" s="363">
        <v>18</v>
      </c>
      <c r="M29" s="18">
        <f t="shared" ref="M29:M36" si="24">F29/V29*60</f>
        <v>2285.7142857142858</v>
      </c>
      <c r="N29" s="17">
        <f t="shared" si="3"/>
        <v>126.98412698412699</v>
      </c>
      <c r="O29" s="19">
        <f t="shared" si="4"/>
        <v>0</v>
      </c>
      <c r="P29" s="20">
        <f t="shared" si="5"/>
        <v>-6.3492063492063551</v>
      </c>
      <c r="Q29" s="358">
        <f t="shared" si="6"/>
        <v>0.95238095238095233</v>
      </c>
      <c r="R29" s="637">
        <f>Q37</f>
        <v>0.95693222506134668</v>
      </c>
      <c r="S29" s="40">
        <v>8.3333333333333329E-2</v>
      </c>
      <c r="T29" s="40">
        <v>0.18541666666666667</v>
      </c>
      <c r="U29" s="359"/>
      <c r="V29" s="364">
        <f t="shared" ref="V29:V36" si="25">(T29-S29)*24*60</f>
        <v>147</v>
      </c>
      <c r="W29" s="23">
        <f>T29</f>
        <v>0.18541666666666667</v>
      </c>
      <c r="X29" s="23">
        <f>S30</f>
        <v>0.20416666666666666</v>
      </c>
      <c r="Y29" s="23"/>
      <c r="Z29" s="23"/>
      <c r="AA29" s="632"/>
      <c r="AB29" s="632"/>
      <c r="AC29" s="25">
        <v>8</v>
      </c>
      <c r="AD29" s="25"/>
      <c r="AE29" s="19">
        <f t="shared" si="8"/>
        <v>-114.28571428571422</v>
      </c>
      <c r="AF29" s="358">
        <f t="shared" si="9"/>
        <v>0.95238095238095244</v>
      </c>
      <c r="AG29" s="637">
        <f>AF37</f>
        <v>0.95693222506134679</v>
      </c>
    </row>
    <row r="30" spans="1:33" ht="15.75" customHeight="1">
      <c r="A30" s="654" t="s">
        <v>1853</v>
      </c>
      <c r="B30" s="42" t="s">
        <v>116</v>
      </c>
      <c r="C30" s="653" t="s">
        <v>118</v>
      </c>
      <c r="D30" s="653"/>
      <c r="E30" s="42">
        <v>26.37</v>
      </c>
      <c r="F30" s="366">
        <v>4000</v>
      </c>
      <c r="G30" s="359">
        <f t="shared" si="23"/>
        <v>105480</v>
      </c>
      <c r="H30" s="37">
        <v>2</v>
      </c>
      <c r="I30" s="363">
        <v>18</v>
      </c>
      <c r="J30" s="39">
        <v>2400</v>
      </c>
      <c r="K30" s="17">
        <f t="shared" si="1"/>
        <v>133.33333333333334</v>
      </c>
      <c r="L30" s="363">
        <v>18</v>
      </c>
      <c r="M30" s="18">
        <f t="shared" si="24"/>
        <v>2285.7142857142853</v>
      </c>
      <c r="N30" s="17">
        <f t="shared" si="3"/>
        <v>126.98412698412696</v>
      </c>
      <c r="O30" s="19">
        <f t="shared" si="4"/>
        <v>0</v>
      </c>
      <c r="P30" s="20">
        <f t="shared" si="5"/>
        <v>-6.3492063492063835</v>
      </c>
      <c r="Q30" s="358">
        <f t="shared" si="6"/>
        <v>0.95238095238095211</v>
      </c>
      <c r="R30" s="637"/>
      <c r="S30" s="40">
        <v>0.20416666666666666</v>
      </c>
      <c r="T30" s="40">
        <v>0.27708333333333335</v>
      </c>
      <c r="U30" s="359">
        <f t="shared" ref="U30:U36" si="26">(S30-T29)*24*60</f>
        <v>26.999999999999986</v>
      </c>
      <c r="V30" s="364">
        <f t="shared" si="25"/>
        <v>105.00000000000003</v>
      </c>
      <c r="W30" s="23"/>
      <c r="X30" s="23"/>
      <c r="Y30" s="23"/>
      <c r="Z30" s="23"/>
      <c r="AA30" s="632"/>
      <c r="AB30" s="632"/>
      <c r="AC30" s="25"/>
      <c r="AD30" s="25"/>
      <c r="AE30" s="19">
        <f t="shared" si="8"/>
        <v>-114.28571428571468</v>
      </c>
      <c r="AF30" s="358">
        <f t="shared" si="9"/>
        <v>0.95238095238095222</v>
      </c>
      <c r="AG30" s="637"/>
    </row>
    <row r="31" spans="1:33" ht="15.75" customHeight="1">
      <c r="A31" s="654" t="s">
        <v>1853</v>
      </c>
      <c r="B31" s="42" t="s">
        <v>116</v>
      </c>
      <c r="C31" s="653" t="s">
        <v>124</v>
      </c>
      <c r="D31" s="653"/>
      <c r="E31" s="42">
        <v>24.43</v>
      </c>
      <c r="F31" s="366">
        <v>4200</v>
      </c>
      <c r="G31" s="359">
        <f t="shared" si="23"/>
        <v>102606</v>
      </c>
      <c r="H31" s="37">
        <v>2</v>
      </c>
      <c r="I31" s="363">
        <v>14</v>
      </c>
      <c r="J31" s="39">
        <v>2400</v>
      </c>
      <c r="K31" s="17">
        <f t="shared" si="1"/>
        <v>171.42857142857142</v>
      </c>
      <c r="L31" s="363">
        <v>14</v>
      </c>
      <c r="M31" s="18">
        <f t="shared" si="24"/>
        <v>2290.909090909091</v>
      </c>
      <c r="N31" s="17">
        <f t="shared" si="3"/>
        <v>163.63636363636365</v>
      </c>
      <c r="O31" s="19">
        <f t="shared" si="4"/>
        <v>0</v>
      </c>
      <c r="P31" s="20">
        <f t="shared" si="5"/>
        <v>-7.7922077922077619</v>
      </c>
      <c r="Q31" s="358">
        <f t="shared" si="6"/>
        <v>0.9545454545454547</v>
      </c>
      <c r="R31" s="637"/>
      <c r="S31" s="40">
        <v>0.28055555555555556</v>
      </c>
      <c r="T31" s="40">
        <v>0.35694444444444445</v>
      </c>
      <c r="U31" s="359">
        <f t="shared" si="26"/>
        <v>4.9999999999999822</v>
      </c>
      <c r="V31" s="364">
        <f t="shared" si="25"/>
        <v>110.00000000000001</v>
      </c>
      <c r="W31" s="23"/>
      <c r="X31" s="23"/>
      <c r="Y31" s="23"/>
      <c r="Z31" s="23"/>
      <c r="AA31" s="632"/>
      <c r="AB31" s="632"/>
      <c r="AC31" s="25"/>
      <c r="AD31" s="25"/>
      <c r="AE31" s="19">
        <f t="shared" si="8"/>
        <v>-109.09090909090901</v>
      </c>
      <c r="AF31" s="358">
        <f t="shared" si="9"/>
        <v>0.95454545454545459</v>
      </c>
      <c r="AG31" s="637"/>
    </row>
    <row r="32" spans="1:33" ht="15.75" customHeight="1">
      <c r="A32" s="654" t="s">
        <v>1853</v>
      </c>
      <c r="B32" s="42" t="s">
        <v>116</v>
      </c>
      <c r="C32" s="653" t="s">
        <v>149</v>
      </c>
      <c r="D32" s="653"/>
      <c r="E32" s="42">
        <v>24.25</v>
      </c>
      <c r="F32" s="366">
        <v>3424</v>
      </c>
      <c r="G32" s="359">
        <f t="shared" si="23"/>
        <v>83032</v>
      </c>
      <c r="H32" s="37" t="s">
        <v>91</v>
      </c>
      <c r="I32" s="363">
        <v>16</v>
      </c>
      <c r="J32" s="39">
        <v>2400</v>
      </c>
      <c r="K32" s="17">
        <f t="shared" si="1"/>
        <v>150</v>
      </c>
      <c r="L32" s="363">
        <v>16</v>
      </c>
      <c r="M32" s="18">
        <f t="shared" si="24"/>
        <v>2308.3146067415732</v>
      </c>
      <c r="N32" s="17">
        <f t="shared" si="3"/>
        <v>144.26966292134833</v>
      </c>
      <c r="O32" s="19">
        <f t="shared" si="4"/>
        <v>0</v>
      </c>
      <c r="P32" s="20">
        <f t="shared" si="5"/>
        <v>-5.7303370786516723</v>
      </c>
      <c r="Q32" s="358">
        <f t="shared" si="6"/>
        <v>0.96179775280898883</v>
      </c>
      <c r="R32" s="637"/>
      <c r="S32" s="40">
        <v>0.3611111111111111</v>
      </c>
      <c r="T32" s="40">
        <v>0.42291666666666666</v>
      </c>
      <c r="U32" s="359">
        <f t="shared" si="26"/>
        <v>5.9999999999999787</v>
      </c>
      <c r="V32" s="364">
        <f t="shared" si="25"/>
        <v>89</v>
      </c>
      <c r="W32" s="23"/>
      <c r="X32" s="23"/>
      <c r="Y32" s="23"/>
      <c r="Z32" s="23"/>
      <c r="AA32" s="632"/>
      <c r="AB32" s="632"/>
      <c r="AC32" s="25"/>
      <c r="AD32" s="25"/>
      <c r="AE32" s="19">
        <f t="shared" si="8"/>
        <v>-91.685393258426757</v>
      </c>
      <c r="AF32" s="358">
        <f t="shared" si="9"/>
        <v>0.96179775280898883</v>
      </c>
      <c r="AG32" s="637"/>
    </row>
    <row r="33" spans="1:33" ht="15.75" customHeight="1">
      <c r="A33" s="654" t="s">
        <v>1853</v>
      </c>
      <c r="B33" s="42" t="s">
        <v>116</v>
      </c>
      <c r="C33" s="653" t="s">
        <v>150</v>
      </c>
      <c r="D33" s="653"/>
      <c r="E33" s="42">
        <v>23.89</v>
      </c>
      <c r="F33" s="366">
        <v>2550</v>
      </c>
      <c r="G33" s="359">
        <f t="shared" si="23"/>
        <v>60919.5</v>
      </c>
      <c r="H33" s="37" t="s">
        <v>91</v>
      </c>
      <c r="I33" s="363">
        <v>13</v>
      </c>
      <c r="J33" s="39">
        <v>2400</v>
      </c>
      <c r="K33" s="17">
        <f t="shared" si="1"/>
        <v>184.61538461538461</v>
      </c>
      <c r="L33" s="363">
        <v>13</v>
      </c>
      <c r="M33" s="18">
        <f t="shared" si="24"/>
        <v>2318.181818181818</v>
      </c>
      <c r="N33" s="17">
        <f t="shared" si="3"/>
        <v>178.32167832167832</v>
      </c>
      <c r="O33" s="19">
        <f t="shared" si="4"/>
        <v>0</v>
      </c>
      <c r="P33" s="20">
        <f t="shared" si="5"/>
        <v>-6.2937062937062933</v>
      </c>
      <c r="Q33" s="358">
        <f t="shared" si="6"/>
        <v>0.96590909090909094</v>
      </c>
      <c r="R33" s="637"/>
      <c r="S33" s="40">
        <v>0.42638888888888887</v>
      </c>
      <c r="T33" s="40">
        <v>0.47222222222222221</v>
      </c>
      <c r="U33" s="359">
        <f t="shared" si="26"/>
        <v>4.9999999999999822</v>
      </c>
      <c r="V33" s="364">
        <f t="shared" si="25"/>
        <v>66</v>
      </c>
      <c r="W33" s="23">
        <f>T33</f>
        <v>0.47222222222222221</v>
      </c>
      <c r="X33" s="23">
        <f>S34</f>
        <v>0.51458333333333328</v>
      </c>
      <c r="Y33" s="23"/>
      <c r="Z33" s="23"/>
      <c r="AA33" s="632"/>
      <c r="AB33" s="632"/>
      <c r="AC33" s="25"/>
      <c r="AD33" s="25"/>
      <c r="AE33" s="19">
        <f t="shared" si="8"/>
        <v>-81.818181818181984</v>
      </c>
      <c r="AF33" s="358">
        <f t="shared" si="9"/>
        <v>0.96590909090909083</v>
      </c>
      <c r="AG33" s="637"/>
    </row>
    <row r="34" spans="1:33" ht="15.75" customHeight="1">
      <c r="A34" s="654" t="s">
        <v>1853</v>
      </c>
      <c r="B34" s="42" t="s">
        <v>116</v>
      </c>
      <c r="C34" s="653" t="s">
        <v>117</v>
      </c>
      <c r="D34" s="653"/>
      <c r="E34" s="42">
        <v>31.29</v>
      </c>
      <c r="F34" s="366">
        <v>4399</v>
      </c>
      <c r="G34" s="359">
        <f t="shared" si="23"/>
        <v>137644.71</v>
      </c>
      <c r="H34" s="37" t="s">
        <v>91</v>
      </c>
      <c r="I34" s="363">
        <v>18</v>
      </c>
      <c r="J34" s="39">
        <v>2400</v>
      </c>
      <c r="K34" s="17">
        <f t="shared" si="1"/>
        <v>133.33333333333334</v>
      </c>
      <c r="L34" s="363">
        <v>18</v>
      </c>
      <c r="M34" s="18">
        <f t="shared" si="24"/>
        <v>2295.1304347826076</v>
      </c>
      <c r="N34" s="17">
        <f t="shared" si="3"/>
        <v>127.50724637681154</v>
      </c>
      <c r="O34" s="19">
        <f t="shared" si="4"/>
        <v>0</v>
      </c>
      <c r="P34" s="20">
        <f t="shared" si="5"/>
        <v>-5.8260869565218059</v>
      </c>
      <c r="Q34" s="358">
        <f t="shared" si="6"/>
        <v>0.95630434782608642</v>
      </c>
      <c r="R34" s="637"/>
      <c r="S34" s="40">
        <v>0.51458333333333328</v>
      </c>
      <c r="T34" s="40">
        <v>0.59444444444444444</v>
      </c>
      <c r="U34" s="359">
        <f t="shared" si="26"/>
        <v>60.999999999999943</v>
      </c>
      <c r="V34" s="364">
        <f t="shared" si="25"/>
        <v>115.00000000000007</v>
      </c>
      <c r="W34" s="23"/>
      <c r="X34" s="23"/>
      <c r="Y34" s="23"/>
      <c r="Z34" s="23"/>
      <c r="AA34" s="632"/>
      <c r="AB34" s="632"/>
      <c r="AC34" s="25"/>
      <c r="AD34" s="25"/>
      <c r="AE34" s="19">
        <f t="shared" si="8"/>
        <v>-104.86956521739239</v>
      </c>
      <c r="AF34" s="358">
        <f t="shared" si="9"/>
        <v>0.95630434782608653</v>
      </c>
      <c r="AG34" s="637"/>
    </row>
    <row r="35" spans="1:33" ht="15.75" customHeight="1">
      <c r="A35" s="654" t="s">
        <v>1853</v>
      </c>
      <c r="B35" s="42" t="s">
        <v>116</v>
      </c>
      <c r="C35" s="653" t="s">
        <v>124</v>
      </c>
      <c r="D35" s="653"/>
      <c r="E35" s="42">
        <v>24.43</v>
      </c>
      <c r="F35" s="366">
        <v>3445</v>
      </c>
      <c r="G35" s="359">
        <f t="shared" si="23"/>
        <v>84161.35</v>
      </c>
      <c r="H35" s="37" t="s">
        <v>91</v>
      </c>
      <c r="I35" s="363">
        <v>14</v>
      </c>
      <c r="J35" s="39">
        <v>2400</v>
      </c>
      <c r="K35" s="17">
        <f t="shared" si="1"/>
        <v>171.42857142857142</v>
      </c>
      <c r="L35" s="363">
        <v>14</v>
      </c>
      <c r="M35" s="18">
        <f t="shared" si="24"/>
        <v>2296.6666666666665</v>
      </c>
      <c r="N35" s="17">
        <f t="shared" si="3"/>
        <v>164.04761904761904</v>
      </c>
      <c r="O35" s="19">
        <f t="shared" si="4"/>
        <v>0</v>
      </c>
      <c r="P35" s="20">
        <f t="shared" si="5"/>
        <v>-7.3809523809523796</v>
      </c>
      <c r="Q35" s="358">
        <f t="shared" si="6"/>
        <v>0.95694444444444449</v>
      </c>
      <c r="R35" s="637"/>
      <c r="S35" s="40">
        <v>0.6</v>
      </c>
      <c r="T35" s="40">
        <v>0.66249999999999998</v>
      </c>
      <c r="U35" s="359">
        <f t="shared" si="26"/>
        <v>7.9999999999999716</v>
      </c>
      <c r="V35" s="364">
        <f t="shared" si="25"/>
        <v>90</v>
      </c>
      <c r="W35" s="23"/>
      <c r="X35" s="23"/>
      <c r="Y35" s="23"/>
      <c r="Z35" s="23"/>
      <c r="AA35" s="632"/>
      <c r="AB35" s="632"/>
      <c r="AC35" s="25"/>
      <c r="AD35" s="25"/>
      <c r="AE35" s="19">
        <f t="shared" si="8"/>
        <v>-103.33333333333348</v>
      </c>
      <c r="AF35" s="358">
        <f t="shared" si="9"/>
        <v>0.95694444444444438</v>
      </c>
      <c r="AG35" s="637"/>
    </row>
    <row r="36" spans="1:33" ht="15.75" customHeight="1">
      <c r="A36" s="654" t="s">
        <v>1853</v>
      </c>
      <c r="B36" s="42" t="s">
        <v>116</v>
      </c>
      <c r="C36" s="361" t="s">
        <v>118</v>
      </c>
      <c r="D36" s="362"/>
      <c r="E36" s="42">
        <v>26.37</v>
      </c>
      <c r="F36" s="366">
        <v>2942</v>
      </c>
      <c r="G36" s="359">
        <f t="shared" si="23"/>
        <v>77580.540000000008</v>
      </c>
      <c r="H36" s="37" t="s">
        <v>91</v>
      </c>
      <c r="I36" s="363">
        <v>18</v>
      </c>
      <c r="J36" s="39">
        <v>2400</v>
      </c>
      <c r="K36" s="17">
        <f t="shared" si="1"/>
        <v>133.33333333333334</v>
      </c>
      <c r="L36" s="363">
        <v>18</v>
      </c>
      <c r="M36" s="18">
        <f t="shared" si="24"/>
        <v>2292.4675324675313</v>
      </c>
      <c r="N36" s="17">
        <f t="shared" si="3"/>
        <v>127.35930735930729</v>
      </c>
      <c r="O36" s="19">
        <f t="shared" si="4"/>
        <v>0</v>
      </c>
      <c r="P36" s="20">
        <f t="shared" si="5"/>
        <v>-5.9740259740260484</v>
      </c>
      <c r="Q36" s="358">
        <f t="shared" si="6"/>
        <v>0.9551948051948046</v>
      </c>
      <c r="R36" s="637"/>
      <c r="S36" s="40">
        <v>0.66666666666666663</v>
      </c>
      <c r="T36" s="40">
        <v>0.72013888888888888</v>
      </c>
      <c r="U36" s="359">
        <f t="shared" si="26"/>
        <v>5.9999999999999787</v>
      </c>
      <c r="V36" s="364">
        <f t="shared" si="25"/>
        <v>77.000000000000043</v>
      </c>
      <c r="W36" s="23"/>
      <c r="X36" s="23"/>
      <c r="Y36" s="23"/>
      <c r="Z36" s="23"/>
      <c r="AA36" s="354"/>
      <c r="AB36" s="355"/>
      <c r="AC36" s="25"/>
      <c r="AD36" s="25"/>
      <c r="AE36" s="19">
        <f t="shared" si="8"/>
        <v>-107.53246753246867</v>
      </c>
      <c r="AF36" s="358">
        <f t="shared" si="9"/>
        <v>0.95519480519480471</v>
      </c>
      <c r="AG36" s="637"/>
    </row>
    <row r="37" spans="1:33" ht="15.75" customHeight="1">
      <c r="A37" s="654" t="s">
        <v>1853</v>
      </c>
      <c r="B37" s="42" t="s">
        <v>1850</v>
      </c>
      <c r="C37" s="638"/>
      <c r="D37" s="638"/>
      <c r="E37" s="360"/>
      <c r="F37" s="366"/>
      <c r="G37" s="359"/>
      <c r="H37" s="366"/>
      <c r="I37" s="29">
        <v>16.125</v>
      </c>
      <c r="J37" s="39">
        <v>2400</v>
      </c>
      <c r="K37" s="17">
        <f t="shared" si="1"/>
        <v>148.83720930232559</v>
      </c>
      <c r="L37" s="29">
        <v>16.125</v>
      </c>
      <c r="M37" s="18">
        <f>AVERAGE(M29:M36)</f>
        <v>2296.6373401472324</v>
      </c>
      <c r="N37" s="17">
        <f t="shared" si="3"/>
        <v>142.42712186959579</v>
      </c>
      <c r="O37" s="19">
        <f t="shared" si="4"/>
        <v>0</v>
      </c>
      <c r="P37" s="20">
        <f t="shared" si="5"/>
        <v>-6.4100874327297959</v>
      </c>
      <c r="Q37" s="358">
        <f t="shared" si="6"/>
        <v>0.95693222506134668</v>
      </c>
      <c r="R37" s="637"/>
      <c r="S37" s="40"/>
      <c r="T37" s="40"/>
      <c r="U37" s="359"/>
      <c r="V37" s="364"/>
      <c r="W37" s="359"/>
      <c r="X37" s="359"/>
      <c r="Y37" s="30">
        <f>SUM(Y29:Y36)</f>
        <v>0</v>
      </c>
      <c r="Z37" s="30">
        <f>SUM(Z29:Z36)</f>
        <v>0</v>
      </c>
      <c r="AA37" s="631"/>
      <c r="AB37" s="631"/>
      <c r="AC37" s="30">
        <v>8</v>
      </c>
      <c r="AD37" s="30">
        <f>SUM(AD29:AD36)</f>
        <v>0</v>
      </c>
      <c r="AE37" s="19">
        <f t="shared" si="8"/>
        <v>-103.36265985276759</v>
      </c>
      <c r="AF37" s="358">
        <f t="shared" si="9"/>
        <v>0.95693222506134679</v>
      </c>
      <c r="AG37" s="637"/>
    </row>
    <row r="38" spans="1:33" ht="15.75" customHeight="1">
      <c r="A38" s="651" t="s">
        <v>1854</v>
      </c>
      <c r="B38" s="42" t="s">
        <v>116</v>
      </c>
      <c r="C38" s="633" t="s">
        <v>123</v>
      </c>
      <c r="D38" s="633"/>
      <c r="E38" s="42">
        <v>26.18</v>
      </c>
      <c r="F38" s="366">
        <v>3600</v>
      </c>
      <c r="G38" s="359">
        <f t="shared" ref="G38:G45" si="27">E38*F38</f>
        <v>94248</v>
      </c>
      <c r="H38" s="37">
        <v>2</v>
      </c>
      <c r="I38" s="363">
        <v>20</v>
      </c>
      <c r="J38" s="39">
        <v>2400</v>
      </c>
      <c r="K38" s="17">
        <f t="shared" si="1"/>
        <v>120</v>
      </c>
      <c r="L38" s="363">
        <v>20</v>
      </c>
      <c r="M38" s="18">
        <f t="shared" ref="M38:M45" si="28">F38/V38*60</f>
        <v>2297.8723404255315</v>
      </c>
      <c r="N38" s="17">
        <f t="shared" si="3"/>
        <v>114.89361702127658</v>
      </c>
      <c r="O38" s="19">
        <f t="shared" si="4"/>
        <v>0</v>
      </c>
      <c r="P38" s="20">
        <f t="shared" si="5"/>
        <v>-5.106382978723417</v>
      </c>
      <c r="Q38" s="358">
        <f t="shared" si="6"/>
        <v>0.95744680851063824</v>
      </c>
      <c r="R38" s="637">
        <f>Q46</f>
        <v>0.95502037109896698</v>
      </c>
      <c r="S38" s="40">
        <v>8.3333333333333329E-2</v>
      </c>
      <c r="T38" s="40">
        <v>0.14861111111111111</v>
      </c>
      <c r="U38" s="359"/>
      <c r="V38" s="364">
        <f t="shared" ref="V38:V45" si="29">(T38-S38)*24*60</f>
        <v>94.000000000000014</v>
      </c>
      <c r="W38" s="28">
        <f>T38</f>
        <v>0.14861111111111111</v>
      </c>
      <c r="X38" s="28">
        <f>S39</f>
        <v>0.16666666666666666</v>
      </c>
      <c r="Y38" s="28"/>
      <c r="Z38" s="28"/>
      <c r="AA38" s="632"/>
      <c r="AB38" s="632"/>
      <c r="AC38" s="25">
        <v>8</v>
      </c>
      <c r="AD38" s="25"/>
      <c r="AE38" s="19">
        <f t="shared" si="8"/>
        <v>-102.12765957446845</v>
      </c>
      <c r="AF38" s="358">
        <f t="shared" si="9"/>
        <v>0.95744680851063813</v>
      </c>
      <c r="AG38" s="637">
        <f>AF46</f>
        <v>0.95502037109896698</v>
      </c>
    </row>
    <row r="39" spans="1:33" ht="15.75" customHeight="1">
      <c r="A39" s="651" t="s">
        <v>1854</v>
      </c>
      <c r="B39" s="42" t="s">
        <v>116</v>
      </c>
      <c r="C39" s="633" t="s">
        <v>147</v>
      </c>
      <c r="D39" s="633"/>
      <c r="E39" s="42">
        <v>25.98</v>
      </c>
      <c r="F39" s="366">
        <v>2632</v>
      </c>
      <c r="G39" s="359">
        <f t="shared" si="27"/>
        <v>68379.360000000001</v>
      </c>
      <c r="H39" s="37" t="s">
        <v>91</v>
      </c>
      <c r="I39" s="363">
        <v>17</v>
      </c>
      <c r="J39" s="39">
        <v>2400</v>
      </c>
      <c r="K39" s="17">
        <f t="shared" si="1"/>
        <v>141.1764705882353</v>
      </c>
      <c r="L39" s="363">
        <v>17</v>
      </c>
      <c r="M39" s="18">
        <f t="shared" si="28"/>
        <v>2288.695652173913</v>
      </c>
      <c r="N39" s="17">
        <f t="shared" si="3"/>
        <v>134.62915601023019</v>
      </c>
      <c r="O39" s="19">
        <f t="shared" si="4"/>
        <v>0</v>
      </c>
      <c r="P39" s="20">
        <f t="shared" si="5"/>
        <v>-6.5473145780051141</v>
      </c>
      <c r="Q39" s="358">
        <f t="shared" si="6"/>
        <v>0.95362318840579707</v>
      </c>
      <c r="R39" s="637"/>
      <c r="S39" s="40">
        <v>0.16666666666666666</v>
      </c>
      <c r="T39" s="40">
        <v>0.21458333333333332</v>
      </c>
      <c r="U39" s="359">
        <f t="shared" ref="U39:U45" si="30">(S39-T38)*24*60</f>
        <v>25.999999999999986</v>
      </c>
      <c r="V39" s="364">
        <f t="shared" si="29"/>
        <v>69</v>
      </c>
      <c r="W39" s="359"/>
      <c r="X39" s="359"/>
      <c r="Y39" s="359"/>
      <c r="Z39" s="359"/>
      <c r="AA39" s="632"/>
      <c r="AB39" s="632"/>
      <c r="AC39" s="25"/>
      <c r="AD39" s="25"/>
      <c r="AE39" s="19">
        <f t="shared" si="8"/>
        <v>-111.304347826087</v>
      </c>
      <c r="AF39" s="358">
        <f t="shared" si="9"/>
        <v>0.95362318840579707</v>
      </c>
      <c r="AG39" s="637"/>
    </row>
    <row r="40" spans="1:33">
      <c r="A40" s="652" t="s">
        <v>1854</v>
      </c>
      <c r="B40" s="42" t="s">
        <v>116</v>
      </c>
      <c r="C40" s="633" t="s">
        <v>119</v>
      </c>
      <c r="D40" s="633"/>
      <c r="E40" s="42">
        <v>26.18</v>
      </c>
      <c r="F40" s="366">
        <v>4800</v>
      </c>
      <c r="G40" s="359">
        <f t="shared" si="27"/>
        <v>125664</v>
      </c>
      <c r="H40" s="37">
        <v>2</v>
      </c>
      <c r="I40" s="363">
        <v>18</v>
      </c>
      <c r="J40" s="39">
        <v>2400</v>
      </c>
      <c r="K40" s="17">
        <f t="shared" si="1"/>
        <v>133.33333333333334</v>
      </c>
      <c r="L40" s="363">
        <v>18</v>
      </c>
      <c r="M40" s="18">
        <f t="shared" si="28"/>
        <v>2285.7142857142862</v>
      </c>
      <c r="N40" s="17">
        <f t="shared" si="3"/>
        <v>126.98412698412702</v>
      </c>
      <c r="O40" s="19">
        <f t="shared" si="4"/>
        <v>0</v>
      </c>
      <c r="P40" s="20">
        <f t="shared" si="5"/>
        <v>-6.3492063492063266</v>
      </c>
      <c r="Q40" s="358">
        <f t="shared" si="6"/>
        <v>0.95238095238095255</v>
      </c>
      <c r="R40" s="637"/>
      <c r="S40" s="40">
        <v>0.21805555555555553</v>
      </c>
      <c r="T40" s="40">
        <v>0.30555555555555552</v>
      </c>
      <c r="U40" s="359">
        <f t="shared" si="30"/>
        <v>4.9999999999999822</v>
      </c>
      <c r="V40" s="364">
        <f t="shared" si="29"/>
        <v>125.99999999999997</v>
      </c>
      <c r="W40" s="359"/>
      <c r="X40" s="359"/>
      <c r="Y40" s="359"/>
      <c r="Z40" s="359"/>
      <c r="AA40" s="632"/>
      <c r="AB40" s="632"/>
      <c r="AC40" s="25"/>
      <c r="AD40" s="25"/>
      <c r="AE40" s="19">
        <f t="shared" si="8"/>
        <v>-114.28571428571377</v>
      </c>
      <c r="AF40" s="358">
        <f t="shared" si="9"/>
        <v>0.95238095238095255</v>
      </c>
      <c r="AG40" s="637"/>
    </row>
    <row r="41" spans="1:33">
      <c r="A41" s="652" t="s">
        <v>1854</v>
      </c>
      <c r="B41" s="42" t="s">
        <v>116</v>
      </c>
      <c r="C41" s="633" t="s">
        <v>121</v>
      </c>
      <c r="D41" s="633"/>
      <c r="E41" s="42">
        <v>25.99</v>
      </c>
      <c r="F41" s="366">
        <v>4173</v>
      </c>
      <c r="G41" s="359">
        <f t="shared" si="27"/>
        <v>108456.26999999999</v>
      </c>
      <c r="H41" s="37" t="s">
        <v>91</v>
      </c>
      <c r="I41" s="363">
        <v>14</v>
      </c>
      <c r="J41" s="39">
        <v>2400</v>
      </c>
      <c r="K41" s="17">
        <f t="shared" si="1"/>
        <v>171.42857142857142</v>
      </c>
      <c r="L41" s="363">
        <v>14</v>
      </c>
      <c r="M41" s="18">
        <f t="shared" si="28"/>
        <v>2297.0642201834862</v>
      </c>
      <c r="N41" s="17">
        <f t="shared" si="3"/>
        <v>164.07601572739188</v>
      </c>
      <c r="O41" s="19">
        <f t="shared" si="4"/>
        <v>0</v>
      </c>
      <c r="P41" s="20">
        <f t="shared" si="5"/>
        <v>-7.3525557011795399</v>
      </c>
      <c r="Q41" s="358">
        <f t="shared" si="6"/>
        <v>0.95711009174311934</v>
      </c>
      <c r="R41" s="637"/>
      <c r="S41" s="40">
        <v>0.30902777777777773</v>
      </c>
      <c r="T41" s="40">
        <v>0.38472222222222219</v>
      </c>
      <c r="U41" s="359">
        <f t="shared" si="30"/>
        <v>4.9999999999999822</v>
      </c>
      <c r="V41" s="364">
        <f t="shared" si="29"/>
        <v>109.00000000000001</v>
      </c>
      <c r="W41" s="23"/>
      <c r="X41" s="23"/>
      <c r="Y41" s="23"/>
      <c r="Z41" s="23"/>
      <c r="AA41" s="632"/>
      <c r="AB41" s="632"/>
      <c r="AC41" s="25"/>
      <c r="AD41" s="25"/>
      <c r="AE41" s="19">
        <f t="shared" si="8"/>
        <v>-102.93577981651379</v>
      </c>
      <c r="AF41" s="358">
        <f t="shared" si="9"/>
        <v>0.95711009174311923</v>
      </c>
      <c r="AG41" s="637"/>
    </row>
    <row r="42" spans="1:33">
      <c r="A42" s="652" t="s">
        <v>1854</v>
      </c>
      <c r="B42" s="42" t="s">
        <v>116</v>
      </c>
      <c r="C42" s="633" t="s">
        <v>126</v>
      </c>
      <c r="D42" s="633"/>
      <c r="E42" s="42">
        <v>34.1</v>
      </c>
      <c r="F42" s="366">
        <v>3800</v>
      </c>
      <c r="G42" s="359">
        <f t="shared" si="27"/>
        <v>129580</v>
      </c>
      <c r="H42" s="37">
        <v>2</v>
      </c>
      <c r="I42" s="363">
        <v>17</v>
      </c>
      <c r="J42" s="39">
        <v>1600</v>
      </c>
      <c r="K42" s="17">
        <f t="shared" si="1"/>
        <v>94.117647058823536</v>
      </c>
      <c r="L42" s="363">
        <v>17</v>
      </c>
      <c r="M42" s="18">
        <f t="shared" si="28"/>
        <v>1530.2013422818789</v>
      </c>
      <c r="N42" s="17">
        <f t="shared" si="3"/>
        <v>90.011843663639937</v>
      </c>
      <c r="O42" s="19">
        <f t="shared" si="4"/>
        <v>0</v>
      </c>
      <c r="P42" s="20">
        <f t="shared" si="5"/>
        <v>-4.1058033951835995</v>
      </c>
      <c r="Q42" s="358">
        <f t="shared" si="6"/>
        <v>0.95637583892617428</v>
      </c>
      <c r="R42" s="637"/>
      <c r="S42" s="40">
        <v>0.3881944444444444</v>
      </c>
      <c r="T42" s="40">
        <v>0.49166666666666664</v>
      </c>
      <c r="U42" s="359">
        <f t="shared" si="30"/>
        <v>4.9999999999999822</v>
      </c>
      <c r="V42" s="364">
        <f t="shared" si="29"/>
        <v>149.00000000000003</v>
      </c>
      <c r="W42" s="23">
        <f>T42</f>
        <v>0.49166666666666664</v>
      </c>
      <c r="X42" s="23">
        <f>S43</f>
        <v>0.53055555555555556</v>
      </c>
      <c r="Y42" s="23"/>
      <c r="Z42" s="23"/>
      <c r="AA42" s="632"/>
      <c r="AB42" s="632"/>
      <c r="AC42" s="25"/>
      <c r="AD42" s="25"/>
      <c r="AE42" s="19">
        <f t="shared" si="8"/>
        <v>-69.798657718121149</v>
      </c>
      <c r="AF42" s="358">
        <f t="shared" si="9"/>
        <v>0.95637583892617428</v>
      </c>
      <c r="AG42" s="637"/>
    </row>
    <row r="43" spans="1:33">
      <c r="A43" s="652" t="s">
        <v>1854</v>
      </c>
      <c r="B43" s="42" t="s">
        <v>116</v>
      </c>
      <c r="C43" s="633" t="s">
        <v>123</v>
      </c>
      <c r="D43" s="633"/>
      <c r="E43" s="42">
        <v>26.18</v>
      </c>
      <c r="F43" s="366">
        <v>3011</v>
      </c>
      <c r="G43" s="359">
        <f t="shared" si="27"/>
        <v>78827.98</v>
      </c>
      <c r="H43" s="37" t="s">
        <v>91</v>
      </c>
      <c r="I43" s="363">
        <v>20</v>
      </c>
      <c r="J43" s="39">
        <v>2400</v>
      </c>
      <c r="K43" s="17">
        <f t="shared" si="1"/>
        <v>120</v>
      </c>
      <c r="L43" s="363">
        <v>20</v>
      </c>
      <c r="M43" s="18">
        <f t="shared" si="28"/>
        <v>2286.8354430379732</v>
      </c>
      <c r="N43" s="17">
        <f t="shared" si="3"/>
        <v>114.34177215189865</v>
      </c>
      <c r="O43" s="19">
        <f t="shared" si="4"/>
        <v>0</v>
      </c>
      <c r="P43" s="20">
        <f t="shared" si="5"/>
        <v>-5.6582278481013475</v>
      </c>
      <c r="Q43" s="358">
        <f t="shared" si="6"/>
        <v>0.95284810126582209</v>
      </c>
      <c r="R43" s="637"/>
      <c r="S43" s="40">
        <v>0.53055555555555556</v>
      </c>
      <c r="T43" s="40">
        <v>0.5854166666666667</v>
      </c>
      <c r="U43" s="359">
        <f t="shared" si="30"/>
        <v>56.000000000000043</v>
      </c>
      <c r="V43" s="364">
        <f t="shared" si="29"/>
        <v>79.000000000000043</v>
      </c>
      <c r="W43" s="23"/>
      <c r="X43" s="23"/>
      <c r="Y43" s="23"/>
      <c r="Z43" s="23"/>
      <c r="AA43" s="632"/>
      <c r="AB43" s="632"/>
      <c r="AC43" s="25"/>
      <c r="AD43" s="25"/>
      <c r="AE43" s="19">
        <f t="shared" si="8"/>
        <v>-113.16455696202684</v>
      </c>
      <c r="AF43" s="358">
        <f t="shared" si="9"/>
        <v>0.9528481012658222</v>
      </c>
      <c r="AG43" s="637"/>
    </row>
    <row r="44" spans="1:33">
      <c r="A44" s="652" t="s">
        <v>1854</v>
      </c>
      <c r="B44" s="42" t="s">
        <v>116</v>
      </c>
      <c r="C44" s="633" t="s">
        <v>119</v>
      </c>
      <c r="D44" s="633"/>
      <c r="E44" s="42">
        <v>26.18</v>
      </c>
      <c r="F44" s="366">
        <v>3859</v>
      </c>
      <c r="G44" s="359">
        <f t="shared" si="27"/>
        <v>101028.62</v>
      </c>
      <c r="H44" s="37" t="s">
        <v>91</v>
      </c>
      <c r="I44" s="363">
        <v>18</v>
      </c>
      <c r="J44" s="39">
        <v>2400</v>
      </c>
      <c r="K44" s="17">
        <f t="shared" si="1"/>
        <v>133.33333333333334</v>
      </c>
      <c r="L44" s="363">
        <v>18</v>
      </c>
      <c r="M44" s="18">
        <f t="shared" si="28"/>
        <v>2292.4752475247533</v>
      </c>
      <c r="N44" s="17">
        <f t="shared" si="3"/>
        <v>127.35973597359741</v>
      </c>
      <c r="O44" s="19">
        <f t="shared" si="4"/>
        <v>0</v>
      </c>
      <c r="P44" s="20">
        <f t="shared" si="5"/>
        <v>-5.9735973597359333</v>
      </c>
      <c r="Q44" s="358">
        <f t="shared" si="6"/>
        <v>0.95519801980198049</v>
      </c>
      <c r="R44" s="637"/>
      <c r="S44" s="40">
        <v>0.59027777777777779</v>
      </c>
      <c r="T44" s="40">
        <v>0.66041666666666665</v>
      </c>
      <c r="U44" s="359">
        <f t="shared" si="30"/>
        <v>6.9999999999999751</v>
      </c>
      <c r="V44" s="364">
        <f t="shared" si="29"/>
        <v>100.99999999999996</v>
      </c>
      <c r="W44" s="23"/>
      <c r="X44" s="23"/>
      <c r="Y44" s="26"/>
      <c r="Z44" s="26"/>
      <c r="AA44" s="627"/>
      <c r="AB44" s="628"/>
      <c r="AC44" s="25"/>
      <c r="AD44" s="25"/>
      <c r="AE44" s="19">
        <f t="shared" si="8"/>
        <v>-107.52475247524671</v>
      </c>
      <c r="AF44" s="358">
        <f t="shared" si="9"/>
        <v>0.95519801980198049</v>
      </c>
      <c r="AG44" s="637"/>
    </row>
    <row r="45" spans="1:33">
      <c r="A45" s="652" t="s">
        <v>1854</v>
      </c>
      <c r="B45" s="42" t="s">
        <v>116</v>
      </c>
      <c r="C45" s="633" t="s">
        <v>126</v>
      </c>
      <c r="D45" s="633"/>
      <c r="E45" s="42">
        <v>34.1</v>
      </c>
      <c r="F45" s="366">
        <v>3059</v>
      </c>
      <c r="G45" s="359">
        <f t="shared" si="27"/>
        <v>104311.90000000001</v>
      </c>
      <c r="H45" s="37" t="s">
        <v>91</v>
      </c>
      <c r="I45" s="363">
        <v>17</v>
      </c>
      <c r="J45" s="39">
        <v>1600</v>
      </c>
      <c r="K45" s="17">
        <f t="shared" si="1"/>
        <v>94.117647058823536</v>
      </c>
      <c r="L45" s="363">
        <v>17</v>
      </c>
      <c r="M45" s="18">
        <f t="shared" si="28"/>
        <v>1529.4999999999991</v>
      </c>
      <c r="N45" s="17">
        <f t="shared" si="3"/>
        <v>89.970588235294059</v>
      </c>
      <c r="O45" s="19">
        <f t="shared" si="4"/>
        <v>0</v>
      </c>
      <c r="P45" s="20">
        <f t="shared" si="5"/>
        <v>-4.147058823529477</v>
      </c>
      <c r="Q45" s="358">
        <f t="shared" si="6"/>
        <v>0.95593749999999933</v>
      </c>
      <c r="R45" s="637"/>
      <c r="S45" s="40">
        <v>0.66597222222222219</v>
      </c>
      <c r="T45" s="40">
        <v>0.74930555555555556</v>
      </c>
      <c r="U45" s="359">
        <f t="shared" si="30"/>
        <v>7.9999999999999716</v>
      </c>
      <c r="V45" s="364">
        <f t="shared" si="29"/>
        <v>120.00000000000006</v>
      </c>
      <c r="W45" s="23"/>
      <c r="X45" s="23"/>
      <c r="Y45" s="26"/>
      <c r="Z45" s="26"/>
      <c r="AA45" s="627"/>
      <c r="AB45" s="628"/>
      <c r="AC45" s="25"/>
      <c r="AD45" s="25"/>
      <c r="AE45" s="19">
        <f t="shared" si="8"/>
        <v>-70.500000000000909</v>
      </c>
      <c r="AF45" s="358">
        <f t="shared" si="9"/>
        <v>0.95593749999999944</v>
      </c>
      <c r="AG45" s="637"/>
    </row>
    <row r="46" spans="1:33">
      <c r="A46" s="652" t="s">
        <v>1854</v>
      </c>
      <c r="B46" s="44" t="s">
        <v>1850</v>
      </c>
      <c r="C46" s="638"/>
      <c r="D46" s="638"/>
      <c r="E46" s="360"/>
      <c r="F46" s="44"/>
      <c r="G46" s="17"/>
      <c r="H46" s="366"/>
      <c r="I46" s="29">
        <v>17.625</v>
      </c>
      <c r="J46" s="39">
        <v>2200</v>
      </c>
      <c r="K46" s="17">
        <f t="shared" si="1"/>
        <v>124.822695035461</v>
      </c>
      <c r="L46" s="29">
        <v>17.625</v>
      </c>
      <c r="M46" s="18">
        <f>AVERAGE(M38:M45)</f>
        <v>2101.0448164177274</v>
      </c>
      <c r="N46" s="17">
        <f t="shared" si="3"/>
        <v>119.20821653433914</v>
      </c>
      <c r="O46" s="19">
        <f t="shared" si="4"/>
        <v>0</v>
      </c>
      <c r="P46" s="20">
        <f t="shared" si="5"/>
        <v>-5.6144785011218517</v>
      </c>
      <c r="Q46" s="358">
        <f t="shared" si="6"/>
        <v>0.95502037109896698</v>
      </c>
      <c r="R46" s="637"/>
      <c r="S46" s="40"/>
      <c r="T46" s="40"/>
      <c r="U46" s="17"/>
      <c r="V46" s="364"/>
      <c r="W46" s="17"/>
      <c r="X46" s="17"/>
      <c r="Y46" s="30">
        <f>SUM(Y38:Y45)</f>
        <v>0</v>
      </c>
      <c r="Z46" s="30">
        <f>SUM(Z38:Z45)</f>
        <v>0</v>
      </c>
      <c r="AA46" s="631"/>
      <c r="AB46" s="631"/>
      <c r="AC46" s="30">
        <v>8</v>
      </c>
      <c r="AD46" s="30">
        <f>SUM(AD38:AD45)</f>
        <v>0</v>
      </c>
      <c r="AE46" s="19">
        <f t="shared" si="8"/>
        <v>-98.955183582272639</v>
      </c>
      <c r="AF46" s="358">
        <f t="shared" si="9"/>
        <v>0.95502037109896698</v>
      </c>
      <c r="AG46" s="637"/>
    </row>
    <row r="47" spans="1:33" ht="15.75" customHeight="1">
      <c r="A47" s="648" t="s">
        <v>1855</v>
      </c>
      <c r="B47" s="42" t="s">
        <v>127</v>
      </c>
      <c r="C47" s="625" t="s">
        <v>128</v>
      </c>
      <c r="D47" s="626"/>
      <c r="E47" s="42">
        <v>21.13</v>
      </c>
      <c r="F47" s="366">
        <v>6103</v>
      </c>
      <c r="G47" s="359">
        <f t="shared" ref="G47:G51" si="31">E47*F47</f>
        <v>128956.39</v>
      </c>
      <c r="H47" s="37" t="s">
        <v>91</v>
      </c>
      <c r="I47" s="363">
        <v>10</v>
      </c>
      <c r="J47" s="39">
        <v>3000</v>
      </c>
      <c r="K47" s="17">
        <f t="shared" si="1"/>
        <v>300</v>
      </c>
      <c r="L47" s="363">
        <v>10</v>
      </c>
      <c r="M47" s="18">
        <f t="shared" ref="M47:M51" si="32">F47/V47*60</f>
        <v>2860.7812500000005</v>
      </c>
      <c r="N47" s="18">
        <f t="shared" si="3"/>
        <v>286.07812500000006</v>
      </c>
      <c r="O47" s="19">
        <f t="shared" si="4"/>
        <v>0</v>
      </c>
      <c r="P47" s="20">
        <f t="shared" si="5"/>
        <v>-13.921874999999943</v>
      </c>
      <c r="Q47" s="358">
        <f t="shared" si="6"/>
        <v>0.95359375000000024</v>
      </c>
      <c r="R47" s="643">
        <f>Q52</f>
        <v>0.95930311634907151</v>
      </c>
      <c r="S47" s="40">
        <v>0.20833333333333334</v>
      </c>
      <c r="T47" s="40">
        <v>0.29722222222222222</v>
      </c>
      <c r="U47" s="28"/>
      <c r="V47" s="364">
        <f t="shared" ref="V47:V51" si="33">(T47-S47)*24*60</f>
        <v>127.99999999999997</v>
      </c>
      <c r="W47" s="23"/>
      <c r="X47" s="23"/>
      <c r="Y47" s="26"/>
      <c r="Z47" s="26"/>
      <c r="AA47" s="627"/>
      <c r="AB47" s="628"/>
      <c r="AC47" s="25">
        <v>5</v>
      </c>
      <c r="AD47" s="25"/>
      <c r="AE47" s="19">
        <f t="shared" si="8"/>
        <v>-139.21874999999955</v>
      </c>
      <c r="AF47" s="358">
        <f t="shared" si="9"/>
        <v>0.95359375000000013</v>
      </c>
      <c r="AG47" s="643">
        <f>AF52</f>
        <v>0.95930311634907151</v>
      </c>
    </row>
    <row r="48" spans="1:33" ht="15.75" customHeight="1">
      <c r="A48" s="649" t="s">
        <v>1855</v>
      </c>
      <c r="B48" s="42" t="s">
        <v>127</v>
      </c>
      <c r="C48" s="625" t="s">
        <v>129</v>
      </c>
      <c r="D48" s="626"/>
      <c r="E48" s="42">
        <v>27.17</v>
      </c>
      <c r="F48" s="366">
        <v>5255</v>
      </c>
      <c r="G48" s="359">
        <f t="shared" si="31"/>
        <v>142778.35</v>
      </c>
      <c r="H48" s="37" t="s">
        <v>91</v>
      </c>
      <c r="I48" s="363">
        <v>10</v>
      </c>
      <c r="J48" s="39">
        <v>3000</v>
      </c>
      <c r="K48" s="17">
        <f t="shared" si="1"/>
        <v>300</v>
      </c>
      <c r="L48" s="363">
        <v>10</v>
      </c>
      <c r="M48" s="18">
        <f t="shared" si="32"/>
        <v>2866.363636363636</v>
      </c>
      <c r="N48" s="18">
        <f t="shared" si="3"/>
        <v>286.63636363636363</v>
      </c>
      <c r="O48" s="19">
        <f t="shared" si="4"/>
        <v>0</v>
      </c>
      <c r="P48" s="20">
        <f t="shared" si="5"/>
        <v>-13.363636363636374</v>
      </c>
      <c r="Q48" s="358">
        <f t="shared" si="6"/>
        <v>0.95545454545454545</v>
      </c>
      <c r="R48" s="644"/>
      <c r="S48" s="40">
        <v>0.30138888888888887</v>
      </c>
      <c r="T48" s="40">
        <v>0.37777777777777777</v>
      </c>
      <c r="U48" s="359">
        <f t="shared" ref="U48:U51" si="34">(S48-T47)*24*60</f>
        <v>5.9999999999999787</v>
      </c>
      <c r="V48" s="364">
        <f t="shared" si="33"/>
        <v>110.00000000000001</v>
      </c>
      <c r="W48" s="23"/>
      <c r="X48" s="23"/>
      <c r="Y48" s="26"/>
      <c r="Z48" s="26"/>
      <c r="AA48" s="627"/>
      <c r="AB48" s="628"/>
      <c r="AC48" s="25"/>
      <c r="AD48" s="25"/>
      <c r="AE48" s="19">
        <f t="shared" si="8"/>
        <v>-133.63636363636397</v>
      </c>
      <c r="AF48" s="358">
        <f t="shared" si="9"/>
        <v>0.95545454545454533</v>
      </c>
      <c r="AG48" s="644"/>
    </row>
    <row r="49" spans="1:33" ht="15.75" customHeight="1">
      <c r="A49" s="649" t="s">
        <v>1855</v>
      </c>
      <c r="B49" s="42" t="s">
        <v>127</v>
      </c>
      <c r="C49" s="625" t="s">
        <v>144</v>
      </c>
      <c r="D49" s="626"/>
      <c r="E49" s="42">
        <v>35.869999999999997</v>
      </c>
      <c r="F49" s="366">
        <v>3551</v>
      </c>
      <c r="G49" s="359">
        <f t="shared" si="31"/>
        <v>127374.37</v>
      </c>
      <c r="H49" s="37" t="s">
        <v>91</v>
      </c>
      <c r="I49" s="363">
        <v>10</v>
      </c>
      <c r="J49" s="39">
        <v>3000</v>
      </c>
      <c r="K49" s="17">
        <f t="shared" si="1"/>
        <v>300</v>
      </c>
      <c r="L49" s="363">
        <v>10</v>
      </c>
      <c r="M49" s="18">
        <f t="shared" si="32"/>
        <v>2879.1891891891905</v>
      </c>
      <c r="N49" s="18">
        <f t="shared" si="3"/>
        <v>287.91891891891908</v>
      </c>
      <c r="O49" s="19">
        <f t="shared" si="4"/>
        <v>0</v>
      </c>
      <c r="P49" s="20">
        <f t="shared" si="5"/>
        <v>-12.081081081080924</v>
      </c>
      <c r="Q49" s="358">
        <f t="shared" si="6"/>
        <v>0.95972972972973025</v>
      </c>
      <c r="R49" s="644"/>
      <c r="S49" s="40">
        <v>0.38194444444444442</v>
      </c>
      <c r="T49" s="40">
        <v>0.43333333333333329</v>
      </c>
      <c r="U49" s="359">
        <f t="shared" si="34"/>
        <v>5.9999999999999787</v>
      </c>
      <c r="V49" s="364">
        <f t="shared" si="33"/>
        <v>73.999999999999972</v>
      </c>
      <c r="W49" s="23"/>
      <c r="X49" s="23"/>
      <c r="Y49" s="26"/>
      <c r="Z49" s="26"/>
      <c r="AA49" s="627"/>
      <c r="AB49" s="628"/>
      <c r="AC49" s="25"/>
      <c r="AD49" s="25"/>
      <c r="AE49" s="19">
        <f t="shared" si="8"/>
        <v>-120.81081081080947</v>
      </c>
      <c r="AF49" s="358">
        <f t="shared" si="9"/>
        <v>0.95972972972973014</v>
      </c>
      <c r="AG49" s="644"/>
    </row>
    <row r="50" spans="1:33" ht="15.75" customHeight="1">
      <c r="A50" s="649" t="s">
        <v>1855</v>
      </c>
      <c r="B50" s="42" t="s">
        <v>127</v>
      </c>
      <c r="C50" s="625" t="s">
        <v>131</v>
      </c>
      <c r="D50" s="626"/>
      <c r="E50" s="42">
        <v>34.35</v>
      </c>
      <c r="F50" s="366">
        <v>634</v>
      </c>
      <c r="G50" s="359">
        <f t="shared" si="31"/>
        <v>21777.9</v>
      </c>
      <c r="H50" s="37" t="s">
        <v>91</v>
      </c>
      <c r="I50" s="363">
        <v>8</v>
      </c>
      <c r="J50" s="39">
        <v>3000</v>
      </c>
      <c r="K50" s="17">
        <f t="shared" si="1"/>
        <v>375</v>
      </c>
      <c r="L50" s="363">
        <v>8</v>
      </c>
      <c r="M50" s="18">
        <f t="shared" si="32"/>
        <v>2926.1538461538389</v>
      </c>
      <c r="N50" s="18">
        <f t="shared" si="3"/>
        <v>365.76923076922986</v>
      </c>
      <c r="O50" s="19">
        <f t="shared" si="4"/>
        <v>0</v>
      </c>
      <c r="P50" s="20">
        <f t="shared" si="5"/>
        <v>-9.2307692307701359</v>
      </c>
      <c r="Q50" s="358">
        <f t="shared" si="6"/>
        <v>0.97538461538461296</v>
      </c>
      <c r="R50" s="644"/>
      <c r="S50" s="40">
        <v>0.43888888888888883</v>
      </c>
      <c r="T50" s="40">
        <v>0.44791666666666663</v>
      </c>
      <c r="U50" s="359">
        <f t="shared" si="34"/>
        <v>7.9999999999999716</v>
      </c>
      <c r="V50" s="364">
        <f t="shared" si="33"/>
        <v>13.000000000000034</v>
      </c>
      <c r="W50" s="23"/>
      <c r="X50" s="23"/>
      <c r="Y50" s="26"/>
      <c r="Z50" s="26"/>
      <c r="AA50" s="627"/>
      <c r="AB50" s="628"/>
      <c r="AC50" s="25"/>
      <c r="AD50" s="25"/>
      <c r="AE50" s="19">
        <f t="shared" si="8"/>
        <v>-73.846153846161087</v>
      </c>
      <c r="AF50" s="358">
        <f t="shared" si="9"/>
        <v>0.97538461538461296</v>
      </c>
      <c r="AG50" s="644"/>
    </row>
    <row r="51" spans="1:33" ht="15.75" customHeight="1">
      <c r="A51" s="649" t="s">
        <v>1855</v>
      </c>
      <c r="B51" s="42" t="s">
        <v>127</v>
      </c>
      <c r="C51" s="625" t="s">
        <v>130</v>
      </c>
      <c r="D51" s="626"/>
      <c r="E51" s="42">
        <v>35.869999999999997</v>
      </c>
      <c r="F51" s="366">
        <v>1619</v>
      </c>
      <c r="G51" s="359">
        <f t="shared" si="31"/>
        <v>58073.53</v>
      </c>
      <c r="H51" s="37" t="s">
        <v>91</v>
      </c>
      <c r="I51" s="363">
        <v>9</v>
      </c>
      <c r="J51" s="39">
        <v>3000</v>
      </c>
      <c r="K51" s="17">
        <f t="shared" si="1"/>
        <v>333.33333333333331</v>
      </c>
      <c r="L51" s="363">
        <v>9</v>
      </c>
      <c r="M51" s="18">
        <f t="shared" si="32"/>
        <v>2857.0588235294085</v>
      </c>
      <c r="N51" s="18">
        <f t="shared" si="3"/>
        <v>317.45098039215651</v>
      </c>
      <c r="O51" s="19">
        <f t="shared" si="4"/>
        <v>0</v>
      </c>
      <c r="P51" s="20">
        <f t="shared" si="5"/>
        <v>-15.882352941176805</v>
      </c>
      <c r="Q51" s="358">
        <f t="shared" si="6"/>
        <v>0.95235294117646963</v>
      </c>
      <c r="R51" s="644"/>
      <c r="S51" s="40">
        <v>0.45277777777777772</v>
      </c>
      <c r="T51" s="40">
        <v>0.47638888888888886</v>
      </c>
      <c r="U51" s="359">
        <f t="shared" si="34"/>
        <v>6.9999999999999751</v>
      </c>
      <c r="V51" s="364">
        <f t="shared" si="33"/>
        <v>34.000000000000043</v>
      </c>
      <c r="W51" s="23"/>
      <c r="X51" s="23"/>
      <c r="Y51" s="26"/>
      <c r="Z51" s="26"/>
      <c r="AA51" s="627"/>
      <c r="AB51" s="628"/>
      <c r="AC51" s="25"/>
      <c r="AD51" s="25"/>
      <c r="AE51" s="19">
        <f t="shared" si="8"/>
        <v>-142.94117647059147</v>
      </c>
      <c r="AF51" s="358">
        <f t="shared" si="9"/>
        <v>0.95235294117646951</v>
      </c>
      <c r="AG51" s="644"/>
    </row>
    <row r="52" spans="1:33" ht="15.75" customHeight="1">
      <c r="A52" s="650" t="s">
        <v>1855</v>
      </c>
      <c r="B52" s="42" t="s">
        <v>1850</v>
      </c>
      <c r="C52" s="629"/>
      <c r="D52" s="630"/>
      <c r="E52" s="356"/>
      <c r="F52" s="366"/>
      <c r="G52" s="359"/>
      <c r="H52" s="366"/>
      <c r="I52" s="29">
        <v>9.4</v>
      </c>
      <c r="J52" s="39">
        <v>3000</v>
      </c>
      <c r="K52" s="17">
        <f t="shared" si="1"/>
        <v>319.14893617021278</v>
      </c>
      <c r="L52" s="29">
        <v>9.4</v>
      </c>
      <c r="M52" s="18">
        <f>AVERAGE(M47:M51)</f>
        <v>2877.9093490472146</v>
      </c>
      <c r="N52" s="17">
        <f t="shared" si="3"/>
        <v>306.16056904757602</v>
      </c>
      <c r="O52" s="19">
        <f t="shared" si="4"/>
        <v>0</v>
      </c>
      <c r="P52" s="20">
        <f t="shared" si="5"/>
        <v>-12.98836712263676</v>
      </c>
      <c r="Q52" s="358">
        <f t="shared" si="6"/>
        <v>0.95930311634907151</v>
      </c>
      <c r="R52" s="645"/>
      <c r="S52" s="40"/>
      <c r="T52" s="40"/>
      <c r="U52" s="359"/>
      <c r="V52" s="364"/>
      <c r="W52" s="23"/>
      <c r="X52" s="23"/>
      <c r="Y52" s="30">
        <f>SUM(Y47:Y51)</f>
        <v>0</v>
      </c>
      <c r="Z52" s="30">
        <f>SUM(Z47:Z51)</f>
        <v>0</v>
      </c>
      <c r="AA52" s="646"/>
      <c r="AB52" s="647"/>
      <c r="AC52" s="30">
        <v>5</v>
      </c>
      <c r="AD52" s="30">
        <f>SUM(AD47:AD51)</f>
        <v>0</v>
      </c>
      <c r="AE52" s="19">
        <f t="shared" si="8"/>
        <v>-122.09065095278538</v>
      </c>
      <c r="AF52" s="358">
        <f t="shared" si="9"/>
        <v>0.95930311634907151</v>
      </c>
      <c r="AG52" s="645"/>
    </row>
    <row r="53" spans="1:33" ht="15.75" customHeight="1">
      <c r="A53" s="641" t="s">
        <v>519</v>
      </c>
      <c r="B53" s="42" t="s">
        <v>92</v>
      </c>
      <c r="C53" s="633" t="s">
        <v>133</v>
      </c>
      <c r="D53" s="633"/>
      <c r="E53" s="42">
        <v>59.04</v>
      </c>
      <c r="F53" s="48">
        <v>1420</v>
      </c>
      <c r="G53" s="359">
        <f t="shared" ref="G53:G59" si="35">E53*F53</f>
        <v>83836.800000000003</v>
      </c>
      <c r="H53" s="37" t="s">
        <v>91</v>
      </c>
      <c r="I53" s="363">
        <v>19</v>
      </c>
      <c r="J53" s="39">
        <v>2000</v>
      </c>
      <c r="K53" s="17">
        <f t="shared" si="1"/>
        <v>105.26315789473684</v>
      </c>
      <c r="L53" s="363">
        <v>19</v>
      </c>
      <c r="M53" s="18">
        <f t="shared" ref="M53" si="36">F53/V53*60</f>
        <v>1936.3636363636365</v>
      </c>
      <c r="N53" s="18">
        <f t="shared" si="3"/>
        <v>101.91387559808614</v>
      </c>
      <c r="O53" s="19">
        <f t="shared" si="4"/>
        <v>0</v>
      </c>
      <c r="P53" s="20">
        <f t="shared" si="5"/>
        <v>-3.3492822966506992</v>
      </c>
      <c r="Q53" s="358">
        <f t="shared" si="6"/>
        <v>0.96818181818181837</v>
      </c>
      <c r="R53" s="637">
        <f>Q60</f>
        <v>0.96075180298849339</v>
      </c>
      <c r="S53" s="40">
        <v>0.20833333333333334</v>
      </c>
      <c r="T53" s="40">
        <v>0.2388888888888889</v>
      </c>
      <c r="U53" s="28"/>
      <c r="V53" s="364">
        <f t="shared" ref="V53:V59" si="37">(T53-S53)*24*60</f>
        <v>44</v>
      </c>
      <c r="W53" s="23"/>
      <c r="X53" s="23"/>
      <c r="Y53" s="28"/>
      <c r="Z53" s="28"/>
      <c r="AA53" s="632"/>
      <c r="AB53" s="632"/>
      <c r="AC53" s="25">
        <v>7</v>
      </c>
      <c r="AD53" s="25"/>
      <c r="AE53" s="19">
        <f t="shared" si="8"/>
        <v>-63.636363636363512</v>
      </c>
      <c r="AF53" s="358">
        <f t="shared" si="9"/>
        <v>0.96818181818181825</v>
      </c>
      <c r="AG53" s="637">
        <f>AF60</f>
        <v>0.96075180298849339</v>
      </c>
    </row>
    <row r="54" spans="1:33" ht="15.75" customHeight="1">
      <c r="A54" s="641" t="s">
        <v>519</v>
      </c>
      <c r="B54" s="42" t="s">
        <v>103</v>
      </c>
      <c r="C54" s="633" t="s">
        <v>132</v>
      </c>
      <c r="D54" s="633"/>
      <c r="E54" s="42">
        <v>51.44</v>
      </c>
      <c r="F54" s="48">
        <v>4131</v>
      </c>
      <c r="G54" s="359">
        <f t="shared" si="35"/>
        <v>212498.63999999998</v>
      </c>
      <c r="H54" s="37" t="s">
        <v>91</v>
      </c>
      <c r="I54" s="363">
        <v>18</v>
      </c>
      <c r="J54" s="39">
        <v>2000</v>
      </c>
      <c r="K54" s="17">
        <f t="shared" si="1"/>
        <v>111.11111111111111</v>
      </c>
      <c r="L54" s="363">
        <v>18</v>
      </c>
      <c r="M54" s="18">
        <f>F54/V54*60</f>
        <v>1906.6153846153841</v>
      </c>
      <c r="N54" s="18">
        <f t="shared" si="3"/>
        <v>105.92307692307689</v>
      </c>
      <c r="O54" s="19">
        <f t="shared" si="4"/>
        <v>0</v>
      </c>
      <c r="P54" s="20">
        <f t="shared" si="5"/>
        <v>-5.1880341880342229</v>
      </c>
      <c r="Q54" s="358">
        <f t="shared" si="6"/>
        <v>0.95330769230769197</v>
      </c>
      <c r="R54" s="637"/>
      <c r="S54" s="40">
        <v>0.24444444444444446</v>
      </c>
      <c r="T54" s="40">
        <v>0.33472222222222225</v>
      </c>
      <c r="U54" s="359">
        <f t="shared" ref="U54:U59" si="38">IF(S54=TIME(17,0,0),"",(S54-T53)*24*60)</f>
        <v>8.0000000000000107</v>
      </c>
      <c r="V54" s="364">
        <f t="shared" si="37"/>
        <v>130.00000000000003</v>
      </c>
      <c r="W54" s="23"/>
      <c r="X54" s="23"/>
      <c r="Y54" s="23"/>
      <c r="Z54" s="23"/>
      <c r="AA54" s="632"/>
      <c r="AB54" s="632"/>
      <c r="AC54" s="25"/>
      <c r="AD54" s="25"/>
      <c r="AE54" s="19">
        <f t="shared" si="8"/>
        <v>-93.384615384615927</v>
      </c>
      <c r="AF54" s="358">
        <f t="shared" si="9"/>
        <v>0.95330769230769208</v>
      </c>
      <c r="AG54" s="637"/>
    </row>
    <row r="55" spans="1:33" ht="15.75" customHeight="1">
      <c r="A55" s="641" t="s">
        <v>519</v>
      </c>
      <c r="B55" s="42" t="s">
        <v>92</v>
      </c>
      <c r="C55" s="625" t="s">
        <v>135</v>
      </c>
      <c r="D55" s="626"/>
      <c r="E55" s="42">
        <v>51.44</v>
      </c>
      <c r="F55" s="48">
        <v>1747</v>
      </c>
      <c r="G55" s="359">
        <f t="shared" si="35"/>
        <v>89865.68</v>
      </c>
      <c r="H55" s="37" t="s">
        <v>91</v>
      </c>
      <c r="I55" s="363">
        <v>25</v>
      </c>
      <c r="J55" s="39">
        <v>2000</v>
      </c>
      <c r="K55" s="17">
        <f t="shared" si="1"/>
        <v>80</v>
      </c>
      <c r="L55" s="363">
        <v>25</v>
      </c>
      <c r="M55" s="18">
        <f t="shared" ref="M55:M59" si="39">F55/V55*60</f>
        <v>1905.8181818181829</v>
      </c>
      <c r="N55" s="18">
        <f t="shared" si="3"/>
        <v>76.232727272727317</v>
      </c>
      <c r="O55" s="19">
        <f t="shared" si="4"/>
        <v>0</v>
      </c>
      <c r="P55" s="20">
        <f t="shared" si="5"/>
        <v>-3.7672727272726831</v>
      </c>
      <c r="Q55" s="358">
        <f t="shared" si="6"/>
        <v>0.95290909090909148</v>
      </c>
      <c r="R55" s="637"/>
      <c r="S55" s="40">
        <v>0.33819444444444446</v>
      </c>
      <c r="T55" s="40">
        <v>0.37638888888888888</v>
      </c>
      <c r="U55" s="359">
        <f t="shared" si="38"/>
        <v>4.9999999999999822</v>
      </c>
      <c r="V55" s="364">
        <f t="shared" si="37"/>
        <v>54.999999999999964</v>
      </c>
      <c r="W55" s="23"/>
      <c r="X55" s="23"/>
      <c r="Y55" s="26"/>
      <c r="Z55" s="26"/>
      <c r="AA55" s="632"/>
      <c r="AB55" s="632"/>
      <c r="AC55" s="25"/>
      <c r="AD55" s="25"/>
      <c r="AE55" s="19">
        <f t="shared" si="8"/>
        <v>-94.181818181817107</v>
      </c>
      <c r="AF55" s="358">
        <f t="shared" si="9"/>
        <v>0.95290909090909148</v>
      </c>
      <c r="AG55" s="637"/>
    </row>
    <row r="56" spans="1:33" ht="15.75" customHeight="1">
      <c r="A56" s="641" t="s">
        <v>519</v>
      </c>
      <c r="B56" s="42" t="s">
        <v>96</v>
      </c>
      <c r="C56" s="352" t="s">
        <v>136</v>
      </c>
      <c r="D56" s="353"/>
      <c r="E56" s="42">
        <v>46</v>
      </c>
      <c r="F56" s="48">
        <v>1546</v>
      </c>
      <c r="G56" s="359">
        <f t="shared" si="35"/>
        <v>71116</v>
      </c>
      <c r="H56" s="37" t="s">
        <v>91</v>
      </c>
      <c r="I56" s="363">
        <v>16</v>
      </c>
      <c r="J56" s="39">
        <v>2000</v>
      </c>
      <c r="K56" s="17">
        <f t="shared" si="1"/>
        <v>125</v>
      </c>
      <c r="L56" s="363">
        <v>16</v>
      </c>
      <c r="M56" s="18">
        <f t="shared" si="39"/>
        <v>1932.5000000000005</v>
      </c>
      <c r="N56" s="18">
        <f t="shared" si="3"/>
        <v>120.78125000000003</v>
      </c>
      <c r="O56" s="19">
        <f t="shared" si="4"/>
        <v>0</v>
      </c>
      <c r="P56" s="20">
        <f t="shared" si="5"/>
        <v>-4.2187499999999716</v>
      </c>
      <c r="Q56" s="358">
        <f t="shared" si="6"/>
        <v>0.96625000000000028</v>
      </c>
      <c r="R56" s="637"/>
      <c r="S56" s="40">
        <v>0.38194444444444442</v>
      </c>
      <c r="T56" s="40">
        <v>0.41527777777777775</v>
      </c>
      <c r="U56" s="359">
        <f t="shared" si="38"/>
        <v>7.9999999999999716</v>
      </c>
      <c r="V56" s="364">
        <f t="shared" si="37"/>
        <v>47.999999999999986</v>
      </c>
      <c r="W56" s="23"/>
      <c r="X56" s="23"/>
      <c r="Y56" s="26"/>
      <c r="Z56" s="26"/>
      <c r="AA56" s="632"/>
      <c r="AB56" s="632"/>
      <c r="AC56" s="25"/>
      <c r="AD56" s="25"/>
      <c r="AE56" s="19">
        <f t="shared" si="8"/>
        <v>-67.499999999999545</v>
      </c>
      <c r="AF56" s="358">
        <f t="shared" si="9"/>
        <v>0.96625000000000028</v>
      </c>
      <c r="AG56" s="637"/>
    </row>
    <row r="57" spans="1:33" ht="15.75" customHeight="1">
      <c r="A57" s="641" t="s">
        <v>519</v>
      </c>
      <c r="B57" s="42" t="s">
        <v>96</v>
      </c>
      <c r="C57" s="352" t="s">
        <v>137</v>
      </c>
      <c r="D57" s="353"/>
      <c r="E57" s="42">
        <v>46</v>
      </c>
      <c r="F57" s="48">
        <v>1580</v>
      </c>
      <c r="G57" s="359">
        <f t="shared" si="35"/>
        <v>72680</v>
      </c>
      <c r="H57" s="37" t="s">
        <v>91</v>
      </c>
      <c r="I57" s="363">
        <v>17</v>
      </c>
      <c r="J57" s="39">
        <v>2000</v>
      </c>
      <c r="K57" s="17">
        <f t="shared" si="1"/>
        <v>117.64705882352941</v>
      </c>
      <c r="L57" s="363">
        <v>17</v>
      </c>
      <c r="M57" s="18">
        <f t="shared" si="39"/>
        <v>1934.6938775510209</v>
      </c>
      <c r="N57" s="18">
        <f t="shared" si="3"/>
        <v>113.80552220888359</v>
      </c>
      <c r="O57" s="19">
        <f t="shared" si="4"/>
        <v>0</v>
      </c>
      <c r="P57" s="20">
        <f t="shared" si="5"/>
        <v>-3.8415366146458183</v>
      </c>
      <c r="Q57" s="358">
        <f t="shared" si="6"/>
        <v>0.96734693877551059</v>
      </c>
      <c r="R57" s="637"/>
      <c r="S57" s="40">
        <v>0.4194444444444444</v>
      </c>
      <c r="T57" s="40">
        <v>0.45347222222222217</v>
      </c>
      <c r="U57" s="359">
        <f t="shared" si="38"/>
        <v>5.9999999999999787</v>
      </c>
      <c r="V57" s="364">
        <f t="shared" si="37"/>
        <v>48.999999999999986</v>
      </c>
      <c r="W57" s="23"/>
      <c r="X57" s="23"/>
      <c r="Y57" s="26"/>
      <c r="Z57" s="26"/>
      <c r="AA57" s="632"/>
      <c r="AB57" s="632"/>
      <c r="AC57" s="25"/>
      <c r="AD57" s="25"/>
      <c r="AE57" s="19">
        <f t="shared" si="8"/>
        <v>-65.306122448979067</v>
      </c>
      <c r="AF57" s="358">
        <f t="shared" si="9"/>
        <v>0.96734693877551048</v>
      </c>
      <c r="AG57" s="637"/>
    </row>
    <row r="58" spans="1:33" ht="15.75" customHeight="1">
      <c r="A58" s="641" t="s">
        <v>519</v>
      </c>
      <c r="B58" s="42" t="s">
        <v>92</v>
      </c>
      <c r="C58" s="625" t="s">
        <v>138</v>
      </c>
      <c r="D58" s="626"/>
      <c r="E58" s="42">
        <v>55.56</v>
      </c>
      <c r="F58" s="48">
        <v>2940</v>
      </c>
      <c r="G58" s="359">
        <f t="shared" si="35"/>
        <v>163346.4</v>
      </c>
      <c r="H58" s="37" t="s">
        <v>91</v>
      </c>
      <c r="I58" s="363">
        <v>17</v>
      </c>
      <c r="J58" s="39">
        <v>2000</v>
      </c>
      <c r="K58" s="17">
        <f t="shared" si="1"/>
        <v>117.64705882352941</v>
      </c>
      <c r="L58" s="363">
        <v>17</v>
      </c>
      <c r="M58" s="18">
        <f t="shared" si="39"/>
        <v>1917.391304347826</v>
      </c>
      <c r="N58" s="18">
        <f t="shared" si="3"/>
        <v>112.78772378516624</v>
      </c>
      <c r="O58" s="19">
        <f t="shared" si="4"/>
        <v>0</v>
      </c>
      <c r="P58" s="20">
        <f t="shared" si="5"/>
        <v>-4.8593350383631702</v>
      </c>
      <c r="Q58" s="358">
        <f t="shared" si="6"/>
        <v>0.95869565217391306</v>
      </c>
      <c r="R58" s="637"/>
      <c r="S58" s="40">
        <v>0.70833333333333337</v>
      </c>
      <c r="T58" s="40">
        <v>0.77222222222222225</v>
      </c>
      <c r="U58" s="359" t="str">
        <f t="shared" si="38"/>
        <v/>
      </c>
      <c r="V58" s="364">
        <f t="shared" si="37"/>
        <v>92</v>
      </c>
      <c r="W58" s="23"/>
      <c r="X58" s="23"/>
      <c r="Y58" s="26"/>
      <c r="Z58" s="26"/>
      <c r="AA58" s="627"/>
      <c r="AB58" s="628"/>
      <c r="AC58" s="25"/>
      <c r="AD58" s="25"/>
      <c r="AE58" s="19">
        <f t="shared" si="8"/>
        <v>-82.608695652173992</v>
      </c>
      <c r="AF58" s="358">
        <f t="shared" si="9"/>
        <v>0.95869565217391295</v>
      </c>
      <c r="AG58" s="637"/>
    </row>
    <row r="59" spans="1:33" ht="15.75" customHeight="1">
      <c r="A59" s="641" t="s">
        <v>519</v>
      </c>
      <c r="B59" s="42" t="s">
        <v>92</v>
      </c>
      <c r="C59" s="625" t="s">
        <v>420</v>
      </c>
      <c r="D59" s="626"/>
      <c r="E59" s="42">
        <v>58.17</v>
      </c>
      <c r="F59" s="48">
        <v>2684</v>
      </c>
      <c r="G59" s="359">
        <f t="shared" si="35"/>
        <v>156128.28</v>
      </c>
      <c r="H59" s="37" t="s">
        <v>91</v>
      </c>
      <c r="I59" s="363">
        <v>13</v>
      </c>
      <c r="J59" s="39">
        <v>2000</v>
      </c>
      <c r="K59" s="17">
        <f t="shared" si="1"/>
        <v>153.84615384615384</v>
      </c>
      <c r="L59" s="363">
        <v>13</v>
      </c>
      <c r="M59" s="18">
        <f t="shared" si="39"/>
        <v>1917.1428571428564</v>
      </c>
      <c r="N59" s="18">
        <f t="shared" si="3"/>
        <v>147.47252747252742</v>
      </c>
      <c r="O59" s="19">
        <f t="shared" si="4"/>
        <v>0</v>
      </c>
      <c r="P59" s="20">
        <f t="shared" si="5"/>
        <v>-6.373626373626422</v>
      </c>
      <c r="Q59" s="358">
        <f t="shared" si="6"/>
        <v>0.9585714285714283</v>
      </c>
      <c r="R59" s="637"/>
      <c r="S59" s="40">
        <v>0.77569444444444446</v>
      </c>
      <c r="T59" s="40">
        <v>0.83402777777777781</v>
      </c>
      <c r="U59" s="359">
        <f t="shared" si="38"/>
        <v>4.9999999999999822</v>
      </c>
      <c r="V59" s="364">
        <f t="shared" si="37"/>
        <v>84.000000000000028</v>
      </c>
      <c r="W59" s="23"/>
      <c r="X59" s="23"/>
      <c r="Y59" s="26"/>
      <c r="Z59" s="26"/>
      <c r="AA59" s="627"/>
      <c r="AB59" s="628"/>
      <c r="AC59" s="25"/>
      <c r="AD59" s="25"/>
      <c r="AE59" s="19">
        <f t="shared" si="8"/>
        <v>-82.857142857143572</v>
      </c>
      <c r="AF59" s="358">
        <f t="shared" si="9"/>
        <v>0.95857142857142819</v>
      </c>
      <c r="AG59" s="637"/>
    </row>
    <row r="60" spans="1:33">
      <c r="A60" s="642" t="s">
        <v>519</v>
      </c>
      <c r="B60" s="42" t="s">
        <v>1850</v>
      </c>
      <c r="C60" s="638"/>
      <c r="D60" s="638"/>
      <c r="E60" s="360"/>
      <c r="F60" s="44"/>
      <c r="G60" s="17"/>
      <c r="H60" s="366"/>
      <c r="I60" s="29">
        <v>17.857142857142858</v>
      </c>
      <c r="J60" s="39">
        <v>2000</v>
      </c>
      <c r="K60" s="17">
        <f t="shared" si="1"/>
        <v>112</v>
      </c>
      <c r="L60" s="29">
        <v>17.857142857142858</v>
      </c>
      <c r="M60" s="18">
        <f>AVERAGE(M53:M59)</f>
        <v>1921.5036059769868</v>
      </c>
      <c r="N60" s="17">
        <f t="shared" si="3"/>
        <v>107.60420193471126</v>
      </c>
      <c r="O60" s="19">
        <f t="shared" si="4"/>
        <v>0</v>
      </c>
      <c r="P60" s="20">
        <f t="shared" si="5"/>
        <v>-4.3957980652887443</v>
      </c>
      <c r="Q60" s="358">
        <f t="shared" si="6"/>
        <v>0.96075180298849339</v>
      </c>
      <c r="R60" s="637"/>
      <c r="S60" s="40"/>
      <c r="T60" s="40"/>
      <c r="U60" s="359"/>
      <c r="V60" s="364"/>
      <c r="W60" s="17"/>
      <c r="X60" s="17"/>
      <c r="Y60" s="30">
        <f>SUM(Y53:Y59)</f>
        <v>0</v>
      </c>
      <c r="Z60" s="30">
        <f>SUM(Z53:Z59)</f>
        <v>0</v>
      </c>
      <c r="AA60" s="631"/>
      <c r="AB60" s="631"/>
      <c r="AC60" s="30">
        <v>7</v>
      </c>
      <c r="AD60" s="30">
        <f>SUM(AD53:AD59)</f>
        <v>0</v>
      </c>
      <c r="AE60" s="19">
        <f>M60-J60</f>
        <v>-78.496394023013181</v>
      </c>
      <c r="AF60" s="358">
        <f t="shared" si="9"/>
        <v>0.96075180298849339</v>
      </c>
      <c r="AG60" s="637"/>
    </row>
    <row r="61" spans="1:33" ht="15.75" customHeight="1">
      <c r="A61" s="639" t="s">
        <v>1856</v>
      </c>
      <c r="B61" s="366" t="s">
        <v>127</v>
      </c>
      <c r="C61" s="633" t="s">
        <v>141</v>
      </c>
      <c r="D61" s="633"/>
      <c r="E61" s="42">
        <v>35.119999999999997</v>
      </c>
      <c r="F61" s="48">
        <v>4499</v>
      </c>
      <c r="G61" s="359">
        <f t="shared" ref="G61:G64" si="40">E61*F61</f>
        <v>158004.87999999998</v>
      </c>
      <c r="H61" s="37" t="s">
        <v>91</v>
      </c>
      <c r="I61" s="363">
        <v>10</v>
      </c>
      <c r="J61" s="39">
        <v>3000</v>
      </c>
      <c r="K61" s="17">
        <f t="shared" si="1"/>
        <v>300</v>
      </c>
      <c r="L61" s="363">
        <v>10</v>
      </c>
      <c r="M61" s="18">
        <f t="shared" ref="M61:M64" si="41">F61/V61*60</f>
        <v>2871.7021276595738</v>
      </c>
      <c r="N61" s="17">
        <f t="shared" si="3"/>
        <v>287.17021276595739</v>
      </c>
      <c r="O61" s="19">
        <f t="shared" si="4"/>
        <v>0</v>
      </c>
      <c r="P61" s="20">
        <f t="shared" si="5"/>
        <v>-12.829787234042612</v>
      </c>
      <c r="Q61" s="358">
        <f t="shared" si="6"/>
        <v>0.95723404255319133</v>
      </c>
      <c r="R61" s="637">
        <f>Q65</f>
        <v>0.96134510001431439</v>
      </c>
      <c r="S61" s="40">
        <v>0.20833333333333334</v>
      </c>
      <c r="T61" s="40">
        <v>0.27361111111111114</v>
      </c>
      <c r="U61" s="359"/>
      <c r="V61" s="364">
        <f t="shared" ref="V61:V64" si="42">(T61-S61)*24*60</f>
        <v>94.000000000000028</v>
      </c>
      <c r="W61" s="23"/>
      <c r="X61" s="23"/>
      <c r="Y61" s="28"/>
      <c r="Z61" s="28"/>
      <c r="AA61" s="632"/>
      <c r="AB61" s="632"/>
      <c r="AC61" s="25">
        <v>4</v>
      </c>
      <c r="AD61" s="25"/>
      <c r="AE61" s="19">
        <f t="shared" ref="AE61:AE73" si="43">M61-J61</f>
        <v>-128.29787234042624</v>
      </c>
      <c r="AF61" s="358">
        <f t="shared" si="9"/>
        <v>0.95723404255319122</v>
      </c>
      <c r="AG61" s="637">
        <f>AF65</f>
        <v>0.96134510001431439</v>
      </c>
    </row>
    <row r="62" spans="1:33" ht="15.75" customHeight="1">
      <c r="A62" s="639" t="s">
        <v>1856</v>
      </c>
      <c r="B62" s="366" t="s">
        <v>127</v>
      </c>
      <c r="C62" s="633" t="s">
        <v>142</v>
      </c>
      <c r="D62" s="633"/>
      <c r="E62" s="42">
        <v>26.78</v>
      </c>
      <c r="F62" s="48">
        <v>2557</v>
      </c>
      <c r="G62" s="359">
        <f t="shared" si="40"/>
        <v>68476.460000000006</v>
      </c>
      <c r="H62" s="37" t="s">
        <v>91</v>
      </c>
      <c r="I62" s="363">
        <v>10</v>
      </c>
      <c r="J62" s="39">
        <v>3000</v>
      </c>
      <c r="K62" s="17">
        <f t="shared" si="1"/>
        <v>300</v>
      </c>
      <c r="L62" s="363">
        <v>10</v>
      </c>
      <c r="M62" s="18">
        <f t="shared" si="41"/>
        <v>2894.7169811320773</v>
      </c>
      <c r="N62" s="17">
        <f t="shared" si="3"/>
        <v>289.47169811320771</v>
      </c>
      <c r="O62" s="19">
        <f t="shared" si="4"/>
        <v>0</v>
      </c>
      <c r="P62" s="20">
        <f t="shared" si="5"/>
        <v>-10.528301886792292</v>
      </c>
      <c r="Q62" s="358">
        <f t="shared" si="6"/>
        <v>0.96490566037735903</v>
      </c>
      <c r="R62" s="637"/>
      <c r="S62" s="40">
        <v>0.27777777777777779</v>
      </c>
      <c r="T62" s="40">
        <v>0.31458333333333333</v>
      </c>
      <c r="U62" s="359">
        <f t="shared" ref="U62:U64" si="44">(S62-T61)*24*60</f>
        <v>5.9999999999999787</v>
      </c>
      <c r="V62" s="364">
        <f t="shared" si="42"/>
        <v>52.999999999999972</v>
      </c>
      <c r="W62" s="359"/>
      <c r="X62" s="359"/>
      <c r="Y62" s="359"/>
      <c r="Z62" s="359"/>
      <c r="AA62" s="632"/>
      <c r="AB62" s="632"/>
      <c r="AC62" s="25"/>
      <c r="AD62" s="25"/>
      <c r="AE62" s="19">
        <f t="shared" si="43"/>
        <v>-105.28301886792269</v>
      </c>
      <c r="AF62" s="358">
        <f t="shared" si="9"/>
        <v>0.96490566037735914</v>
      </c>
      <c r="AG62" s="637"/>
    </row>
    <row r="63" spans="1:33" ht="15.75" customHeight="1">
      <c r="A63" s="639" t="s">
        <v>1856</v>
      </c>
      <c r="B63" s="366" t="s">
        <v>127</v>
      </c>
      <c r="C63" s="633" t="s">
        <v>143</v>
      </c>
      <c r="D63" s="633"/>
      <c r="E63" s="42">
        <v>36.14</v>
      </c>
      <c r="F63" s="48">
        <v>1068</v>
      </c>
      <c r="G63" s="359">
        <f t="shared" si="40"/>
        <v>38597.520000000004</v>
      </c>
      <c r="H63" s="37" t="s">
        <v>91</v>
      </c>
      <c r="I63" s="363">
        <v>11</v>
      </c>
      <c r="J63" s="39">
        <v>3000</v>
      </c>
      <c r="K63" s="17">
        <f t="shared" si="1"/>
        <v>272.72727272727275</v>
      </c>
      <c r="L63" s="363">
        <v>11</v>
      </c>
      <c r="M63" s="18">
        <f t="shared" si="41"/>
        <v>2912.727272727273</v>
      </c>
      <c r="N63" s="17">
        <f t="shared" si="3"/>
        <v>264.7933884297521</v>
      </c>
      <c r="O63" s="19">
        <f t="shared" si="4"/>
        <v>0</v>
      </c>
      <c r="P63" s="20">
        <f t="shared" si="5"/>
        <v>-7.9338842975206489</v>
      </c>
      <c r="Q63" s="358">
        <f t="shared" si="6"/>
        <v>0.97090909090909094</v>
      </c>
      <c r="R63" s="637"/>
      <c r="S63" s="40">
        <v>0.31805555555555554</v>
      </c>
      <c r="T63" s="40">
        <v>0.33333333333333331</v>
      </c>
      <c r="U63" s="359">
        <f t="shared" si="44"/>
        <v>4.9999999999999822</v>
      </c>
      <c r="V63" s="364">
        <f t="shared" si="42"/>
        <v>22</v>
      </c>
      <c r="W63" s="359"/>
      <c r="X63" s="359"/>
      <c r="Y63" s="359"/>
      <c r="Z63" s="359"/>
      <c r="AA63" s="632"/>
      <c r="AB63" s="632"/>
      <c r="AC63" s="25"/>
      <c r="AD63" s="25"/>
      <c r="AE63" s="19">
        <f t="shared" si="43"/>
        <v>-87.272727272727025</v>
      </c>
      <c r="AF63" s="358">
        <f t="shared" si="9"/>
        <v>0.97090909090909094</v>
      </c>
      <c r="AG63" s="637"/>
    </row>
    <row r="64" spans="1:33" ht="15.75" customHeight="1">
      <c r="A64" s="639" t="s">
        <v>1856</v>
      </c>
      <c r="B64" s="366" t="s">
        <v>127</v>
      </c>
      <c r="C64" s="633" t="s">
        <v>1857</v>
      </c>
      <c r="D64" s="633"/>
      <c r="E64" s="42">
        <v>33.770000000000003</v>
      </c>
      <c r="F64" s="48">
        <v>9190</v>
      </c>
      <c r="G64" s="359">
        <f t="shared" si="40"/>
        <v>310346.30000000005</v>
      </c>
      <c r="H64" s="37" t="s">
        <v>91</v>
      </c>
      <c r="I64" s="363">
        <v>12</v>
      </c>
      <c r="J64" s="39">
        <v>3000</v>
      </c>
      <c r="K64" s="17">
        <f t="shared" si="1"/>
        <v>250</v>
      </c>
      <c r="L64" s="363">
        <v>12</v>
      </c>
      <c r="M64" s="18">
        <f t="shared" si="41"/>
        <v>2856.9948186528491</v>
      </c>
      <c r="N64" s="17">
        <f t="shared" si="3"/>
        <v>238.08290155440409</v>
      </c>
      <c r="O64" s="19">
        <f t="shared" si="4"/>
        <v>0</v>
      </c>
      <c r="P64" s="20">
        <f t="shared" si="5"/>
        <v>-11.917098445595911</v>
      </c>
      <c r="Q64" s="358">
        <f t="shared" si="6"/>
        <v>0.95233160621761637</v>
      </c>
      <c r="R64" s="637"/>
      <c r="S64" s="40">
        <v>0.33749999999999997</v>
      </c>
      <c r="T64" s="40">
        <v>0.47152777777777777</v>
      </c>
      <c r="U64" s="359">
        <f t="shared" si="44"/>
        <v>5.9999999999999787</v>
      </c>
      <c r="V64" s="364">
        <f t="shared" si="42"/>
        <v>193.00000000000003</v>
      </c>
      <c r="W64" s="359"/>
      <c r="X64" s="359"/>
      <c r="Y64" s="359"/>
      <c r="Z64" s="359"/>
      <c r="AA64" s="632"/>
      <c r="AB64" s="632"/>
      <c r="AC64" s="25"/>
      <c r="AD64" s="25"/>
      <c r="AE64" s="19">
        <f t="shared" si="43"/>
        <v>-143.00518134715094</v>
      </c>
      <c r="AF64" s="358">
        <f t="shared" si="9"/>
        <v>0.95233160621761637</v>
      </c>
      <c r="AG64" s="637"/>
    </row>
    <row r="65" spans="1:33">
      <c r="A65" s="640" t="s">
        <v>1856</v>
      </c>
      <c r="B65" s="42" t="s">
        <v>1850</v>
      </c>
      <c r="C65" s="638"/>
      <c r="D65" s="638"/>
      <c r="E65" s="360"/>
      <c r="F65" s="44"/>
      <c r="G65" s="17"/>
      <c r="H65" s="366"/>
      <c r="I65" s="29">
        <v>10.75</v>
      </c>
      <c r="J65" s="39">
        <v>3000</v>
      </c>
      <c r="K65" s="17">
        <f t="shared" si="1"/>
        <v>279.06976744186045</v>
      </c>
      <c r="L65" s="29">
        <v>10.75</v>
      </c>
      <c r="M65" s="18">
        <f>AVERAGE(M61:M64)</f>
        <v>2884.0353000429432</v>
      </c>
      <c r="N65" s="17">
        <f t="shared" si="3"/>
        <v>268.28235349236678</v>
      </c>
      <c r="O65" s="19">
        <f t="shared" si="4"/>
        <v>0</v>
      </c>
      <c r="P65" s="20">
        <f t="shared" si="5"/>
        <v>-10.787413949493668</v>
      </c>
      <c r="Q65" s="358">
        <f t="shared" si="6"/>
        <v>0.96134510001431439</v>
      </c>
      <c r="R65" s="637"/>
      <c r="S65" s="40"/>
      <c r="T65" s="40"/>
      <c r="U65" s="17"/>
      <c r="V65" s="364"/>
      <c r="W65" s="17"/>
      <c r="X65" s="17"/>
      <c r="Y65" s="30">
        <f>SUM(Y61:Y64)</f>
        <v>0</v>
      </c>
      <c r="Z65" s="30">
        <f>SUM(Z61:Z64)</f>
        <v>0</v>
      </c>
      <c r="AA65" s="631"/>
      <c r="AB65" s="631"/>
      <c r="AC65" s="30">
        <v>4</v>
      </c>
      <c r="AD65" s="30">
        <f>SUM(AD61:AD64)</f>
        <v>0</v>
      </c>
      <c r="AE65" s="19">
        <f t="shared" si="43"/>
        <v>-115.96469995705684</v>
      </c>
      <c r="AF65" s="358">
        <f t="shared" si="9"/>
        <v>0.96134510001431439</v>
      </c>
      <c r="AG65" s="637"/>
    </row>
    <row r="66" spans="1:33" ht="15.75" customHeight="1">
      <c r="A66" s="634" t="s">
        <v>1858</v>
      </c>
      <c r="B66" s="366" t="s">
        <v>116</v>
      </c>
      <c r="C66" s="633" t="s">
        <v>145</v>
      </c>
      <c r="D66" s="633"/>
      <c r="E66" s="42">
        <v>19.02</v>
      </c>
      <c r="F66" s="366">
        <v>6200</v>
      </c>
      <c r="G66" s="359">
        <f t="shared" ref="G66:G72" si="45">E66*F66</f>
        <v>117924</v>
      </c>
      <c r="H66" s="37">
        <v>2</v>
      </c>
      <c r="I66" s="363">
        <v>14</v>
      </c>
      <c r="J66" s="39">
        <v>2400</v>
      </c>
      <c r="K66" s="17">
        <f t="shared" si="1"/>
        <v>171.42857142857142</v>
      </c>
      <c r="L66" s="363">
        <v>14</v>
      </c>
      <c r="M66" s="18">
        <f t="shared" ref="M66:M72" si="46">F66/V66*60</f>
        <v>2282.2085889570549</v>
      </c>
      <c r="N66" s="17">
        <f t="shared" si="3"/>
        <v>163.01489921121819</v>
      </c>
      <c r="O66" s="19">
        <f t="shared" si="4"/>
        <v>0</v>
      </c>
      <c r="P66" s="20">
        <f t="shared" si="5"/>
        <v>-8.4136722173532235</v>
      </c>
      <c r="Q66" s="358">
        <f t="shared" si="6"/>
        <v>0.95092024539877285</v>
      </c>
      <c r="R66" s="637">
        <f>Q73</f>
        <v>0.95620870195898833</v>
      </c>
      <c r="S66" s="40">
        <v>8.3333333333333329E-2</v>
      </c>
      <c r="T66" s="40">
        <v>0.19652777777777777</v>
      </c>
      <c r="U66" s="28"/>
      <c r="V66" s="364">
        <f t="shared" ref="V66:V72" si="47">(T66-S66)*24*60</f>
        <v>163</v>
      </c>
      <c r="W66" s="23">
        <f>T66</f>
        <v>0.19652777777777777</v>
      </c>
      <c r="X66" s="23">
        <f>S67</f>
        <v>0.21388888888888885</v>
      </c>
      <c r="Y66" s="23"/>
      <c r="Z66" s="23"/>
      <c r="AA66" s="632"/>
      <c r="AB66" s="632"/>
      <c r="AC66" s="25">
        <v>7</v>
      </c>
      <c r="AD66" s="25"/>
      <c r="AE66" s="19">
        <f t="shared" si="43"/>
        <v>-117.79141104294513</v>
      </c>
      <c r="AF66" s="358">
        <f t="shared" si="9"/>
        <v>0.95092024539877285</v>
      </c>
      <c r="AG66" s="637">
        <f>AF73</f>
        <v>0.95620870195898833</v>
      </c>
    </row>
    <row r="67" spans="1:33" ht="15.75" customHeight="1">
      <c r="A67" s="635" t="s">
        <v>1858</v>
      </c>
      <c r="B67" s="366" t="s">
        <v>116</v>
      </c>
      <c r="C67" s="633" t="s">
        <v>146</v>
      </c>
      <c r="D67" s="633"/>
      <c r="E67" s="42">
        <v>20.36</v>
      </c>
      <c r="F67" s="366">
        <v>4767</v>
      </c>
      <c r="G67" s="359">
        <f t="shared" si="45"/>
        <v>97056.12</v>
      </c>
      <c r="H67" s="37" t="s">
        <v>91</v>
      </c>
      <c r="I67" s="363">
        <v>17</v>
      </c>
      <c r="J67" s="39">
        <v>2400</v>
      </c>
      <c r="K67" s="17">
        <f t="shared" si="1"/>
        <v>141.1764705882353</v>
      </c>
      <c r="L67" s="363">
        <v>17</v>
      </c>
      <c r="M67" s="18">
        <f t="shared" si="46"/>
        <v>2288.1599999999994</v>
      </c>
      <c r="N67" s="17">
        <f t="shared" si="3"/>
        <v>134.5976470588235</v>
      </c>
      <c r="O67" s="19">
        <f t="shared" si="4"/>
        <v>0</v>
      </c>
      <c r="P67" s="20">
        <f t="shared" si="5"/>
        <v>-6.5788235294118067</v>
      </c>
      <c r="Q67" s="358">
        <f t="shared" si="6"/>
        <v>0.95339999999999969</v>
      </c>
      <c r="R67" s="637"/>
      <c r="S67" s="40">
        <v>0.21388888888888885</v>
      </c>
      <c r="T67" s="40">
        <v>0.30069444444444443</v>
      </c>
      <c r="U67" s="359">
        <f t="shared" ref="U67:U72" si="48">(S67-T66)*24*60</f>
        <v>24.99999999999995</v>
      </c>
      <c r="V67" s="364">
        <f t="shared" si="47"/>
        <v>125.00000000000003</v>
      </c>
      <c r="W67" s="23"/>
      <c r="X67" s="23"/>
      <c r="Y67" s="23"/>
      <c r="Z67" s="23"/>
      <c r="AA67" s="632"/>
      <c r="AB67" s="632"/>
      <c r="AC67" s="25"/>
      <c r="AD67" s="25"/>
      <c r="AE67" s="19">
        <f t="shared" si="43"/>
        <v>-111.8400000000006</v>
      </c>
      <c r="AF67" s="358">
        <f t="shared" si="9"/>
        <v>0.9533999999999998</v>
      </c>
      <c r="AG67" s="637"/>
    </row>
    <row r="68" spans="1:33" ht="15.75" customHeight="1">
      <c r="A68" s="635" t="s">
        <v>1858</v>
      </c>
      <c r="B68" s="366" t="s">
        <v>116</v>
      </c>
      <c r="C68" s="633" t="s">
        <v>120</v>
      </c>
      <c r="D68" s="633"/>
      <c r="E68" s="42">
        <v>25.99</v>
      </c>
      <c r="F68" s="366">
        <v>1278</v>
      </c>
      <c r="G68" s="359">
        <f t="shared" si="45"/>
        <v>33215.22</v>
      </c>
      <c r="H68" s="37" t="s">
        <v>91</v>
      </c>
      <c r="I68" s="363">
        <v>18</v>
      </c>
      <c r="J68" s="39">
        <v>2400</v>
      </c>
      <c r="K68" s="17">
        <f t="shared" si="1"/>
        <v>133.33333333333334</v>
      </c>
      <c r="L68" s="363">
        <v>18</v>
      </c>
      <c r="M68" s="18">
        <f t="shared" si="46"/>
        <v>2323.6363636363662</v>
      </c>
      <c r="N68" s="17">
        <f t="shared" si="3"/>
        <v>129.09090909090924</v>
      </c>
      <c r="O68" s="19">
        <f t="shared" si="4"/>
        <v>0</v>
      </c>
      <c r="P68" s="20">
        <f t="shared" si="5"/>
        <v>-4.2424242424241072</v>
      </c>
      <c r="Q68" s="358">
        <f t="shared" si="6"/>
        <v>0.96818181818181925</v>
      </c>
      <c r="R68" s="637"/>
      <c r="S68" s="40">
        <v>0.30416666666666664</v>
      </c>
      <c r="T68" s="40">
        <v>0.32708333333333328</v>
      </c>
      <c r="U68" s="359">
        <f t="shared" si="48"/>
        <v>4.9999999999999822</v>
      </c>
      <c r="V68" s="364">
        <f t="shared" si="47"/>
        <v>32.999999999999964</v>
      </c>
      <c r="W68" s="23"/>
      <c r="X68" s="23"/>
      <c r="Y68" s="23"/>
      <c r="Z68" s="23"/>
      <c r="AA68" s="632"/>
      <c r="AB68" s="632"/>
      <c r="AC68" s="25"/>
      <c r="AD68" s="25"/>
      <c r="AE68" s="19">
        <f t="shared" si="43"/>
        <v>-76.363636363633759</v>
      </c>
      <c r="AF68" s="358">
        <f t="shared" si="9"/>
        <v>0.96818181818181925</v>
      </c>
      <c r="AG68" s="637"/>
    </row>
    <row r="69" spans="1:33" ht="15.75" customHeight="1">
      <c r="A69" s="635" t="s">
        <v>1858</v>
      </c>
      <c r="B69" s="366" t="s">
        <v>116</v>
      </c>
      <c r="C69" s="633" t="s">
        <v>148</v>
      </c>
      <c r="D69" s="633"/>
      <c r="E69" s="42">
        <v>28.29</v>
      </c>
      <c r="F69" s="366">
        <v>3756</v>
      </c>
      <c r="G69" s="359">
        <f t="shared" si="45"/>
        <v>106257.23999999999</v>
      </c>
      <c r="H69" s="37" t="s">
        <v>91</v>
      </c>
      <c r="I69" s="363">
        <v>19</v>
      </c>
      <c r="J69" s="39">
        <v>2400</v>
      </c>
      <c r="K69" s="17">
        <f t="shared" ref="K69:K73" si="49">J69/I69</f>
        <v>126.31578947368421</v>
      </c>
      <c r="L69" s="363">
        <v>19</v>
      </c>
      <c r="M69" s="18">
        <f t="shared" si="46"/>
        <v>2299.5918367346944</v>
      </c>
      <c r="N69" s="17">
        <f t="shared" ref="N69:N73" si="50">M69/L69</f>
        <v>121.03114930182602</v>
      </c>
      <c r="O69" s="19">
        <f t="shared" ref="O69:O73" si="51">L69-I69</f>
        <v>0</v>
      </c>
      <c r="P69" s="20">
        <f t="shared" ref="P69:P73" si="52">N69-K69</f>
        <v>-5.2846401718581859</v>
      </c>
      <c r="Q69" s="358">
        <f t="shared" ref="Q69:Q73" si="53">N69/K69</f>
        <v>0.95816326530612272</v>
      </c>
      <c r="R69" s="637"/>
      <c r="S69" s="40">
        <v>0.33055555555555549</v>
      </c>
      <c r="T69" s="40">
        <v>0.39861111111111103</v>
      </c>
      <c r="U69" s="359">
        <f t="shared" si="48"/>
        <v>4.9999999999999822</v>
      </c>
      <c r="V69" s="364">
        <f t="shared" si="47"/>
        <v>97.999999999999972</v>
      </c>
      <c r="W69" s="23"/>
      <c r="X69" s="23"/>
      <c r="Y69" s="23"/>
      <c r="Z69" s="23"/>
      <c r="AA69" s="632"/>
      <c r="AB69" s="632"/>
      <c r="AC69" s="25"/>
      <c r="AD69" s="25"/>
      <c r="AE69" s="19">
        <f t="shared" si="43"/>
        <v>-100.40816326530557</v>
      </c>
      <c r="AF69" s="358">
        <f t="shared" ref="AF69:AF73" si="54">M69/J69</f>
        <v>0.95816326530612272</v>
      </c>
      <c r="AG69" s="637"/>
    </row>
    <row r="70" spans="1:33" ht="15.75" customHeight="1">
      <c r="A70" s="635" t="s">
        <v>1858</v>
      </c>
      <c r="B70" s="366" t="s">
        <v>116</v>
      </c>
      <c r="C70" s="633" t="s">
        <v>1859</v>
      </c>
      <c r="D70" s="633"/>
      <c r="E70" s="42">
        <v>25.98</v>
      </c>
      <c r="F70" s="366">
        <v>5600</v>
      </c>
      <c r="G70" s="359">
        <f t="shared" si="45"/>
        <v>145488</v>
      </c>
      <c r="H70" s="37">
        <v>2</v>
      </c>
      <c r="I70" s="363">
        <v>19</v>
      </c>
      <c r="J70" s="39">
        <v>2400</v>
      </c>
      <c r="K70" s="17">
        <f t="shared" si="49"/>
        <v>126.31578947368421</v>
      </c>
      <c r="L70" s="363">
        <v>19</v>
      </c>
      <c r="M70" s="18">
        <f t="shared" si="46"/>
        <v>2285.7142857142867</v>
      </c>
      <c r="N70" s="17">
        <f t="shared" si="50"/>
        <v>120.30075187969931</v>
      </c>
      <c r="O70" s="19">
        <f t="shared" si="51"/>
        <v>0</v>
      </c>
      <c r="P70" s="20">
        <f t="shared" si="52"/>
        <v>-6.0150375939848999</v>
      </c>
      <c r="Q70" s="358">
        <f t="shared" si="53"/>
        <v>0.95238095238095288</v>
      </c>
      <c r="R70" s="637"/>
      <c r="S70" s="40">
        <v>0.40208333333333324</v>
      </c>
      <c r="T70" s="40">
        <v>0.50416666666666654</v>
      </c>
      <c r="U70" s="359">
        <f t="shared" si="48"/>
        <v>4.9999999999999822</v>
      </c>
      <c r="V70" s="364">
        <f t="shared" si="47"/>
        <v>146.99999999999994</v>
      </c>
      <c r="W70" s="23">
        <f>T70</f>
        <v>0.50416666666666654</v>
      </c>
      <c r="X70" s="23">
        <f>S71</f>
        <v>0.54513888888888873</v>
      </c>
      <c r="Y70" s="23"/>
      <c r="Z70" s="23"/>
      <c r="AA70" s="632"/>
      <c r="AB70" s="632"/>
      <c r="AC70" s="25"/>
      <c r="AD70" s="25"/>
      <c r="AE70" s="19">
        <f t="shared" si="43"/>
        <v>-114.28571428571331</v>
      </c>
      <c r="AF70" s="358">
        <f t="shared" si="54"/>
        <v>0.95238095238095277</v>
      </c>
      <c r="AG70" s="637"/>
    </row>
    <row r="71" spans="1:33" ht="15.75" customHeight="1">
      <c r="A71" s="635" t="s">
        <v>1858</v>
      </c>
      <c r="B71" s="366" t="s">
        <v>116</v>
      </c>
      <c r="C71" s="633" t="s">
        <v>145</v>
      </c>
      <c r="D71" s="633"/>
      <c r="E71" s="42">
        <v>19.02</v>
      </c>
      <c r="F71" s="366">
        <v>5109</v>
      </c>
      <c r="G71" s="359">
        <f t="shared" si="45"/>
        <v>97173.18</v>
      </c>
      <c r="H71" s="37" t="s">
        <v>91</v>
      </c>
      <c r="I71" s="363">
        <v>14</v>
      </c>
      <c r="J71" s="39">
        <v>2400</v>
      </c>
      <c r="K71" s="17">
        <f t="shared" si="49"/>
        <v>171.42857142857142</v>
      </c>
      <c r="L71" s="363">
        <v>14</v>
      </c>
      <c r="M71" s="18">
        <f t="shared" si="46"/>
        <v>2287.6119402985073</v>
      </c>
      <c r="N71" s="17">
        <f t="shared" si="50"/>
        <v>163.4008528784648</v>
      </c>
      <c r="O71" s="19">
        <f t="shared" si="51"/>
        <v>0</v>
      </c>
      <c r="P71" s="20">
        <f t="shared" si="52"/>
        <v>-8.0277185501066128</v>
      </c>
      <c r="Q71" s="358">
        <f t="shared" si="53"/>
        <v>0.95317164179104474</v>
      </c>
      <c r="R71" s="637"/>
      <c r="S71" s="40">
        <v>0.54513888888888873</v>
      </c>
      <c r="T71" s="40">
        <v>0.63819444444444429</v>
      </c>
      <c r="U71" s="359">
        <f t="shared" si="48"/>
        <v>58.99999999999995</v>
      </c>
      <c r="V71" s="364">
        <f t="shared" si="47"/>
        <v>134</v>
      </c>
      <c r="W71" s="23"/>
      <c r="X71" s="23"/>
      <c r="Y71" s="23"/>
      <c r="Z71" s="23"/>
      <c r="AA71" s="632"/>
      <c r="AB71" s="632"/>
      <c r="AC71" s="25"/>
      <c r="AD71" s="25"/>
      <c r="AE71" s="19">
        <f t="shared" si="43"/>
        <v>-112.38805970149269</v>
      </c>
      <c r="AF71" s="358">
        <f t="shared" si="54"/>
        <v>0.95317164179104474</v>
      </c>
      <c r="AG71" s="637"/>
    </row>
    <row r="72" spans="1:33" ht="15.75" customHeight="1">
      <c r="A72" s="635" t="s">
        <v>1858</v>
      </c>
      <c r="B72" s="366" t="s">
        <v>116</v>
      </c>
      <c r="C72" s="625" t="s">
        <v>1859</v>
      </c>
      <c r="D72" s="626"/>
      <c r="E72" s="42">
        <v>25.98</v>
      </c>
      <c r="F72" s="366">
        <v>4097</v>
      </c>
      <c r="G72" s="359">
        <f t="shared" si="45"/>
        <v>106440.06</v>
      </c>
      <c r="H72" s="37" t="s">
        <v>91</v>
      </c>
      <c r="I72" s="363">
        <v>19</v>
      </c>
      <c r="J72" s="39">
        <v>2400</v>
      </c>
      <c r="K72" s="17">
        <f t="shared" si="49"/>
        <v>126.31578947368421</v>
      </c>
      <c r="L72" s="363">
        <v>19</v>
      </c>
      <c r="M72" s="18">
        <f t="shared" si="46"/>
        <v>2297.3831775700946</v>
      </c>
      <c r="N72" s="17">
        <f t="shared" si="50"/>
        <v>120.91490408263655</v>
      </c>
      <c r="O72" s="19">
        <f t="shared" si="51"/>
        <v>0</v>
      </c>
      <c r="P72" s="20">
        <f t="shared" si="52"/>
        <v>-5.4008853910476518</v>
      </c>
      <c r="Q72" s="358">
        <f t="shared" si="53"/>
        <v>0.95724299065420604</v>
      </c>
      <c r="R72" s="637"/>
      <c r="S72" s="40">
        <v>0.64374999999999982</v>
      </c>
      <c r="T72" s="40">
        <v>0.71805555555555534</v>
      </c>
      <c r="U72" s="359">
        <f t="shared" si="48"/>
        <v>7.9999999999999716</v>
      </c>
      <c r="V72" s="364">
        <f t="shared" si="47"/>
        <v>106.99999999999994</v>
      </c>
      <c r="W72" s="23"/>
      <c r="X72" s="23"/>
      <c r="Y72" s="26"/>
      <c r="Z72" s="26"/>
      <c r="AA72" s="627"/>
      <c r="AB72" s="628"/>
      <c r="AC72" s="25"/>
      <c r="AD72" s="25"/>
      <c r="AE72" s="19">
        <f t="shared" si="43"/>
        <v>-102.61682242990537</v>
      </c>
      <c r="AF72" s="358">
        <f t="shared" si="54"/>
        <v>0.95724299065420615</v>
      </c>
      <c r="AG72" s="637"/>
    </row>
    <row r="73" spans="1:33" ht="16.5" customHeight="1">
      <c r="A73" s="636" t="s">
        <v>1858</v>
      </c>
      <c r="B73" s="42" t="s">
        <v>1850</v>
      </c>
      <c r="C73" s="629"/>
      <c r="D73" s="630"/>
      <c r="E73" s="360"/>
      <c r="F73" s="44"/>
      <c r="G73" s="17"/>
      <c r="H73" s="366"/>
      <c r="I73" s="29">
        <v>17.142857142857142</v>
      </c>
      <c r="J73" s="39">
        <v>2400</v>
      </c>
      <c r="K73" s="17">
        <f t="shared" si="49"/>
        <v>140</v>
      </c>
      <c r="L73" s="29">
        <v>17.142857142857142</v>
      </c>
      <c r="M73" s="18">
        <f>AVERAGE(M66:M72)</f>
        <v>2294.9008847015721</v>
      </c>
      <c r="N73" s="17">
        <f t="shared" si="50"/>
        <v>133.86921827425837</v>
      </c>
      <c r="O73" s="19">
        <f t="shared" si="51"/>
        <v>0</v>
      </c>
      <c r="P73" s="20">
        <f t="shared" si="52"/>
        <v>-6.1307817257416275</v>
      </c>
      <c r="Q73" s="358">
        <f t="shared" si="53"/>
        <v>0.95620870195898833</v>
      </c>
      <c r="R73" s="637"/>
      <c r="S73" s="40"/>
      <c r="T73" s="40"/>
      <c r="U73" s="17"/>
      <c r="V73" s="364"/>
      <c r="W73" s="17"/>
      <c r="X73" s="17"/>
      <c r="Y73" s="30">
        <f>SUM(Y66:Y72)</f>
        <v>0</v>
      </c>
      <c r="Z73" s="30">
        <f>SUM(Z66:Z72)</f>
        <v>0</v>
      </c>
      <c r="AA73" s="631"/>
      <c r="AB73" s="631"/>
      <c r="AC73" s="30">
        <v>7</v>
      </c>
      <c r="AD73" s="30">
        <f>SUM(AD66:AD72)</f>
        <v>0</v>
      </c>
      <c r="AE73" s="19">
        <f t="shared" si="43"/>
        <v>-105.09911529842793</v>
      </c>
      <c r="AF73" s="358">
        <f t="shared" si="54"/>
        <v>0.95620870195898833</v>
      </c>
      <c r="AG73" s="637"/>
    </row>
    <row r="74" spans="1:33">
      <c r="D74" s="33"/>
      <c r="E74" s="33"/>
    </row>
  </sheetData>
  <mergeCells count="193">
    <mergeCell ref="AG66:AG73"/>
    <mergeCell ref="C67:D67"/>
    <mergeCell ref="AA67:AB67"/>
    <mergeCell ref="C68:D68"/>
    <mergeCell ref="AA68:AB68"/>
    <mergeCell ref="C69:D69"/>
    <mergeCell ref="AA69:AB69"/>
    <mergeCell ref="C70:D70"/>
    <mergeCell ref="AA70:AB70"/>
    <mergeCell ref="C71:D71"/>
    <mergeCell ref="A66:A73"/>
    <mergeCell ref="C66:D66"/>
    <mergeCell ref="R66:R73"/>
    <mergeCell ref="AA66:AB66"/>
    <mergeCell ref="AA71:AB71"/>
    <mergeCell ref="C72:D72"/>
    <mergeCell ref="AA72:AB72"/>
    <mergeCell ref="A61:A65"/>
    <mergeCell ref="C61:D61"/>
    <mergeCell ref="R61:R65"/>
    <mergeCell ref="AA61:AB61"/>
    <mergeCell ref="C73:D73"/>
    <mergeCell ref="AA73:AB73"/>
    <mergeCell ref="AG61:AG65"/>
    <mergeCell ref="C62:D62"/>
    <mergeCell ref="AA62:AB62"/>
    <mergeCell ref="C63:D63"/>
    <mergeCell ref="AA63:AB63"/>
    <mergeCell ref="C64:D64"/>
    <mergeCell ref="AA57:AB57"/>
    <mergeCell ref="C58:D58"/>
    <mergeCell ref="AA58:AB58"/>
    <mergeCell ref="C59:D59"/>
    <mergeCell ref="AA59:AB59"/>
    <mergeCell ref="C60:D60"/>
    <mergeCell ref="AA60:AB60"/>
    <mergeCell ref="AA64:AB64"/>
    <mergeCell ref="C65:D65"/>
    <mergeCell ref="AA65:AB65"/>
    <mergeCell ref="A53:A60"/>
    <mergeCell ref="C53:D53"/>
    <mergeCell ref="R53:R60"/>
    <mergeCell ref="AA53:AB53"/>
    <mergeCell ref="AG53:AG60"/>
    <mergeCell ref="C54:D54"/>
    <mergeCell ref="AA54:AB54"/>
    <mergeCell ref="C55:D55"/>
    <mergeCell ref="AA55:AB55"/>
    <mergeCell ref="AA56:AB56"/>
    <mergeCell ref="A47:A52"/>
    <mergeCell ref="C47:D47"/>
    <mergeCell ref="R47:R52"/>
    <mergeCell ref="AA47:AB47"/>
    <mergeCell ref="AA52:AB52"/>
    <mergeCell ref="AG47:AG52"/>
    <mergeCell ref="C48:D48"/>
    <mergeCell ref="AA48:AB48"/>
    <mergeCell ref="C49:D49"/>
    <mergeCell ref="AA49:AB49"/>
    <mergeCell ref="C50:D50"/>
    <mergeCell ref="AA50:AB50"/>
    <mergeCell ref="C51:D51"/>
    <mergeCell ref="AA51:AB51"/>
    <mergeCell ref="C52:D52"/>
    <mergeCell ref="A38:A46"/>
    <mergeCell ref="C38:D38"/>
    <mergeCell ref="R38:R46"/>
    <mergeCell ref="AA38:AB38"/>
    <mergeCell ref="AA43:AB43"/>
    <mergeCell ref="C44:D44"/>
    <mergeCell ref="AA44:AB44"/>
    <mergeCell ref="AG38:AG46"/>
    <mergeCell ref="C39:D39"/>
    <mergeCell ref="AA39:AB39"/>
    <mergeCell ref="C40:D40"/>
    <mergeCell ref="AA40:AB40"/>
    <mergeCell ref="C41:D41"/>
    <mergeCell ref="AA41:AB41"/>
    <mergeCell ref="C42:D42"/>
    <mergeCell ref="AA42:AB42"/>
    <mergeCell ref="C43:D43"/>
    <mergeCell ref="C45:D45"/>
    <mergeCell ref="AA45:AB45"/>
    <mergeCell ref="C46:D46"/>
    <mergeCell ref="AA46:AB46"/>
    <mergeCell ref="A29:A37"/>
    <mergeCell ref="C29:D29"/>
    <mergeCell ref="R29:R37"/>
    <mergeCell ref="AA29:AB29"/>
    <mergeCell ref="AA34:AB34"/>
    <mergeCell ref="C35:D35"/>
    <mergeCell ref="AG29:AG37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C34:D34"/>
    <mergeCell ref="AA35:AB35"/>
    <mergeCell ref="C37:D37"/>
    <mergeCell ref="AA37:AB37"/>
    <mergeCell ref="AG21:AG28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27:D27"/>
    <mergeCell ref="AA27:AB27"/>
    <mergeCell ref="C28:D28"/>
    <mergeCell ref="AA28:AB28"/>
    <mergeCell ref="A21:A28"/>
    <mergeCell ref="C21:D21"/>
    <mergeCell ref="R21:R28"/>
    <mergeCell ref="AA21:AB21"/>
    <mergeCell ref="AA26:AB26"/>
    <mergeCell ref="A13:A20"/>
    <mergeCell ref="C13:D13"/>
    <mergeCell ref="R13:R20"/>
    <mergeCell ref="AA13:AB13"/>
    <mergeCell ref="AG13:AG20"/>
    <mergeCell ref="C14:D14"/>
    <mergeCell ref="AA14:AB14"/>
    <mergeCell ref="C15:D15"/>
    <mergeCell ref="AA15:AB15"/>
    <mergeCell ref="C16:D16"/>
    <mergeCell ref="A10:A12"/>
    <mergeCell ref="C10:D10"/>
    <mergeCell ref="R10:R12"/>
    <mergeCell ref="AA10:AB10"/>
    <mergeCell ref="AG10:AG12"/>
    <mergeCell ref="C11:D11"/>
    <mergeCell ref="AA11:AB11"/>
    <mergeCell ref="C12:D12"/>
    <mergeCell ref="AA12:AB12"/>
    <mergeCell ref="AA16:AB16"/>
    <mergeCell ref="C17:D17"/>
    <mergeCell ref="AA17:AB17"/>
    <mergeCell ref="C20:D20"/>
    <mergeCell ref="AA20:AB20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</mergeCells>
  <phoneticPr fontId="3" type="noConversion"/>
  <conditionalFormatting sqref="O64:O71 O60:O61 O73 O5:O10 O12:O14 O20:O58">
    <cfRule type="cellIs" dxfId="1359" priority="53" operator="greaterThan">
      <formula>0</formula>
    </cfRule>
  </conditionalFormatting>
  <conditionalFormatting sqref="P5:P8 P64 AE64 P66:P71 P29:P36 P61 P10 P12:P14 P21:P27 P53:P58 P38:P51 AE5:AE61 AE66:AE73">
    <cfRule type="cellIs" dxfId="1358" priority="57" operator="lessThan">
      <formula>0</formula>
    </cfRule>
  </conditionalFormatting>
  <conditionalFormatting sqref="AF64 Q64:Q71 Q60:Q61 Q73 Q5:Q10 Q12:Q14 Q20:Q58 AF5:AF61 AF66:AF73">
    <cfRule type="cellIs" dxfId="1357" priority="54" operator="greaterThan">
      <formula>1</formula>
    </cfRule>
    <cfRule type="cellIs" dxfId="1356" priority="55" operator="lessThan">
      <formula>0.8</formula>
    </cfRule>
  </conditionalFormatting>
  <conditionalFormatting sqref="AG13:AG14 R13:R14 AG64 R64:R71 R20:R26 AG20:AG26 AG60:AG61 R60:R61 R73 AG5:AG10 R5:R10 AG28:AG58 R28:R58">
    <cfRule type="cellIs" dxfId="1355" priority="59" operator="lessThan">
      <formula>0.8</formula>
    </cfRule>
  </conditionalFormatting>
  <conditionalFormatting sqref="AG47">
    <cfRule type="cellIs" dxfId="1354" priority="61" operator="lessThan">
      <formula>0.8</formula>
    </cfRule>
  </conditionalFormatting>
  <conditionalFormatting sqref="AG21:AG26">
    <cfRule type="cellIs" dxfId="1353" priority="58" operator="lessThan">
      <formula>0.8</formula>
    </cfRule>
  </conditionalFormatting>
  <conditionalFormatting sqref="AG29">
    <cfRule type="cellIs" dxfId="1352" priority="60" operator="lessThan">
      <formula>0.8</formula>
    </cfRule>
  </conditionalFormatting>
  <conditionalFormatting sqref="AG38:AG45">
    <cfRule type="cellIs" dxfId="1351" priority="56" operator="lessThan">
      <formula>0.8</formula>
    </cfRule>
  </conditionalFormatting>
  <conditionalFormatting sqref="AE65">
    <cfRule type="cellIs" dxfId="1350" priority="52" operator="lessThan">
      <formula>0</formula>
    </cfRule>
  </conditionalFormatting>
  <conditionalFormatting sqref="AF65">
    <cfRule type="cellIs" dxfId="1349" priority="50" operator="greaterThan">
      <formula>1</formula>
    </cfRule>
    <cfRule type="cellIs" dxfId="1348" priority="51" operator="lessThan">
      <formula>0.8</formula>
    </cfRule>
  </conditionalFormatting>
  <conditionalFormatting sqref="O15:O16">
    <cfRule type="cellIs" dxfId="1347" priority="45" operator="greaterThan">
      <formula>0</formula>
    </cfRule>
  </conditionalFormatting>
  <conditionalFormatting sqref="P15:P16">
    <cfRule type="cellIs" dxfId="1346" priority="48" operator="lessThan">
      <formula>0</formula>
    </cfRule>
  </conditionalFormatting>
  <conditionalFormatting sqref="Q15:Q16">
    <cfRule type="cellIs" dxfId="1345" priority="46" operator="greaterThan">
      <formula>1</formula>
    </cfRule>
    <cfRule type="cellIs" dxfId="1344" priority="47" operator="lessThan">
      <formula>0.8</formula>
    </cfRule>
  </conditionalFormatting>
  <conditionalFormatting sqref="R15:R16 AG15:AG16">
    <cfRule type="cellIs" dxfId="1343" priority="49" operator="lessThan">
      <formula>0.8</formula>
    </cfRule>
  </conditionalFormatting>
  <conditionalFormatting sqref="O11">
    <cfRule type="cellIs" dxfId="1342" priority="41" operator="greaterThan">
      <formula>0</formula>
    </cfRule>
  </conditionalFormatting>
  <conditionalFormatting sqref="P11">
    <cfRule type="cellIs" dxfId="1341" priority="44" operator="lessThan">
      <formula>0</formula>
    </cfRule>
  </conditionalFormatting>
  <conditionalFormatting sqref="Q11">
    <cfRule type="cellIs" dxfId="1340" priority="42" operator="greaterThan">
      <formula>1</formula>
    </cfRule>
    <cfRule type="cellIs" dxfId="1339" priority="43" operator="lessThan">
      <formula>0.8</formula>
    </cfRule>
  </conditionalFormatting>
  <conditionalFormatting sqref="O59">
    <cfRule type="cellIs" dxfId="1338" priority="36" operator="greaterThan">
      <formula>0</formula>
    </cfRule>
  </conditionalFormatting>
  <conditionalFormatting sqref="P59">
    <cfRule type="cellIs" dxfId="1337" priority="39" operator="lessThan">
      <formula>0</formula>
    </cfRule>
  </conditionalFormatting>
  <conditionalFormatting sqref="Q59">
    <cfRule type="cellIs" dxfId="1336" priority="37" operator="greaterThan">
      <formula>1</formula>
    </cfRule>
    <cfRule type="cellIs" dxfId="1335" priority="38" operator="lessThan">
      <formula>0.8</formula>
    </cfRule>
  </conditionalFormatting>
  <conditionalFormatting sqref="R59 AG59">
    <cfRule type="cellIs" dxfId="1334" priority="40" operator="lessThan">
      <formula>0.8</formula>
    </cfRule>
  </conditionalFormatting>
  <conditionalFormatting sqref="O63">
    <cfRule type="cellIs" dxfId="1333" priority="31" operator="greaterThan">
      <formula>0</formula>
    </cfRule>
  </conditionalFormatting>
  <conditionalFormatting sqref="P63 AE63">
    <cfRule type="cellIs" dxfId="1332" priority="34" operator="lessThan">
      <formula>0</formula>
    </cfRule>
  </conditionalFormatting>
  <conditionalFormatting sqref="Q63 AF63">
    <cfRule type="cellIs" dxfId="1331" priority="32" operator="greaterThan">
      <formula>1</formula>
    </cfRule>
    <cfRule type="cellIs" dxfId="1330" priority="33" operator="lessThan">
      <formula>0.8</formula>
    </cfRule>
  </conditionalFormatting>
  <conditionalFormatting sqref="R63 AG63">
    <cfRule type="cellIs" dxfId="1329" priority="35" operator="lessThan">
      <formula>0.8</formula>
    </cfRule>
  </conditionalFormatting>
  <conditionalFormatting sqref="O72">
    <cfRule type="cellIs" dxfId="1328" priority="26" operator="greaterThan">
      <formula>0</formula>
    </cfRule>
  </conditionalFormatting>
  <conditionalFormatting sqref="P72">
    <cfRule type="cellIs" dxfId="1327" priority="29" operator="lessThan">
      <formula>0</formula>
    </cfRule>
  </conditionalFormatting>
  <conditionalFormatting sqref="Q72">
    <cfRule type="cellIs" dxfId="1326" priority="27" operator="greaterThan">
      <formula>1</formula>
    </cfRule>
    <cfRule type="cellIs" dxfId="1325" priority="28" operator="lessThan">
      <formula>0.8</formula>
    </cfRule>
  </conditionalFormatting>
  <conditionalFormatting sqref="R72">
    <cfRule type="cellIs" dxfId="1324" priority="30" operator="lessThan">
      <formula>0.8</formula>
    </cfRule>
  </conditionalFormatting>
  <conditionalFormatting sqref="O17:O18">
    <cfRule type="cellIs" dxfId="1323" priority="21" operator="greaterThan">
      <formula>0</formula>
    </cfRule>
  </conditionalFormatting>
  <conditionalFormatting sqref="P17:P18">
    <cfRule type="cellIs" dxfId="1322" priority="24" operator="lessThan">
      <formula>0</formula>
    </cfRule>
  </conditionalFormatting>
  <conditionalFormatting sqref="Q17:Q18">
    <cfRule type="cellIs" dxfId="1321" priority="22" operator="greaterThan">
      <formula>1</formula>
    </cfRule>
    <cfRule type="cellIs" dxfId="1320" priority="23" operator="lessThan">
      <formula>0.8</formula>
    </cfRule>
  </conditionalFormatting>
  <conditionalFormatting sqref="R17:R18 AG17:AG18">
    <cfRule type="cellIs" dxfId="1319" priority="25" operator="lessThan">
      <formula>0.8</formula>
    </cfRule>
  </conditionalFormatting>
  <conditionalFormatting sqref="R27 AG27">
    <cfRule type="cellIs" dxfId="1318" priority="20" operator="lessThan">
      <formula>0.8</formula>
    </cfRule>
  </conditionalFormatting>
  <conditionalFormatting sqref="AG27">
    <cfRule type="cellIs" dxfId="1317" priority="19" operator="lessThan">
      <formula>0.8</formula>
    </cfRule>
  </conditionalFormatting>
  <conditionalFormatting sqref="O62">
    <cfRule type="cellIs" dxfId="1316" priority="14" operator="greaterThan">
      <formula>0</formula>
    </cfRule>
  </conditionalFormatting>
  <conditionalFormatting sqref="P62 AE62">
    <cfRule type="cellIs" dxfId="1315" priority="17" operator="lessThan">
      <formula>0</formula>
    </cfRule>
  </conditionalFormatting>
  <conditionalFormatting sqref="Q62 AF62">
    <cfRule type="cellIs" dxfId="1314" priority="15" operator="greaterThan">
      <formula>1</formula>
    </cfRule>
    <cfRule type="cellIs" dxfId="1313" priority="16" operator="lessThan">
      <formula>0.8</formula>
    </cfRule>
  </conditionalFormatting>
  <conditionalFormatting sqref="R62 AG62">
    <cfRule type="cellIs" dxfId="1312" priority="18" operator="lessThan">
      <formula>0.8</formula>
    </cfRule>
  </conditionalFormatting>
  <conditionalFormatting sqref="O19">
    <cfRule type="cellIs" dxfId="1311" priority="9" operator="greaterThan">
      <formula>0</formula>
    </cfRule>
  </conditionalFormatting>
  <conditionalFormatting sqref="P19">
    <cfRule type="cellIs" dxfId="1310" priority="12" operator="lessThan">
      <formula>0</formula>
    </cfRule>
  </conditionalFormatting>
  <conditionalFormatting sqref="Q19">
    <cfRule type="cellIs" dxfId="1309" priority="10" operator="greaterThan">
      <formula>1</formula>
    </cfRule>
    <cfRule type="cellIs" dxfId="1308" priority="11" operator="lessThan">
      <formula>0.8</formula>
    </cfRule>
  </conditionalFormatting>
  <conditionalFormatting sqref="AG19 R19">
    <cfRule type="cellIs" dxfId="1307" priority="13" operator="lessThan">
      <formula>0.8</formula>
    </cfRule>
  </conditionalFormatting>
  <conditionalFormatting sqref="P9">
    <cfRule type="cellIs" dxfId="1306" priority="8" operator="lessThan">
      <formula>0</formula>
    </cfRule>
  </conditionalFormatting>
  <conditionalFormatting sqref="P20">
    <cfRule type="cellIs" dxfId="1305" priority="7" operator="lessThan">
      <formula>0</formula>
    </cfRule>
  </conditionalFormatting>
  <conditionalFormatting sqref="P28">
    <cfRule type="cellIs" dxfId="1304" priority="6" operator="lessThan">
      <formula>0</formula>
    </cfRule>
  </conditionalFormatting>
  <conditionalFormatting sqref="P37">
    <cfRule type="cellIs" dxfId="1303" priority="5" operator="lessThan">
      <formula>0</formula>
    </cfRule>
  </conditionalFormatting>
  <conditionalFormatting sqref="P52">
    <cfRule type="cellIs" dxfId="1302" priority="4" operator="lessThan">
      <formula>0</formula>
    </cfRule>
  </conditionalFormatting>
  <conditionalFormatting sqref="P60">
    <cfRule type="cellIs" dxfId="1301" priority="3" operator="lessThan">
      <formula>0</formula>
    </cfRule>
  </conditionalFormatting>
  <conditionalFormatting sqref="P65">
    <cfRule type="cellIs" dxfId="1300" priority="2" operator="lessThan">
      <formula>0</formula>
    </cfRule>
  </conditionalFormatting>
  <conditionalFormatting sqref="P73">
    <cfRule type="cellIs" dxfId="1299" priority="1" operator="lessThan">
      <formula>0</formula>
    </cfRule>
  </conditionalFormatting>
  <dataValidations count="1">
    <dataValidation type="list" allowBlank="1" showInputMessage="1" showErrorMessage="1" sqref="AB9 AA5:AB8 AA9:AA64 AB11:AB61 AA65:AB73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Q9" sqref="Q9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612" t="s">
        <v>1665</v>
      </c>
      <c r="C1" s="612"/>
      <c r="D1" s="612"/>
      <c r="E1" s="612"/>
      <c r="F1" s="612"/>
      <c r="G1" s="612"/>
      <c r="H1" s="612"/>
      <c r="I1" s="612"/>
      <c r="J1" s="612"/>
      <c r="K1" s="51"/>
      <c r="L1" s="51"/>
      <c r="M1" s="51"/>
      <c r="N1" s="51"/>
      <c r="O1" s="51"/>
      <c r="P1" s="51"/>
    </row>
    <row r="2" spans="2:17" ht="27.75" customHeight="1">
      <c r="B2" s="613"/>
      <c r="C2" s="613"/>
      <c r="D2" s="613"/>
      <c r="E2" s="613"/>
      <c r="F2" s="613"/>
      <c r="G2" s="613"/>
      <c r="H2" s="613"/>
      <c r="I2" s="613"/>
      <c r="J2" s="613"/>
      <c r="K2" s="53"/>
      <c r="L2" s="53"/>
      <c r="M2" s="53"/>
      <c r="N2" s="51"/>
      <c r="O2" s="51"/>
      <c r="P2" s="51"/>
    </row>
    <row r="3" spans="2:17" ht="46.5" customHeight="1">
      <c r="B3" s="54" t="s">
        <v>1666</v>
      </c>
      <c r="C3" s="614" t="str">
        <f>TEXT('0817 4度C'!A2,"yyyy.mm.ddaaaa")</f>
        <v>2026.08.17星期一</v>
      </c>
      <c r="D3" s="615"/>
      <c r="E3" s="54" t="s">
        <v>317</v>
      </c>
      <c r="F3" s="616">
        <f>'0817 4度C'!D1</f>
        <v>180804</v>
      </c>
      <c r="G3" s="617"/>
      <c r="H3" s="54" t="s">
        <v>426</v>
      </c>
      <c r="I3" s="618">
        <f>'0817 4度C'!F1</f>
        <v>6311785.7300000004</v>
      </c>
      <c r="J3" s="619"/>
      <c r="K3" s="55"/>
      <c r="L3" s="56"/>
      <c r="M3" s="57"/>
      <c r="N3" s="57"/>
    </row>
    <row r="4" spans="2:17" ht="28.5" customHeight="1">
      <c r="B4" s="620" t="s">
        <v>1667</v>
      </c>
      <c r="C4" s="606" t="s">
        <v>1668</v>
      </c>
      <c r="D4" s="607"/>
      <c r="E4" s="623" t="s">
        <v>1669</v>
      </c>
      <c r="F4" s="624"/>
      <c r="G4" s="623" t="s">
        <v>1670</v>
      </c>
      <c r="H4" s="624"/>
      <c r="I4" s="623" t="s">
        <v>1671</v>
      </c>
      <c r="J4" s="624"/>
      <c r="K4" s="604" t="s">
        <v>1672</v>
      </c>
      <c r="L4" s="605"/>
      <c r="M4" s="605" t="s">
        <v>1673</v>
      </c>
      <c r="N4" s="605"/>
    </row>
    <row r="5" spans="2:17" ht="28.5" customHeight="1">
      <c r="B5" s="621"/>
      <c r="C5" s="606" t="s">
        <v>1674</v>
      </c>
      <c r="D5" s="607"/>
      <c r="E5" s="606" t="s">
        <v>1675</v>
      </c>
      <c r="F5" s="607"/>
      <c r="G5" s="608" t="s">
        <v>1676</v>
      </c>
      <c r="H5" s="609"/>
      <c r="I5" s="610" t="s">
        <v>1677</v>
      </c>
      <c r="J5" s="611"/>
      <c r="K5" s="58" t="s">
        <v>1678</v>
      </c>
      <c r="L5" s="59" t="s">
        <v>1679</v>
      </c>
      <c r="M5" s="58" t="s">
        <v>1680</v>
      </c>
      <c r="N5" s="59" t="s">
        <v>1681</v>
      </c>
    </row>
    <row r="6" spans="2:17" ht="28.5" customHeight="1">
      <c r="B6" s="621"/>
      <c r="C6" s="606" t="s">
        <v>169</v>
      </c>
      <c r="D6" s="607"/>
      <c r="E6" s="598">
        <f>AVERAGE(D13:M13)</f>
        <v>158.45985984083663</v>
      </c>
      <c r="F6" s="599">
        <f>AVERAGE(D31:O31,D13:J13)</f>
        <v>167.35521127358265</v>
      </c>
      <c r="G6" s="600">
        <f>AVERAGE(D13:J13)</f>
        <v>167.35521127358265</v>
      </c>
      <c r="H6" s="601"/>
      <c r="I6" s="600">
        <f>AVERAGE(K13:M13)</f>
        <v>137.70403983109597</v>
      </c>
      <c r="J6" s="601"/>
      <c r="K6" s="602">
        <f>'0817 4度C'!Y2</f>
        <v>0</v>
      </c>
      <c r="L6" s="587">
        <f>'0817 4度C'!Z2</f>
        <v>0</v>
      </c>
      <c r="M6" s="603">
        <f>'0817 4度C'!AC2</f>
        <v>54</v>
      </c>
      <c r="N6" s="587">
        <f>'0817 4度C'!AD2</f>
        <v>0</v>
      </c>
    </row>
    <row r="7" spans="2:17" ht="28.5" customHeight="1">
      <c r="B7" s="621"/>
      <c r="C7" s="588" t="s">
        <v>170</v>
      </c>
      <c r="D7" s="589"/>
      <c r="E7" s="590">
        <f>AVERAGE(D14:M14)</f>
        <v>151.68802154698494</v>
      </c>
      <c r="F7" s="591">
        <f>AVERAGE(D32:O32,D14:J14)</f>
        <v>160.23414150111029</v>
      </c>
      <c r="G7" s="592">
        <f>AVERAGE(D14:J14)</f>
        <v>160.23414150111029</v>
      </c>
      <c r="H7" s="593"/>
      <c r="I7" s="592">
        <f>AVERAGE(K14:M14)</f>
        <v>131.74707498735918</v>
      </c>
      <c r="J7" s="593"/>
      <c r="K7" s="602"/>
      <c r="L7" s="587"/>
      <c r="M7" s="603"/>
      <c r="N7" s="587"/>
    </row>
    <row r="8" spans="2:17" ht="28.5" customHeight="1">
      <c r="B8" s="622"/>
      <c r="C8" s="588" t="s">
        <v>171</v>
      </c>
      <c r="D8" s="589"/>
      <c r="E8" s="594">
        <f>AVERAGE(D15:M15)</f>
        <v>0.95744212063918765</v>
      </c>
      <c r="F8" s="595">
        <f>AVERAGE(D15:J15,D33:O33)</f>
        <v>0.95781233993112569</v>
      </c>
      <c r="G8" s="596">
        <f>AVERAGE(D15:J15)</f>
        <v>0.95781233993112569</v>
      </c>
      <c r="H8" s="597"/>
      <c r="I8" s="596">
        <f>AVERAGE(K15:M15)</f>
        <v>0.95657827562466557</v>
      </c>
      <c r="J8" s="597"/>
      <c r="K8" s="602"/>
      <c r="L8" s="587"/>
      <c r="M8" s="603"/>
      <c r="N8" s="587"/>
    </row>
    <row r="9" spans="2:17" ht="28.5" customHeight="1" thickBot="1">
      <c r="H9" s="61"/>
      <c r="K9" s="62" t="s">
        <v>1682</v>
      </c>
      <c r="N9" s="57"/>
      <c r="O9" s="57"/>
      <c r="P9" s="57"/>
      <c r="Q9" s="57"/>
    </row>
    <row r="10" spans="2:17" ht="30" customHeight="1">
      <c r="B10" s="570" t="s">
        <v>1683</v>
      </c>
      <c r="C10" s="571"/>
      <c r="D10" s="572" t="s">
        <v>1684</v>
      </c>
      <c r="E10" s="573"/>
      <c r="F10" s="573"/>
      <c r="G10" s="573"/>
      <c r="H10" s="573"/>
      <c r="I10" s="573"/>
      <c r="J10" s="574"/>
      <c r="K10" s="575" t="s">
        <v>1685</v>
      </c>
      <c r="L10" s="576"/>
      <c r="M10" s="577"/>
      <c r="P10" s="63"/>
      <c r="Q10" s="63"/>
    </row>
    <row r="11" spans="2:17" ht="17.25" customHeight="1">
      <c r="B11" s="578" t="s">
        <v>1686</v>
      </c>
      <c r="C11" s="579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80"/>
      <c r="C12" s="581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582" t="s">
        <v>1687</v>
      </c>
      <c r="C13" s="70" t="s">
        <v>1688</v>
      </c>
      <c r="D13" s="71">
        <f>SUMIFS('0817 4度C'!$K:$K,'0817 4度C'!$A:$A,"新豐6線",'0817 4度C'!$B:$B,"平均")</f>
        <v>129.03225806451613</v>
      </c>
      <c r="E13" s="72">
        <f>SUMIFS('0817 4度C'!$K:$K,'0817 4度C'!$A:$A,"新豐2線",'0817 4度C'!$B:$B,"平均")</f>
        <v>83.333333333333329</v>
      </c>
      <c r="F13" s="73">
        <f>SUMIFS('0817 4度C'!$K:$K,'0817 4度C'!$A:$A,"新豐5線",'0817 4度C'!$B:$B,"平均")</f>
        <v>93.75</v>
      </c>
      <c r="G13" s="73">
        <f>SUMIFS('0817 4度C'!$K:$K,'0817 4度C'!$A:$A,"新豐7線",'0817 4度C'!$B:$B,"平均")</f>
        <v>136.36363636363637</v>
      </c>
      <c r="H13" s="73">
        <f>SUMIFS('0817 4度C'!$K:$K,'0817 4度C'!$A:$A,"新豐3線",'0817 4度C'!$B:$B,"平均")</f>
        <v>324.32432432432432</v>
      </c>
      <c r="I13" s="73">
        <f>SUMIFS('0817 4度C'!$K:$K,'0817 4度C'!$A:$A,"新豐1線",'0817 4度C'!$B:$B,"平均")</f>
        <v>112</v>
      </c>
      <c r="J13" s="74">
        <f>SUMIFS('0817 4度C'!$K:$K,'0817 4度C'!$A:$A,"新豐10線",'0817 4度C'!$B:$B,"平均")</f>
        <v>292.6829268292683</v>
      </c>
      <c r="K13" s="75">
        <f>SUMIFS('0817 4度C'!$K:$K,'0817 4度C'!$A:$A,"新豐8線",'0817 4度C'!$B:$B,"平均")</f>
        <v>139.53488372093022</v>
      </c>
      <c r="L13" s="76">
        <f>SUMIFS('0817 4度C'!$K:$K,'0817 4度C'!$A:$A,"新豐9線",'0817 4度C'!$B:$B,"平均")</f>
        <v>123.57723577235772</v>
      </c>
      <c r="M13" s="74">
        <f>SUMIFS('0817 4度C'!$K:$K,'0817 4度C'!$A:$A,"新豐4線",'0817 4度C'!$B:$B,"平均")</f>
        <v>150</v>
      </c>
    </row>
    <row r="14" spans="2:17" ht="39.6" customHeight="1">
      <c r="B14" s="583"/>
      <c r="C14" s="77" t="s">
        <v>1689</v>
      </c>
      <c r="D14" s="78">
        <f>SUMIFS('0817 4度C'!$N:$N,'0817 4度C'!$A:$A,"新豐6線",'0817 4度C'!$B:$B,"平均")</f>
        <v>124.2921801811158</v>
      </c>
      <c r="E14" s="79">
        <f>SUMIFS('0817 4度C'!$N:$N,'0817 4度C'!$A:$A,"新豐2線",'0817 4度C'!$B:$B,"平均")</f>
        <v>79.510883890024999</v>
      </c>
      <c r="F14" s="79">
        <f>SUMIFS('0817 4度C'!$N:$N,'0817 4度C'!$A:$A,"新豐5線",'0817 4度C'!$B:$B,"平均")</f>
        <v>89.756984847820164</v>
      </c>
      <c r="G14" s="79">
        <f>SUMIFS('0817 4度C'!$N:$N,'0817 4度C'!$A:$A,"新豐7線",'0817 4度C'!$B:$B,"平均")</f>
        <v>130.79379985349888</v>
      </c>
      <c r="H14" s="79">
        <f>SUMIFS('0817 4度C'!$N:$N,'0817 4度C'!$A:$A,"新豐3線",'0817 4度C'!$B:$B,"平均")</f>
        <v>309.56545944781186</v>
      </c>
      <c r="I14" s="79">
        <f>SUMIFS('0817 4度C'!$N:$N,'0817 4度C'!$A:$A,"新豐1線",'0817 4度C'!$B:$B,"平均")</f>
        <v>107.31799929492932</v>
      </c>
      <c r="J14" s="80">
        <f>SUMIFS('0817 4度C'!$N:$N,'0817 4度C'!$A:$A,"新豐10線",'0817 4度C'!$B:$B,"平均")</f>
        <v>280.40168299257101</v>
      </c>
      <c r="K14" s="81">
        <f>SUMIFS('0817 4度C'!$N:$N,'0817 4度C'!$A:$A,"新豐8線",'0817 4度C'!$B:$B,"平均")</f>
        <v>133.08654318064714</v>
      </c>
      <c r="L14" s="82">
        <f>SUMIFS('0817 4度C'!$N:$N,'0817 4度C'!$A:$A,"新豐9線",'0817 4度C'!$B:$B,"平均")</f>
        <v>118.03388511482954</v>
      </c>
      <c r="M14" s="80">
        <f>SUMIFS('0817 4度C'!$N:$N,'0817 4度C'!$A:$A,"新豐4線",'0817 4度C'!$B:$B,"平均")</f>
        <v>144.12079666660082</v>
      </c>
    </row>
    <row r="15" spans="2:17" ht="40.15" customHeight="1">
      <c r="B15" s="584"/>
      <c r="C15" s="83" t="s">
        <v>1690</v>
      </c>
      <c r="D15" s="84">
        <f t="shared" ref="D15:M15" si="0">D14/D13</f>
        <v>0.96326439640364747</v>
      </c>
      <c r="E15" s="85">
        <f t="shared" si="0"/>
        <v>0.95413060668030003</v>
      </c>
      <c r="F15" s="85">
        <f t="shared" si="0"/>
        <v>0.95740783837674837</v>
      </c>
      <c r="G15" s="85">
        <f t="shared" si="0"/>
        <v>0.95915453225899172</v>
      </c>
      <c r="H15" s="85">
        <f t="shared" si="0"/>
        <v>0.95449349996408661</v>
      </c>
      <c r="I15" s="85">
        <f t="shared" si="0"/>
        <v>0.95819642227615465</v>
      </c>
      <c r="J15" s="86">
        <f t="shared" si="0"/>
        <v>0.95803908355795098</v>
      </c>
      <c r="K15" s="84">
        <f t="shared" si="0"/>
        <v>0.95378689279463791</v>
      </c>
      <c r="L15" s="85">
        <f t="shared" si="0"/>
        <v>0.95514262296868646</v>
      </c>
      <c r="M15" s="86">
        <f t="shared" si="0"/>
        <v>0.96080531111067213</v>
      </c>
    </row>
    <row r="16" spans="2:17" ht="17.25" customHeight="1">
      <c r="B16" s="585" t="s">
        <v>1691</v>
      </c>
      <c r="C16" s="87" t="s">
        <v>1692</v>
      </c>
      <c r="D16" s="88">
        <f>VLOOKUP("新豐6線",'0817 4度C'!$A:$T,19,0)</f>
        <v>0.70833333333333337</v>
      </c>
      <c r="E16" s="89">
        <f>VLOOKUP("新豐2線",'0817 4度C'!$A:$T,19,0)</f>
        <v>8.3333333333333329E-2</v>
      </c>
      <c r="F16" s="89">
        <f>VLOOKUP("新豐5線",'0817 4度C'!$A:$T,19,0)</f>
        <v>0.20833333333333334</v>
      </c>
      <c r="G16" s="89">
        <f>VLOOKUP("新豐7線",'0817 4度C'!$A:$T,19,0)</f>
        <v>0.20833333333333334</v>
      </c>
      <c r="H16" s="89">
        <f>VLOOKUP("新豐3線",'0817 4度C'!$A:$T,19,0)</f>
        <v>0.20833333333333334</v>
      </c>
      <c r="I16" s="89">
        <f>VLOOKUP("新豐1線",'0817 4度C'!$A:$T,19,0)</f>
        <v>0.20833333333333334</v>
      </c>
      <c r="J16" s="90">
        <f>VLOOKUP("新豐10線",'0817 4度C'!$A:$T,19,0)</f>
        <v>0.20833333333333334</v>
      </c>
      <c r="K16" s="91">
        <f>VLOOKUP("新豐8線",'0817 4度C'!$A:$T,19,0)</f>
        <v>8.3333333333333329E-2</v>
      </c>
      <c r="L16" s="92">
        <f>VLOOKUP("新豐9線",'0817 4度C'!$A:$T,19,0)</f>
        <v>8.3333333333333329E-2</v>
      </c>
      <c r="M16" s="93">
        <f>VLOOKUP("新豐4線",'0817 4度C'!$A:$T,19,0)</f>
        <v>8.3333333333333329E-2</v>
      </c>
    </row>
    <row r="17" spans="2:13" ht="17.25" customHeight="1">
      <c r="B17" s="586"/>
      <c r="C17" s="87" t="s">
        <v>1693</v>
      </c>
      <c r="D17" s="91">
        <f>LOOKUP(2,1/(('0817 4度C'!$A:$A="新豐6線")*('0817 4度C'!$T:$T&lt;&gt;"")),'0817 4度C'!$T:$T)</f>
        <v>0.91875000000000007</v>
      </c>
      <c r="E17" s="89">
        <f>LOOKUP(2,1/(('0817 4度C'!$A:$A="新豐2線")*('0817 4度C'!$T:$T&lt;&gt;"")),'0817 4度C'!$T:$T)</f>
        <v>0.48680555555555549</v>
      </c>
      <c r="F17" s="89">
        <f>LOOKUP(2,1/(('0817 4度C'!$A:$A="新豐5線")*('0817 4度C'!$T:$T&lt;&gt;"")),'0817 4度C'!$T:$T)</f>
        <v>0.85416666666666663</v>
      </c>
      <c r="G17" s="89">
        <f>LOOKUP(2,1/(('0817 4度C'!$A:$A="新豐7線")*('0817 4度C'!$T:$T&lt;&gt;"")),'0817 4度C'!$T:$T)</f>
        <v>0.85277777777777775</v>
      </c>
      <c r="H17" s="89">
        <f>LOOKUP(2,1/(('0817 4度C'!$A:$A="新豐3線")*('0817 4度C'!$T:$T&lt;&gt;"")),'0817 4度C'!$T:$T)</f>
        <v>0.43958333333333338</v>
      </c>
      <c r="I17" s="89">
        <f>LOOKUP(2,1/(('0817 4度C'!$A:$A="新豐1線")*('0817 4度C'!$T:$T&lt;&gt;"")),'0817 4度C'!$T:$T)</f>
        <v>0.84583333333333333</v>
      </c>
      <c r="J17" s="90">
        <f>LOOKUP(2,1/(('0817 4度C'!$A:$A="新豐10線")*('0817 4度C'!$T:$T&lt;&gt;"")),'0817 4度C'!$T:$T)</f>
        <v>0.42430555555555555</v>
      </c>
      <c r="K17" s="88">
        <f>LOOKUP(2,1/(('0817 4度C'!$A:$A="新豐8線")*('0817 4度C'!$T:$T&lt;&gt;"")),'0817 4度C'!$T:$T)</f>
        <v>0.68125000000000002</v>
      </c>
      <c r="L17" s="89">
        <f>LOOKUP(2,1/(('0817 4度C'!$A:$A="新豐9線")*('0817 4度C'!$T:$T&lt;&gt;"")),'0817 4度C'!$T:$T)</f>
        <v>0.6875</v>
      </c>
      <c r="M17" s="90">
        <f>LOOKUP(2,1/(('0817 4度C'!$A:$A="新豐4線")*('0817 4度C'!$T:$T&lt;&gt;"")),'0817 4度C'!$T:$T)</f>
        <v>0.66874999999999984</v>
      </c>
    </row>
    <row r="18" spans="2:13" ht="17.25" customHeight="1">
      <c r="B18" s="564" t="s">
        <v>1694</v>
      </c>
      <c r="C18" s="94" t="s">
        <v>1695</v>
      </c>
      <c r="D18" s="95">
        <f>SUMIFS('0817 4度C'!$Y:$Y,'0817 4度C'!$A:$A,"新豐6線",'0817 4度C'!$B:$B,"平均")</f>
        <v>0</v>
      </c>
      <c r="E18" s="96">
        <f>SUMIFS('0817 4度C'!$Y:$Y,'0817 4度C'!$A:$A,"新豐2線",'0817 4度C'!$B:$B,"平均")</f>
        <v>0</v>
      </c>
      <c r="F18" s="96">
        <f>SUMIFS('0817 4度C'!$Y:$Y,'0817 4度C'!$A:$A,"新豐5線",'0817 4度C'!$B:$B,"平均")</f>
        <v>0</v>
      </c>
      <c r="G18" s="96">
        <f>SUMIFS('0817 4度C'!$Y:$Y,'0817 4度C'!$A:$A,"新豐7線",'0817 4度C'!$B:$B,"平均")</f>
        <v>0</v>
      </c>
      <c r="H18" s="96">
        <f>SUMIFS('0817 4度C'!$Y:$Y,'0817 4度C'!$A:$A,"新豐3線",'0817 4度C'!$B:$B,"平均")</f>
        <v>0</v>
      </c>
      <c r="I18" s="96">
        <f>SUMIFS('0817 4度C'!$Y:$Y,'0817 4度C'!$A:$A,"新豐1線",'0817 4度C'!$B:$B,"平均")</f>
        <v>0</v>
      </c>
      <c r="J18" s="97">
        <f>SUMIFS('0817 4度C'!$Y:$Y,'0817 4度C'!$A:$A,"新豐10線",'0817 4度C'!$B:$B,"平均")</f>
        <v>0</v>
      </c>
      <c r="K18" s="98">
        <f>SUMIFS('0817 4度C'!$Y:$Y,'0817 4度C'!$A:$A,"新豐8線",'0817 4度C'!$B:$B,"平均")</f>
        <v>0</v>
      </c>
      <c r="L18" s="96">
        <f>SUMIFS('0817 4度C'!$Y:$Y,'0817 4度C'!$A:$A,"新豐9線",'0817 4度C'!$B:$B,"平均")</f>
        <v>0</v>
      </c>
      <c r="M18" s="97">
        <f>SUMIFS('0817 4度C'!$Y:$Y,'0817 4度C'!$A:$A,"新豐4線",'0817 4度C'!$B:$B,"平均")</f>
        <v>0</v>
      </c>
    </row>
    <row r="19" spans="2:13" ht="17.25" customHeight="1">
      <c r="B19" s="565"/>
      <c r="C19" s="94" t="s">
        <v>1696</v>
      </c>
      <c r="D19" s="95">
        <f>SUMIFS('0817 4度C'!$Z:$Z,'0817 4度C'!$A:$A,"新豐6線",'0817 4度C'!$B:$B,"平均")</f>
        <v>0</v>
      </c>
      <c r="E19" s="96">
        <f>SUMIFS('0817 4度C'!$Z:$Z,'0817 4度C'!$A:$A,"新豐2線",'0817 4度C'!$B:$B,"平均")</f>
        <v>0</v>
      </c>
      <c r="F19" s="96">
        <f>SUMIFS('0817 4度C'!$Z:$Z,'0817 4度C'!$A:$A,"新豐5線",'0817 4度C'!$B:$B,"平均")</f>
        <v>0</v>
      </c>
      <c r="G19" s="96">
        <f>SUMIFS('0817 4度C'!$Z:$Z,'0817 4度C'!$A:$A,"新豐7線",'0817 4度C'!$B:$B,"平均")</f>
        <v>0</v>
      </c>
      <c r="H19" s="96">
        <f>SUMIFS('0817 4度C'!$Z:$Z,'0817 4度C'!$A:$A,"新豐3線",'0817 4度C'!$B:$B,"平均")</f>
        <v>0</v>
      </c>
      <c r="I19" s="96">
        <f>SUMIFS('0817 4度C'!$Z:$Z,'0817 4度C'!$A:$A,"新豐1線",'0817 4度C'!$B:$B,"平均")</f>
        <v>0</v>
      </c>
      <c r="J19" s="97">
        <f>SUMIFS('0817 4度C'!$Z:$Z,'0817 4度C'!$A:$A,"新豐10線",'0817 4度C'!$B:$B,"平均")</f>
        <v>0</v>
      </c>
      <c r="K19" s="98">
        <f>SUMIFS('0817 4度C'!$Z:$Z,'0817 4度C'!$A:$A,"新豐8線",'0817 4度C'!$B:$B,"平均")</f>
        <v>0</v>
      </c>
      <c r="L19" s="96">
        <f>SUMIFS('0817 4度C'!$Z:$Z,'0817 4度C'!$A:$A,"新豐9線",'0817 4度C'!$B:$B,"平均")</f>
        <v>0</v>
      </c>
      <c r="M19" s="97">
        <f>SUMIFS('0817 4度C'!$Z:$Z,'0817 4度C'!$A:$A,"新豐4線",'0817 4度C'!$B:$B,"平均")</f>
        <v>0</v>
      </c>
    </row>
    <row r="20" spans="2:13" ht="17.25" customHeight="1">
      <c r="B20" s="564" t="s">
        <v>249</v>
      </c>
      <c r="C20" s="94" t="s">
        <v>1695</v>
      </c>
      <c r="D20" s="95">
        <f>SUMIFS('0817 4度C'!$AC:$AC,'0817 4度C'!$A:$A,"新豐6線",'0817 4度C'!$B:$B,"平均")</f>
        <v>4</v>
      </c>
      <c r="E20" s="96">
        <f>SUMIFS('0817 4度C'!$AC:$AC,'0817 4度C'!$A:$A,"新豐2線",'0817 4度C'!$B:$B,"平均")</f>
        <v>2</v>
      </c>
      <c r="F20" s="96">
        <f>SUMIFS('0817 4度C'!$AC:$AC,'0817 4度C'!$A:$A,"新豐5線",'0817 4度C'!$B:$B,"平均")</f>
        <v>7</v>
      </c>
      <c r="G20" s="96">
        <f>SUMIFS('0817 4度C'!$AC:$AC,'0817 4度C'!$A:$A,"新豐7線",'0817 4度C'!$B:$B,"平均")</f>
        <v>6</v>
      </c>
      <c r="H20" s="96">
        <f>SUMIFS('0817 4度C'!$AC:$AC,'0817 4度C'!$A:$A,"新豐3線",'0817 4度C'!$B:$B,"平均")</f>
        <v>4</v>
      </c>
      <c r="I20" s="96">
        <f>SUMIFS('0817 4度C'!$AC:$AC,'0817 4度C'!$A:$A,"新豐1線",'0817 4度C'!$B:$B,"平均")</f>
        <v>7</v>
      </c>
      <c r="J20" s="97">
        <f>SUMIFS('0817 4度C'!$AC:$AC,'0817 4度C'!$A:$A,"新豐10線",'0817 4度C'!$B:$B,"平均")</f>
        <v>4</v>
      </c>
      <c r="K20" s="98">
        <f>SUMIFS('0817 4度C'!$AC:$AC,'0817 4度C'!$A:$A,"新豐8線",'0817 4度C'!$B:$B,"平均")</f>
        <v>5</v>
      </c>
      <c r="L20" s="96">
        <f>SUMIFS('0817 4度C'!$AC:$AC,'0817 4度C'!$A:$A,"新豐9線",'0817 4度C'!$B:$B,"平均")</f>
        <v>7</v>
      </c>
      <c r="M20" s="97">
        <f>SUMIFS('0817 4度C'!$AC:$AC,'0817 4度C'!$A:$A,"新豐4線",'0817 4度C'!$B:$B,"平均")</f>
        <v>8</v>
      </c>
    </row>
    <row r="21" spans="2:13" ht="17.25" customHeight="1">
      <c r="B21" s="565"/>
      <c r="C21" s="94" t="s">
        <v>250</v>
      </c>
      <c r="D21" s="95">
        <f>SUMIFS('0817 4度C'!$AD:$AD,'0817 4度C'!$A:$A,"新豐6線",'0817 4度C'!$B:$B,"平均")</f>
        <v>0</v>
      </c>
      <c r="E21" s="96">
        <f>SUMIFS('0817 4度C'!$AD:$AD,'0817 4度C'!$A:$A,"新豐2線",'0817 4度C'!$B:$B,"平均")</f>
        <v>0</v>
      </c>
      <c r="F21" s="96">
        <f>SUMIFS('0817 4度C'!$AD:$AD,'0817 4度C'!$A:$A,"新豐5線",'0817 4度C'!$B:$B,"平均")</f>
        <v>0</v>
      </c>
      <c r="G21" s="96">
        <f>SUMIFS('0817 4度C'!$AD:$AD,'0817 4度C'!$A:$A,"新豐7線",'0817 4度C'!$B:$B,"平均")</f>
        <v>0</v>
      </c>
      <c r="H21" s="96">
        <f>SUMIFS('0817 4度C'!$AD:$AD,'0817 4度C'!$A:$A,"新豐3線",'0817 4度C'!$B:$B,"平均")</f>
        <v>0</v>
      </c>
      <c r="I21" s="96">
        <f>SUMIFS('0817 4度C'!$AD:$AD,'0817 4度C'!$A:$A,"新豐1線",'0817 4度C'!$B:$B,"平均")</f>
        <v>0</v>
      </c>
      <c r="J21" s="97">
        <f>SUMIFS('0817 4度C'!$AD:$AD,'0817 4度C'!$A:$A,"新豐10線",'0817 4度C'!$B:$B,"平均")</f>
        <v>0</v>
      </c>
      <c r="K21" s="98">
        <f>SUMIFS('0817 4度C'!$AD:$AD,'0817 4度C'!$A:$A,"新豐8線",'0817 4度C'!$B:$B,"平均")</f>
        <v>0</v>
      </c>
      <c r="L21" s="96">
        <f>SUMIFS('0817 4度C'!$AD:$AD,'0817 4度C'!$A:$A,"新豐9線",'0817 4度C'!$B:$B,"平均")</f>
        <v>0</v>
      </c>
      <c r="M21" s="97">
        <f>SUMIFS('0817 4度C'!$AD:$AD,'0817 4度C'!$A:$A,"新豐4線",'0817 4度C'!$B:$B,"平均")</f>
        <v>0</v>
      </c>
    </row>
    <row r="22" spans="2:13" ht="17.25" customHeight="1">
      <c r="B22" s="566" t="s">
        <v>1697</v>
      </c>
      <c r="C22" s="567"/>
      <c r="D22" s="99">
        <f>SUMIFS('0817 4度C'!$I:$I,'0817 4度C'!$A:$A,"新豐6線",'0817 4度C'!$B:$B,"平均")</f>
        <v>15.5</v>
      </c>
      <c r="E22" s="100">
        <f>SUMIFS('0817 4度C'!$I:$I,'0817 4度C'!$A:$A,"新豐2線",'0817 4度C'!$B:$B,"平均")</f>
        <v>18</v>
      </c>
      <c r="F22" s="100">
        <f>SUMIFS('0817 4度C'!$I:$I,'0817 4度C'!$A:$A,"新豐5線",'0817 4度C'!$B:$B,"平均")</f>
        <v>18.285714285714285</v>
      </c>
      <c r="G22" s="100">
        <f>SUMIFS('0817 4度C'!$I:$I,'0817 4度C'!$A:$A,"新豐7線",'0817 4度C'!$B:$B,"平均")</f>
        <v>14.666666666666666</v>
      </c>
      <c r="H22" s="100">
        <f>SUMIFS('0817 4度C'!$I:$I,'0817 4度C'!$A:$A,"新豐3線",'0817 4度C'!$B:$B,"平均")</f>
        <v>9.25</v>
      </c>
      <c r="I22" s="100">
        <f>SUMIFS('0817 4度C'!$I:$I,'0817 4度C'!$A:$A,"新豐1線",'0817 4度C'!$B:$B,"平均")</f>
        <v>17.857142857142858</v>
      </c>
      <c r="J22" s="101">
        <f>SUMIFS('0817 4度C'!$I:$I,'0817 4度C'!$A:$A,"新豐10線",'0817 4度C'!$B:$B,"平均")</f>
        <v>10.25</v>
      </c>
      <c r="K22" s="99">
        <f>SUMIFS('0817 4度C'!$I:$I,'0817 4度C'!$A:$A,"新豐8線",'0817 4度C'!$B:$B,"平均")</f>
        <v>17.2</v>
      </c>
      <c r="L22" s="100">
        <f>SUMIFS('0817 4度C'!$I:$I,'0817 4度C'!$A:$A,"新豐9線",'0817 4度C'!$B:$B,"平均")</f>
        <v>17.571428571428573</v>
      </c>
      <c r="M22" s="101">
        <f>SUMIFS('0817 4度C'!$I:$I,'0817 4度C'!$A:$A,"新豐4線",'0817 4度C'!$B:$B,"平均")</f>
        <v>16</v>
      </c>
    </row>
    <row r="23" spans="2:13" ht="17.25" customHeight="1">
      <c r="B23" s="566" t="s">
        <v>1698</v>
      </c>
      <c r="C23" s="567"/>
      <c r="D23" s="102" t="s">
        <v>202</v>
      </c>
      <c r="E23" s="103" t="s">
        <v>203</v>
      </c>
      <c r="F23" s="103" t="s">
        <v>1699</v>
      </c>
      <c r="G23" s="103" t="s">
        <v>1699</v>
      </c>
      <c r="H23" s="103" t="s">
        <v>205</v>
      </c>
      <c r="I23" s="103" t="s">
        <v>202</v>
      </c>
      <c r="J23" s="104" t="s">
        <v>205</v>
      </c>
      <c r="K23" s="102" t="s">
        <v>1700</v>
      </c>
      <c r="L23" s="103" t="s">
        <v>1700</v>
      </c>
      <c r="M23" s="104" t="s">
        <v>255</v>
      </c>
    </row>
    <row r="24" spans="2:13" ht="17.25" customHeight="1">
      <c r="B24" s="566" t="s">
        <v>1701</v>
      </c>
      <c r="C24" s="567"/>
      <c r="D24" s="102"/>
      <c r="E24" s="103"/>
      <c r="F24" s="103" t="s">
        <v>1702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68" t="s">
        <v>1703</v>
      </c>
      <c r="C25" s="569"/>
      <c r="D25" s="105"/>
      <c r="E25" s="106" t="s">
        <v>260</v>
      </c>
      <c r="F25" s="562" t="s">
        <v>1704</v>
      </c>
      <c r="G25" s="563"/>
      <c r="H25" s="106" t="s">
        <v>1705</v>
      </c>
      <c r="I25" s="106" t="s">
        <v>1706</v>
      </c>
      <c r="J25" s="107" t="s">
        <v>1705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298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69"/>
  <sheetViews>
    <sheetView zoomScale="80" zoomScaleNormal="80" workbookViewId="0">
      <pane ySplit="4" topLeftCell="A44" activePane="bottomLeft" state="frozen"/>
      <selection activeCell="T7" sqref="T7"/>
      <selection pane="bottomLeft" activeCell="T7" sqref="T7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41" customWidth="1"/>
    <col min="20" max="20" width="7.625" style="41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1707</v>
      </c>
      <c r="B1" s="1"/>
      <c r="C1" s="2" t="s">
        <v>1708</v>
      </c>
      <c r="D1" s="3">
        <f>SUM(F5:F68)</f>
        <v>180804</v>
      </c>
      <c r="E1" s="338" t="s">
        <v>1709</v>
      </c>
      <c r="F1" s="1">
        <f>SUM(G5:G68)</f>
        <v>6311785.7300000004</v>
      </c>
      <c r="G1" s="1" t="s">
        <v>1710</v>
      </c>
      <c r="H1" s="5">
        <f>L9+L12+L46+L54+L20+L59+L33+L41+L27+L68</f>
        <v>154.58095238095237</v>
      </c>
      <c r="I1" s="676" t="s">
        <v>1711</v>
      </c>
      <c r="J1" s="676"/>
      <c r="K1" s="676"/>
      <c r="L1" s="676" t="s">
        <v>1712</v>
      </c>
      <c r="M1" s="676"/>
      <c r="N1" s="676"/>
      <c r="O1" s="676" t="s">
        <v>1713</v>
      </c>
      <c r="P1" s="676"/>
      <c r="Q1" s="676"/>
      <c r="R1" s="676"/>
      <c r="S1" s="676" t="s">
        <v>1714</v>
      </c>
      <c r="T1" s="676"/>
      <c r="U1" s="676"/>
      <c r="V1" s="676"/>
      <c r="W1" s="676"/>
      <c r="X1" s="676"/>
      <c r="Y1" s="6" t="s">
        <v>1715</v>
      </c>
      <c r="Z1" s="7" t="s">
        <v>1716</v>
      </c>
      <c r="AA1" s="677" t="s">
        <v>1717</v>
      </c>
      <c r="AB1" s="677"/>
      <c r="AC1" s="8" t="s">
        <v>1715</v>
      </c>
      <c r="AD1" s="7" t="s">
        <v>1718</v>
      </c>
      <c r="AE1" s="676" t="s">
        <v>1719</v>
      </c>
      <c r="AF1" s="678"/>
      <c r="AG1" s="678"/>
    </row>
    <row r="2" spans="1:33" ht="26.25" customHeight="1">
      <c r="A2" s="35">
        <v>46251</v>
      </c>
      <c r="B2" s="36" t="s">
        <v>378</v>
      </c>
      <c r="C2" s="2" t="s">
        <v>1720</v>
      </c>
      <c r="D2" s="10">
        <f>AVERAGE(N9,N12,N46,N54,N20,N59,N27,N33,N41,N68)</f>
        <v>151.68802154698497</v>
      </c>
      <c r="E2" s="11" t="s">
        <v>14</v>
      </c>
      <c r="F2" s="12">
        <f>F1/D1</f>
        <v>34.909546967987438</v>
      </c>
      <c r="G2" s="1" t="s">
        <v>1721</v>
      </c>
      <c r="H2" s="350">
        <f>COUNT(H5:H68)</f>
        <v>7</v>
      </c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14">
        <f>SUM(Y9+Y12+Y20+Y27+Y33+Y41+Y46+Y54+Y59+Y68)</f>
        <v>0</v>
      </c>
      <c r="Z2" s="14">
        <f>SUM(Z9+Z12+Z20+Z27+Z33+Z41+Z46+Z54+Z59+Z68)</f>
        <v>0</v>
      </c>
      <c r="AA2" s="677"/>
      <c r="AB2" s="677"/>
      <c r="AC2" s="14">
        <v>54</v>
      </c>
      <c r="AD2" s="14">
        <f>SUM(AD9+AD12+AD20+AD27+AD33+AD41+AD46+AD54+AD59+AD68)</f>
        <v>0</v>
      </c>
      <c r="AE2" s="678"/>
      <c r="AF2" s="678"/>
      <c r="AG2" s="678"/>
    </row>
    <row r="3" spans="1:33" ht="40.5" customHeight="1">
      <c r="A3" s="632" t="s">
        <v>1722</v>
      </c>
      <c r="B3" s="632" t="s">
        <v>1723</v>
      </c>
      <c r="C3" s="632" t="s">
        <v>1724</v>
      </c>
      <c r="D3" s="632"/>
      <c r="E3" s="674" t="s">
        <v>1725</v>
      </c>
      <c r="F3" s="632" t="s">
        <v>1726</v>
      </c>
      <c r="G3" s="674" t="s">
        <v>1727</v>
      </c>
      <c r="H3" s="667" t="s">
        <v>1728</v>
      </c>
      <c r="I3" s="665" t="s">
        <v>1729</v>
      </c>
      <c r="J3" s="662" t="s">
        <v>1730</v>
      </c>
      <c r="K3" s="672" t="s">
        <v>1720</v>
      </c>
      <c r="L3" s="665" t="s">
        <v>1729</v>
      </c>
      <c r="M3" s="662" t="s">
        <v>1730</v>
      </c>
      <c r="N3" s="672" t="s">
        <v>1720</v>
      </c>
      <c r="O3" s="665" t="s">
        <v>1729</v>
      </c>
      <c r="P3" s="672" t="s">
        <v>1720</v>
      </c>
      <c r="Q3" s="663" t="s">
        <v>1731</v>
      </c>
      <c r="R3" s="641" t="s">
        <v>1732</v>
      </c>
      <c r="S3" s="673" t="s">
        <v>29</v>
      </c>
      <c r="T3" s="673"/>
      <c r="U3" s="667" t="s">
        <v>30</v>
      </c>
      <c r="V3" s="667" t="s">
        <v>1733</v>
      </c>
      <c r="W3" s="632" t="s">
        <v>1734</v>
      </c>
      <c r="X3" s="632"/>
      <c r="Y3" s="668" t="s">
        <v>1735</v>
      </c>
      <c r="Z3" s="631"/>
      <c r="AA3" s="669" t="s">
        <v>1736</v>
      </c>
      <c r="AB3" s="670"/>
      <c r="AC3" s="668" t="s">
        <v>1737</v>
      </c>
      <c r="AD3" s="631"/>
      <c r="AE3" s="662" t="s">
        <v>1738</v>
      </c>
      <c r="AF3" s="663" t="s">
        <v>1739</v>
      </c>
      <c r="AG3" s="641" t="s">
        <v>1740</v>
      </c>
    </row>
    <row r="4" spans="1:33" ht="15.75" customHeight="1">
      <c r="A4" s="632"/>
      <c r="B4" s="632"/>
      <c r="C4" s="632"/>
      <c r="D4" s="632"/>
      <c r="E4" s="675"/>
      <c r="F4" s="632"/>
      <c r="G4" s="675"/>
      <c r="H4" s="667"/>
      <c r="I4" s="665"/>
      <c r="J4" s="662"/>
      <c r="K4" s="672"/>
      <c r="L4" s="665"/>
      <c r="M4" s="662"/>
      <c r="N4" s="672"/>
      <c r="O4" s="665"/>
      <c r="P4" s="672"/>
      <c r="Q4" s="663"/>
      <c r="R4" s="641"/>
      <c r="S4" s="351" t="s">
        <v>39</v>
      </c>
      <c r="T4" s="351" t="s">
        <v>40</v>
      </c>
      <c r="U4" s="667"/>
      <c r="V4" s="667"/>
      <c r="W4" s="338" t="s">
        <v>1741</v>
      </c>
      <c r="X4" s="338" t="s">
        <v>1742</v>
      </c>
      <c r="Y4" s="340" t="s">
        <v>1743</v>
      </c>
      <c r="Z4" s="340" t="s">
        <v>1744</v>
      </c>
      <c r="AA4" s="671"/>
      <c r="AB4" s="670"/>
      <c r="AC4" s="340" t="s">
        <v>1745</v>
      </c>
      <c r="AD4" s="340" t="s">
        <v>1746</v>
      </c>
      <c r="AE4" s="662"/>
      <c r="AF4" s="663"/>
      <c r="AG4" s="641"/>
    </row>
    <row r="5" spans="1:33">
      <c r="A5" s="664" t="s">
        <v>1747</v>
      </c>
      <c r="B5" s="42" t="s">
        <v>92</v>
      </c>
      <c r="C5" s="666" t="s">
        <v>93</v>
      </c>
      <c r="D5" s="666"/>
      <c r="E5" s="42">
        <v>50.92</v>
      </c>
      <c r="F5" s="351">
        <v>2625</v>
      </c>
      <c r="G5" s="338">
        <f t="shared" ref="G5:G8" si="0">E5*F5</f>
        <v>133665</v>
      </c>
      <c r="H5" s="37" t="s">
        <v>91</v>
      </c>
      <c r="I5" s="348">
        <v>15</v>
      </c>
      <c r="J5" s="39">
        <v>2000</v>
      </c>
      <c r="K5" s="17">
        <f t="shared" ref="K5:K68" si="1">J5/I5</f>
        <v>133.33333333333334</v>
      </c>
      <c r="L5" s="348">
        <v>15</v>
      </c>
      <c r="M5" s="18">
        <f t="shared" ref="M5:M8" si="2">F5/V5*60</f>
        <v>1920.7317073170725</v>
      </c>
      <c r="N5" s="17">
        <f t="shared" ref="N5:N68" si="3">M5/L5</f>
        <v>128.04878048780483</v>
      </c>
      <c r="O5" s="19">
        <f t="shared" ref="O5:O68" si="4">L5-I5</f>
        <v>0</v>
      </c>
      <c r="P5" s="20">
        <f t="shared" ref="P5:P68" si="5">N5-K5</f>
        <v>-5.2845528455285091</v>
      </c>
      <c r="Q5" s="337">
        <f t="shared" ref="Q5:Q68" si="6">N5/K5</f>
        <v>0.96036585365853622</v>
      </c>
      <c r="R5" s="637">
        <f>Q9</f>
        <v>0.96326439640364747</v>
      </c>
      <c r="S5" s="40">
        <v>0.70833333333333337</v>
      </c>
      <c r="T5" s="40">
        <v>0.76527777777777783</v>
      </c>
      <c r="U5" s="338"/>
      <c r="V5" s="349">
        <f t="shared" ref="V5:V8" si="7">(T5-S5)*24*60</f>
        <v>82.000000000000028</v>
      </c>
      <c r="W5" s="23"/>
      <c r="X5" s="23"/>
      <c r="Y5" s="24"/>
      <c r="Z5" s="24"/>
      <c r="AA5" s="632"/>
      <c r="AB5" s="632"/>
      <c r="AC5" s="25">
        <v>4</v>
      </c>
      <c r="AD5" s="25"/>
      <c r="AE5" s="19">
        <f t="shared" ref="AE5:AE53" si="8">M5-J5</f>
        <v>-79.268292682927495</v>
      </c>
      <c r="AF5" s="337">
        <f t="shared" ref="AF5:AF68" si="9">M5/J5</f>
        <v>0.96036585365853622</v>
      </c>
      <c r="AG5" s="637">
        <f>AF9</f>
        <v>0.96326439640364747</v>
      </c>
    </row>
    <row r="6" spans="1:33">
      <c r="A6" s="665" t="s">
        <v>1748</v>
      </c>
      <c r="B6" s="42" t="s">
        <v>92</v>
      </c>
      <c r="C6" s="666" t="s">
        <v>94</v>
      </c>
      <c r="D6" s="666"/>
      <c r="E6" s="42">
        <v>50.98</v>
      </c>
      <c r="F6" s="351">
        <v>1000</v>
      </c>
      <c r="G6" s="338">
        <f t="shared" si="0"/>
        <v>50980</v>
      </c>
      <c r="H6" s="37">
        <v>2</v>
      </c>
      <c r="I6" s="348">
        <v>16</v>
      </c>
      <c r="J6" s="39">
        <v>2000</v>
      </c>
      <c r="K6" s="17">
        <f t="shared" si="1"/>
        <v>125</v>
      </c>
      <c r="L6" s="348">
        <v>16</v>
      </c>
      <c r="M6" s="18">
        <f t="shared" si="2"/>
        <v>1935.483870967739</v>
      </c>
      <c r="N6" s="17">
        <f t="shared" si="3"/>
        <v>120.96774193548369</v>
      </c>
      <c r="O6" s="19">
        <f t="shared" si="4"/>
        <v>0</v>
      </c>
      <c r="P6" s="20">
        <f t="shared" si="5"/>
        <v>-4.0322580645163129</v>
      </c>
      <c r="Q6" s="337">
        <f t="shared" si="6"/>
        <v>0.96774193548386944</v>
      </c>
      <c r="R6" s="637"/>
      <c r="S6" s="40">
        <v>0.76875000000000004</v>
      </c>
      <c r="T6" s="40">
        <v>0.79027777777777786</v>
      </c>
      <c r="U6" s="338">
        <f t="shared" ref="U6:U8" si="10">IF(S6=TIME(17,0,0),"",(S6-T5)*24*60)</f>
        <v>4.9999999999999822</v>
      </c>
      <c r="V6" s="349">
        <f t="shared" si="7"/>
        <v>31.00000000000005</v>
      </c>
      <c r="W6" s="23"/>
      <c r="X6" s="23"/>
      <c r="Y6" s="23"/>
      <c r="Z6" s="23"/>
      <c r="AA6" s="632"/>
      <c r="AB6" s="632"/>
      <c r="AC6" s="25"/>
      <c r="AD6" s="25"/>
      <c r="AE6" s="19">
        <f t="shared" si="8"/>
        <v>-64.516129032261006</v>
      </c>
      <c r="AF6" s="337">
        <f t="shared" si="9"/>
        <v>0.96774193548386944</v>
      </c>
      <c r="AG6" s="637"/>
    </row>
    <row r="7" spans="1:33">
      <c r="A7" s="665" t="s">
        <v>1748</v>
      </c>
      <c r="B7" s="42" t="s">
        <v>92</v>
      </c>
      <c r="C7" s="660" t="s">
        <v>109</v>
      </c>
      <c r="D7" s="661"/>
      <c r="E7" s="42">
        <v>50.49</v>
      </c>
      <c r="F7" s="351">
        <v>2138</v>
      </c>
      <c r="G7" s="338">
        <f t="shared" si="0"/>
        <v>107947.62000000001</v>
      </c>
      <c r="H7" s="37" t="s">
        <v>91</v>
      </c>
      <c r="I7" s="348">
        <v>15</v>
      </c>
      <c r="J7" s="39">
        <v>2000</v>
      </c>
      <c r="K7" s="17">
        <f t="shared" si="1"/>
        <v>133.33333333333334</v>
      </c>
      <c r="L7" s="348">
        <v>15</v>
      </c>
      <c r="M7" s="18">
        <f t="shared" si="2"/>
        <v>1914.6268656716393</v>
      </c>
      <c r="N7" s="17">
        <f t="shared" si="3"/>
        <v>127.64179104477596</v>
      </c>
      <c r="O7" s="19">
        <f t="shared" si="4"/>
        <v>0</v>
      </c>
      <c r="P7" s="20">
        <f t="shared" si="5"/>
        <v>-5.6915422885573861</v>
      </c>
      <c r="Q7" s="337">
        <f t="shared" si="6"/>
        <v>0.9573134328358196</v>
      </c>
      <c r="R7" s="637"/>
      <c r="S7" s="40">
        <v>0.79375000000000007</v>
      </c>
      <c r="T7" s="40">
        <v>0.8402777777777779</v>
      </c>
      <c r="U7" s="338">
        <f t="shared" si="10"/>
        <v>4.9999999999999822</v>
      </c>
      <c r="V7" s="349">
        <f t="shared" si="7"/>
        <v>67.000000000000085</v>
      </c>
      <c r="W7" s="23">
        <f>T7</f>
        <v>0.8402777777777779</v>
      </c>
      <c r="X7" s="23">
        <f>S8</f>
        <v>0.88055555555555565</v>
      </c>
      <c r="Y7" s="26"/>
      <c r="Z7" s="26"/>
      <c r="AA7" s="627"/>
      <c r="AB7" s="628"/>
      <c r="AC7" s="27"/>
      <c r="AD7" s="27"/>
      <c r="AE7" s="19">
        <f t="shared" si="8"/>
        <v>-85.37313432836072</v>
      </c>
      <c r="AF7" s="337">
        <f t="shared" si="9"/>
        <v>0.9573134328358196</v>
      </c>
      <c r="AG7" s="637"/>
    </row>
    <row r="8" spans="1:33">
      <c r="A8" s="665" t="s">
        <v>1748</v>
      </c>
      <c r="B8" s="42" t="s">
        <v>92</v>
      </c>
      <c r="C8" s="660" t="s">
        <v>94</v>
      </c>
      <c r="D8" s="661"/>
      <c r="E8" s="42">
        <v>50.98</v>
      </c>
      <c r="F8" s="351">
        <v>1774</v>
      </c>
      <c r="G8" s="338">
        <f t="shared" si="0"/>
        <v>90438.51999999999</v>
      </c>
      <c r="H8" s="37" t="s">
        <v>91</v>
      </c>
      <c r="I8" s="348">
        <v>16</v>
      </c>
      <c r="J8" s="39">
        <v>2000</v>
      </c>
      <c r="K8" s="17">
        <f t="shared" si="1"/>
        <v>125</v>
      </c>
      <c r="L8" s="348">
        <v>16</v>
      </c>
      <c r="M8" s="18">
        <f t="shared" si="2"/>
        <v>1935.2727272727288</v>
      </c>
      <c r="N8" s="17">
        <f t="shared" si="3"/>
        <v>120.95454545454555</v>
      </c>
      <c r="O8" s="19">
        <f t="shared" si="4"/>
        <v>0</v>
      </c>
      <c r="P8" s="20">
        <f t="shared" si="5"/>
        <v>-4.0454545454544473</v>
      </c>
      <c r="Q8" s="337">
        <f t="shared" si="6"/>
        <v>0.9676363636363644</v>
      </c>
      <c r="R8" s="637"/>
      <c r="S8" s="40">
        <v>0.88055555555555565</v>
      </c>
      <c r="T8" s="40">
        <v>0.91875000000000007</v>
      </c>
      <c r="U8" s="338">
        <f t="shared" si="10"/>
        <v>57.999999999999957</v>
      </c>
      <c r="V8" s="349">
        <f t="shared" si="7"/>
        <v>54.999999999999964</v>
      </c>
      <c r="W8" s="28"/>
      <c r="X8" s="28"/>
      <c r="Y8" s="136"/>
      <c r="Z8" s="136"/>
      <c r="AA8" s="627"/>
      <c r="AB8" s="628"/>
      <c r="AC8" s="27"/>
      <c r="AD8" s="27"/>
      <c r="AE8" s="19">
        <f t="shared" si="8"/>
        <v>-64.727272727271156</v>
      </c>
      <c r="AF8" s="337">
        <f t="shared" si="9"/>
        <v>0.9676363636363644</v>
      </c>
      <c r="AG8" s="637"/>
    </row>
    <row r="9" spans="1:33">
      <c r="A9" s="665" t="s">
        <v>1748</v>
      </c>
      <c r="B9" s="42" t="s">
        <v>1749</v>
      </c>
      <c r="C9" s="638"/>
      <c r="D9" s="638"/>
      <c r="E9" s="339"/>
      <c r="F9" s="44"/>
      <c r="G9" s="17"/>
      <c r="H9" s="351"/>
      <c r="I9" s="29">
        <v>15.5</v>
      </c>
      <c r="J9" s="39">
        <v>2000</v>
      </c>
      <c r="K9" s="17">
        <f t="shared" si="1"/>
        <v>129.03225806451613</v>
      </c>
      <c r="L9" s="29">
        <v>15.5</v>
      </c>
      <c r="M9" s="18">
        <f>AVERAGE(M5:M8)</f>
        <v>1926.5287928072948</v>
      </c>
      <c r="N9" s="17">
        <f t="shared" si="3"/>
        <v>124.2921801811158</v>
      </c>
      <c r="O9" s="19">
        <f t="shared" si="4"/>
        <v>0</v>
      </c>
      <c r="P9" s="20">
        <f t="shared" si="5"/>
        <v>-4.7400778834003319</v>
      </c>
      <c r="Q9" s="337">
        <f t="shared" si="6"/>
        <v>0.96326439640364747</v>
      </c>
      <c r="R9" s="637"/>
      <c r="S9" s="40"/>
      <c r="T9" s="40"/>
      <c r="U9" s="338"/>
      <c r="V9" s="349"/>
      <c r="W9" s="17"/>
      <c r="X9" s="17"/>
      <c r="Y9" s="30">
        <f>SUM(Y5:Y8)</f>
        <v>0</v>
      </c>
      <c r="Z9" s="30">
        <f>SUM(Z5:Z8)</f>
        <v>0</v>
      </c>
      <c r="AA9" s="631"/>
      <c r="AB9" s="631"/>
      <c r="AC9" s="30">
        <v>4</v>
      </c>
      <c r="AD9" s="30">
        <f>SUM(AD5:AD8)</f>
        <v>0</v>
      </c>
      <c r="AE9" s="19">
        <f t="shared" si="8"/>
        <v>-73.471207192705151</v>
      </c>
      <c r="AF9" s="337">
        <f t="shared" si="9"/>
        <v>0.96326439640364747</v>
      </c>
      <c r="AG9" s="637"/>
    </row>
    <row r="10" spans="1:33" ht="15.75" customHeight="1">
      <c r="A10" s="659" t="s">
        <v>1750</v>
      </c>
      <c r="B10" s="42" t="s">
        <v>96</v>
      </c>
      <c r="C10" s="660" t="s">
        <v>100</v>
      </c>
      <c r="D10" s="661"/>
      <c r="E10" s="42">
        <v>39.619999999999997</v>
      </c>
      <c r="F10" s="351">
        <v>5374</v>
      </c>
      <c r="G10" s="338">
        <f t="shared" ref="G10:G11" si="11">E10*F10</f>
        <v>212917.87999999998</v>
      </c>
      <c r="H10" s="37" t="s">
        <v>91</v>
      </c>
      <c r="I10" s="348">
        <v>19</v>
      </c>
      <c r="J10" s="39">
        <v>1500</v>
      </c>
      <c r="K10" s="17">
        <f t="shared" si="1"/>
        <v>78.94736842105263</v>
      </c>
      <c r="L10" s="348">
        <v>19</v>
      </c>
      <c r="M10" s="18">
        <f t="shared" ref="M10:M11" si="12">F10/V10*60</f>
        <v>1433.0666666666666</v>
      </c>
      <c r="N10" s="17">
        <f t="shared" si="3"/>
        <v>75.424561403508775</v>
      </c>
      <c r="O10" s="19">
        <f t="shared" si="4"/>
        <v>0</v>
      </c>
      <c r="P10" s="20">
        <f t="shared" si="5"/>
        <v>-3.5228070175438546</v>
      </c>
      <c r="Q10" s="337">
        <f t="shared" si="6"/>
        <v>0.95537777777777788</v>
      </c>
      <c r="R10" s="637">
        <f>Q12</f>
        <v>0.95413060668030003</v>
      </c>
      <c r="S10" s="40">
        <v>8.3333333333333329E-2</v>
      </c>
      <c r="T10" s="40">
        <v>0.23958333333333331</v>
      </c>
      <c r="U10" s="338"/>
      <c r="V10" s="349">
        <f t="shared" ref="V10:V11" si="13">(T10-S10)*24*60</f>
        <v>225</v>
      </c>
      <c r="W10" s="23">
        <f>T10</f>
        <v>0.23958333333333331</v>
      </c>
      <c r="X10" s="23">
        <f>S11</f>
        <v>0.26041666666666663</v>
      </c>
      <c r="Y10" s="23"/>
      <c r="Z10" s="23"/>
      <c r="AA10" s="632"/>
      <c r="AB10" s="632"/>
      <c r="AC10" s="25">
        <v>2</v>
      </c>
      <c r="AD10" s="25"/>
      <c r="AE10" s="19">
        <f t="shared" si="8"/>
        <v>-66.933333333333394</v>
      </c>
      <c r="AF10" s="337">
        <f t="shared" si="9"/>
        <v>0.95537777777777777</v>
      </c>
      <c r="AG10" s="637">
        <f>AF12</f>
        <v>0.95413060668029992</v>
      </c>
    </row>
    <row r="11" spans="1:33" ht="15.75" customHeight="1">
      <c r="A11" s="659" t="s">
        <v>1750</v>
      </c>
      <c r="B11" s="42" t="s">
        <v>96</v>
      </c>
      <c r="C11" s="660" t="s">
        <v>97</v>
      </c>
      <c r="D11" s="661"/>
      <c r="E11" s="42">
        <v>39.799999999999997</v>
      </c>
      <c r="F11" s="351">
        <v>7766</v>
      </c>
      <c r="G11" s="338">
        <f t="shared" si="11"/>
        <v>309086.8</v>
      </c>
      <c r="H11" s="37" t="s">
        <v>91</v>
      </c>
      <c r="I11" s="348">
        <v>17</v>
      </c>
      <c r="J11" s="39">
        <v>1500</v>
      </c>
      <c r="K11" s="17">
        <f t="shared" si="1"/>
        <v>88.235294117647058</v>
      </c>
      <c r="L11" s="348">
        <v>17</v>
      </c>
      <c r="M11" s="18">
        <f t="shared" si="12"/>
        <v>1429.3251533742334</v>
      </c>
      <c r="N11" s="17">
        <f t="shared" si="3"/>
        <v>84.077950198484317</v>
      </c>
      <c r="O11" s="19">
        <f t="shared" si="4"/>
        <v>0</v>
      </c>
      <c r="P11" s="20">
        <f t="shared" si="5"/>
        <v>-4.1573439191627415</v>
      </c>
      <c r="Q11" s="337">
        <f t="shared" si="6"/>
        <v>0.95288343558282229</v>
      </c>
      <c r="R11" s="637"/>
      <c r="S11" s="40">
        <v>0.26041666666666663</v>
      </c>
      <c r="T11" s="40">
        <v>0.48680555555555549</v>
      </c>
      <c r="U11" s="338">
        <f t="shared" ref="U11" si="14">IF(S11=TIME(17,0,0),"",(S11-T10)*24*60)</f>
        <v>29.999999999999972</v>
      </c>
      <c r="V11" s="349">
        <f t="shared" si="13"/>
        <v>325.99999999999994</v>
      </c>
      <c r="W11" s="23"/>
      <c r="X11" s="23"/>
      <c r="Y11" s="23"/>
      <c r="Z11" s="23"/>
      <c r="AA11" s="632"/>
      <c r="AB11" s="632"/>
      <c r="AC11" s="25"/>
      <c r="AD11" s="25"/>
      <c r="AE11" s="19">
        <f t="shared" si="8"/>
        <v>-70.674846625766577</v>
      </c>
      <c r="AF11" s="337">
        <f t="shared" si="9"/>
        <v>0.95288343558282229</v>
      </c>
      <c r="AG11" s="637"/>
    </row>
    <row r="12" spans="1:33" ht="16.5" customHeight="1">
      <c r="A12" s="659" t="s">
        <v>1751</v>
      </c>
      <c r="B12" s="42" t="s">
        <v>1749</v>
      </c>
      <c r="C12" s="638"/>
      <c r="D12" s="638"/>
      <c r="E12" s="339"/>
      <c r="F12" s="39"/>
      <c r="G12" s="18"/>
      <c r="H12" s="351"/>
      <c r="I12" s="29">
        <v>18</v>
      </c>
      <c r="J12" s="39">
        <v>1500</v>
      </c>
      <c r="K12" s="17">
        <f t="shared" si="1"/>
        <v>83.333333333333329</v>
      </c>
      <c r="L12" s="29">
        <v>18</v>
      </c>
      <c r="M12" s="18">
        <f>AVERAGE(M10:M11)</f>
        <v>1431.1959100204499</v>
      </c>
      <c r="N12" s="17">
        <f t="shared" si="3"/>
        <v>79.510883890024999</v>
      </c>
      <c r="O12" s="19">
        <f t="shared" si="4"/>
        <v>0</v>
      </c>
      <c r="P12" s="20">
        <f t="shared" si="5"/>
        <v>-3.8224494433083294</v>
      </c>
      <c r="Q12" s="337">
        <f t="shared" si="6"/>
        <v>0.95413060668030003</v>
      </c>
      <c r="R12" s="637"/>
      <c r="S12" s="40"/>
      <c r="T12" s="40"/>
      <c r="U12" s="17"/>
      <c r="V12" s="349"/>
      <c r="W12" s="17"/>
      <c r="X12" s="17"/>
      <c r="Y12" s="30">
        <f>SUM(Y10:Y11)</f>
        <v>0</v>
      </c>
      <c r="Z12" s="30">
        <f>SUM(Z10:Z11)</f>
        <v>0</v>
      </c>
      <c r="AA12" s="631"/>
      <c r="AB12" s="631"/>
      <c r="AC12" s="30">
        <v>2</v>
      </c>
      <c r="AD12" s="30">
        <f>SUM(AD10:AD11)</f>
        <v>0</v>
      </c>
      <c r="AE12" s="19">
        <f t="shared" si="8"/>
        <v>-68.804089979550099</v>
      </c>
      <c r="AF12" s="337">
        <f t="shared" si="9"/>
        <v>0.95413060668029992</v>
      </c>
      <c r="AG12" s="637"/>
    </row>
    <row r="13" spans="1:33" ht="16.5" customHeight="1">
      <c r="A13" s="657" t="s">
        <v>1752</v>
      </c>
      <c r="B13" s="351" t="s">
        <v>101</v>
      </c>
      <c r="C13" s="653" t="s">
        <v>102</v>
      </c>
      <c r="D13" s="653"/>
      <c r="E13" s="42">
        <v>31.11</v>
      </c>
      <c r="F13" s="351">
        <v>3586</v>
      </c>
      <c r="G13" s="338">
        <f t="shared" ref="G13:G19" si="15">E13*F13</f>
        <v>111560.45999999999</v>
      </c>
      <c r="H13" s="37" t="s">
        <v>91</v>
      </c>
      <c r="I13" s="348">
        <v>14</v>
      </c>
      <c r="J13" s="39">
        <v>2000</v>
      </c>
      <c r="K13" s="17">
        <f t="shared" si="1"/>
        <v>142.85714285714286</v>
      </c>
      <c r="L13" s="348">
        <v>14</v>
      </c>
      <c r="M13" s="18">
        <f t="shared" ref="M13:M19" si="16">F13/V13*60</f>
        <v>1904.0707964601777</v>
      </c>
      <c r="N13" s="17">
        <f t="shared" si="3"/>
        <v>136.0050568900127</v>
      </c>
      <c r="O13" s="19">
        <f t="shared" si="4"/>
        <v>0</v>
      </c>
      <c r="P13" s="20">
        <f t="shared" si="5"/>
        <v>-6.852085967130165</v>
      </c>
      <c r="Q13" s="337">
        <f t="shared" si="6"/>
        <v>0.95203539823008887</v>
      </c>
      <c r="R13" s="637">
        <f>Q20</f>
        <v>0.95740783837674837</v>
      </c>
      <c r="S13" s="40">
        <v>0.20833333333333334</v>
      </c>
      <c r="T13" s="40">
        <v>0.28680555555555554</v>
      </c>
      <c r="U13" s="338"/>
      <c r="V13" s="349">
        <f t="shared" ref="V13:V19" si="17">(T13-S13)*24*60</f>
        <v>112.99999999999996</v>
      </c>
      <c r="W13" s="23"/>
      <c r="X13" s="23"/>
      <c r="Y13" s="28"/>
      <c r="Z13" s="28"/>
      <c r="AA13" s="632"/>
      <c r="AB13" s="632"/>
      <c r="AC13" s="25">
        <v>7</v>
      </c>
      <c r="AD13" s="25"/>
      <c r="AE13" s="19">
        <f t="shared" si="8"/>
        <v>-95.929203539822311</v>
      </c>
      <c r="AF13" s="337">
        <f t="shared" si="9"/>
        <v>0.95203539823008887</v>
      </c>
      <c r="AG13" s="637">
        <f>AF20</f>
        <v>0.95740783837674848</v>
      </c>
    </row>
    <row r="14" spans="1:33" ht="16.5" customHeight="1">
      <c r="A14" s="658" t="s">
        <v>1752</v>
      </c>
      <c r="B14" s="351" t="s">
        <v>103</v>
      </c>
      <c r="C14" s="653" t="s">
        <v>105</v>
      </c>
      <c r="D14" s="653"/>
      <c r="E14" s="42">
        <v>41</v>
      </c>
      <c r="F14" s="351">
        <v>2228</v>
      </c>
      <c r="G14" s="338">
        <f t="shared" si="15"/>
        <v>91348</v>
      </c>
      <c r="H14" s="37" t="s">
        <v>91</v>
      </c>
      <c r="I14" s="348">
        <v>26</v>
      </c>
      <c r="J14" s="39">
        <v>1500</v>
      </c>
      <c r="K14" s="17">
        <f t="shared" si="1"/>
        <v>57.692307692307693</v>
      </c>
      <c r="L14" s="348">
        <v>26</v>
      </c>
      <c r="M14" s="18">
        <f t="shared" si="16"/>
        <v>1437.41935483871</v>
      </c>
      <c r="N14" s="17">
        <f t="shared" si="3"/>
        <v>55.285359801488845</v>
      </c>
      <c r="O14" s="19">
        <f t="shared" si="4"/>
        <v>0</v>
      </c>
      <c r="P14" s="20">
        <f t="shared" si="5"/>
        <v>-2.4069478908188486</v>
      </c>
      <c r="Q14" s="337">
        <f t="shared" si="6"/>
        <v>0.95827956989247332</v>
      </c>
      <c r="R14" s="637"/>
      <c r="S14" s="40">
        <v>0.29097222222222219</v>
      </c>
      <c r="T14" s="40">
        <v>0.35555555555555551</v>
      </c>
      <c r="U14" s="338">
        <f t="shared" ref="U14:U19" si="18">IF(S14=TIME(17,0,0),"",(S14-T13)*24*60)</f>
        <v>5.9999999999999787</v>
      </c>
      <c r="V14" s="349">
        <f t="shared" si="17"/>
        <v>92.999999999999986</v>
      </c>
      <c r="W14" s="23"/>
      <c r="X14" s="23"/>
      <c r="Y14" s="23"/>
      <c r="Z14" s="23"/>
      <c r="AA14" s="632"/>
      <c r="AB14" s="632"/>
      <c r="AC14" s="25"/>
      <c r="AD14" s="25"/>
      <c r="AE14" s="19">
        <f t="shared" si="8"/>
        <v>-62.580645161290022</v>
      </c>
      <c r="AF14" s="337">
        <f t="shared" si="9"/>
        <v>0.95827956989247332</v>
      </c>
      <c r="AG14" s="637"/>
    </row>
    <row r="15" spans="1:33" ht="16.5" customHeight="1">
      <c r="A15" s="658" t="s">
        <v>1752</v>
      </c>
      <c r="B15" s="351" t="s">
        <v>96</v>
      </c>
      <c r="C15" s="653" t="s">
        <v>99</v>
      </c>
      <c r="D15" s="653"/>
      <c r="E15" s="42">
        <v>39.520000000000003</v>
      </c>
      <c r="F15" s="351">
        <v>2583</v>
      </c>
      <c r="G15" s="338">
        <f t="shared" si="15"/>
        <v>102080.16</v>
      </c>
      <c r="H15" s="37" t="s">
        <v>91</v>
      </c>
      <c r="I15" s="348">
        <v>19</v>
      </c>
      <c r="J15" s="39">
        <v>1500</v>
      </c>
      <c r="K15" s="17">
        <f t="shared" si="1"/>
        <v>78.94736842105263</v>
      </c>
      <c r="L15" s="348">
        <v>19</v>
      </c>
      <c r="M15" s="18">
        <f t="shared" si="16"/>
        <v>1434.9999999999998</v>
      </c>
      <c r="N15" s="17">
        <f t="shared" si="3"/>
        <v>75.526315789473671</v>
      </c>
      <c r="O15" s="19">
        <f t="shared" si="4"/>
        <v>0</v>
      </c>
      <c r="P15" s="20">
        <f t="shared" si="5"/>
        <v>-3.4210526315789593</v>
      </c>
      <c r="Q15" s="337">
        <f t="shared" si="6"/>
        <v>0.95666666666666655</v>
      </c>
      <c r="R15" s="637"/>
      <c r="S15" s="40">
        <v>0.35972222222222217</v>
      </c>
      <c r="T15" s="40">
        <v>0.43472222222222218</v>
      </c>
      <c r="U15" s="338">
        <f t="shared" si="18"/>
        <v>5.9999999999999787</v>
      </c>
      <c r="V15" s="349">
        <f t="shared" si="17"/>
        <v>108.00000000000001</v>
      </c>
      <c r="W15" s="23"/>
      <c r="X15" s="23"/>
      <c r="Y15" s="23"/>
      <c r="Z15" s="23"/>
      <c r="AA15" s="632"/>
      <c r="AB15" s="632"/>
      <c r="AC15" s="25"/>
      <c r="AD15" s="25"/>
      <c r="AE15" s="19">
        <f t="shared" si="8"/>
        <v>-65.000000000000227</v>
      </c>
      <c r="AF15" s="337">
        <f t="shared" si="9"/>
        <v>0.95666666666666655</v>
      </c>
      <c r="AG15" s="637"/>
    </row>
    <row r="16" spans="1:33" ht="16.5" customHeight="1">
      <c r="A16" s="658" t="s">
        <v>1752</v>
      </c>
      <c r="B16" s="351" t="s">
        <v>96</v>
      </c>
      <c r="C16" s="653" t="s">
        <v>98</v>
      </c>
      <c r="D16" s="653"/>
      <c r="E16" s="42">
        <v>39.46</v>
      </c>
      <c r="F16" s="351">
        <v>2885</v>
      </c>
      <c r="G16" s="338">
        <f t="shared" si="15"/>
        <v>113842.1</v>
      </c>
      <c r="H16" s="37" t="s">
        <v>91</v>
      </c>
      <c r="I16" s="348">
        <v>15</v>
      </c>
      <c r="J16" s="39">
        <v>1500</v>
      </c>
      <c r="K16" s="17">
        <f t="shared" si="1"/>
        <v>100</v>
      </c>
      <c r="L16" s="348">
        <v>15</v>
      </c>
      <c r="M16" s="18">
        <f t="shared" si="16"/>
        <v>1430.5785123966946</v>
      </c>
      <c r="N16" s="17">
        <f t="shared" si="3"/>
        <v>95.371900826446307</v>
      </c>
      <c r="O16" s="19">
        <f t="shared" si="4"/>
        <v>0</v>
      </c>
      <c r="P16" s="20">
        <f t="shared" si="5"/>
        <v>-4.6280991735536929</v>
      </c>
      <c r="Q16" s="337">
        <f t="shared" si="6"/>
        <v>0.9537190082644631</v>
      </c>
      <c r="R16" s="637"/>
      <c r="S16" s="40">
        <v>0.43888888888888883</v>
      </c>
      <c r="T16" s="40">
        <v>0.52291666666666659</v>
      </c>
      <c r="U16" s="338">
        <f t="shared" si="18"/>
        <v>5.9999999999999787</v>
      </c>
      <c r="V16" s="349">
        <f t="shared" si="17"/>
        <v>120.99999999999997</v>
      </c>
      <c r="W16" s="23"/>
      <c r="X16" s="23"/>
      <c r="Y16" s="23"/>
      <c r="Z16" s="23"/>
      <c r="AA16" s="632"/>
      <c r="AB16" s="632"/>
      <c r="AC16" s="25"/>
      <c r="AD16" s="25"/>
      <c r="AE16" s="19">
        <f t="shared" si="8"/>
        <v>-69.421487603305422</v>
      </c>
      <c r="AF16" s="337">
        <f t="shared" si="9"/>
        <v>0.9537190082644631</v>
      </c>
      <c r="AG16" s="637"/>
    </row>
    <row r="17" spans="1:33" ht="16.5" customHeight="1">
      <c r="A17" s="658" t="s">
        <v>1752</v>
      </c>
      <c r="B17" s="351" t="s">
        <v>92</v>
      </c>
      <c r="C17" s="653" t="s">
        <v>108</v>
      </c>
      <c r="D17" s="653"/>
      <c r="E17" s="42">
        <v>54.5</v>
      </c>
      <c r="F17" s="351">
        <v>1514</v>
      </c>
      <c r="G17" s="338">
        <f t="shared" si="15"/>
        <v>82513</v>
      </c>
      <c r="H17" s="37" t="s">
        <v>91</v>
      </c>
      <c r="I17" s="348">
        <v>19</v>
      </c>
      <c r="J17" s="39">
        <v>1500</v>
      </c>
      <c r="K17" s="17">
        <f t="shared" si="1"/>
        <v>78.94736842105263</v>
      </c>
      <c r="L17" s="348">
        <v>19</v>
      </c>
      <c r="M17" s="18">
        <f t="shared" si="16"/>
        <v>1441.9047619047633</v>
      </c>
      <c r="N17" s="17">
        <f t="shared" si="3"/>
        <v>75.889724310777012</v>
      </c>
      <c r="O17" s="19">
        <f t="shared" si="4"/>
        <v>0</v>
      </c>
      <c r="P17" s="20">
        <f t="shared" si="5"/>
        <v>-3.0576441102756178</v>
      </c>
      <c r="Q17" s="337">
        <f t="shared" si="6"/>
        <v>0.96126984126984216</v>
      </c>
      <c r="R17" s="637"/>
      <c r="S17" s="40">
        <v>0.70833333333333337</v>
      </c>
      <c r="T17" s="40">
        <v>0.75208333333333333</v>
      </c>
      <c r="U17" s="338" t="str">
        <f t="shared" si="18"/>
        <v/>
      </c>
      <c r="V17" s="349">
        <f t="shared" si="17"/>
        <v>62.999999999999936</v>
      </c>
      <c r="W17" s="23"/>
      <c r="X17" s="23"/>
      <c r="Y17" s="23"/>
      <c r="Z17" s="23"/>
      <c r="AA17" s="632"/>
      <c r="AB17" s="632"/>
      <c r="AC17" s="25"/>
      <c r="AD17" s="25"/>
      <c r="AE17" s="19">
        <f t="shared" si="8"/>
        <v>-58.095238095236709</v>
      </c>
      <c r="AF17" s="337">
        <f t="shared" si="9"/>
        <v>0.96126984126984216</v>
      </c>
      <c r="AG17" s="637"/>
    </row>
    <row r="18" spans="1:33" ht="16.5" customHeight="1">
      <c r="A18" s="658" t="s">
        <v>1752</v>
      </c>
      <c r="B18" s="351" t="s">
        <v>92</v>
      </c>
      <c r="C18" s="346" t="s">
        <v>107</v>
      </c>
      <c r="D18" s="347"/>
      <c r="E18" s="42">
        <v>50.67</v>
      </c>
      <c r="F18" s="351">
        <v>1794</v>
      </c>
      <c r="G18" s="338">
        <f t="shared" si="15"/>
        <v>90901.98</v>
      </c>
      <c r="H18" s="37" t="s">
        <v>91</v>
      </c>
      <c r="I18" s="348">
        <v>17</v>
      </c>
      <c r="J18" s="39">
        <v>2000</v>
      </c>
      <c r="K18" s="17">
        <f t="shared" si="1"/>
        <v>117.64705882352941</v>
      </c>
      <c r="L18" s="348">
        <v>17</v>
      </c>
      <c r="M18" s="18">
        <f t="shared" si="16"/>
        <v>1922.1428571428587</v>
      </c>
      <c r="N18" s="17">
        <f t="shared" si="3"/>
        <v>113.06722689075639</v>
      </c>
      <c r="O18" s="19">
        <f t="shared" si="4"/>
        <v>0</v>
      </c>
      <c r="P18" s="20">
        <f t="shared" si="5"/>
        <v>-4.5798319327730184</v>
      </c>
      <c r="Q18" s="337">
        <f t="shared" si="6"/>
        <v>0.96107142857142935</v>
      </c>
      <c r="R18" s="637"/>
      <c r="S18" s="40">
        <v>0.75555555555555554</v>
      </c>
      <c r="T18" s="40">
        <v>0.7944444444444444</v>
      </c>
      <c r="U18" s="338">
        <f t="shared" si="18"/>
        <v>4.9999999999999822</v>
      </c>
      <c r="V18" s="349">
        <f t="shared" si="17"/>
        <v>55.999999999999957</v>
      </c>
      <c r="W18" s="23"/>
      <c r="X18" s="23"/>
      <c r="Y18" s="26"/>
      <c r="Z18" s="26"/>
      <c r="AA18" s="344"/>
      <c r="AB18" s="345"/>
      <c r="AC18" s="25"/>
      <c r="AD18" s="25"/>
      <c r="AE18" s="19">
        <f t="shared" si="8"/>
        <v>-77.857142857141298</v>
      </c>
      <c r="AF18" s="337">
        <f t="shared" si="9"/>
        <v>0.96107142857142935</v>
      </c>
      <c r="AG18" s="637"/>
    </row>
    <row r="19" spans="1:33" ht="16.5" customHeight="1">
      <c r="A19" s="658" t="s">
        <v>1752</v>
      </c>
      <c r="B19" s="351" t="s">
        <v>92</v>
      </c>
      <c r="C19" s="346" t="s">
        <v>114</v>
      </c>
      <c r="D19" s="347"/>
      <c r="E19" s="42">
        <v>54.09</v>
      </c>
      <c r="F19" s="351">
        <v>2589</v>
      </c>
      <c r="G19" s="338">
        <f t="shared" si="15"/>
        <v>140039.01</v>
      </c>
      <c r="H19" s="37" t="s">
        <v>91</v>
      </c>
      <c r="I19" s="348">
        <v>18</v>
      </c>
      <c r="J19" s="39">
        <v>2000</v>
      </c>
      <c r="K19" s="17">
        <f t="shared" si="1"/>
        <v>111.11111111111111</v>
      </c>
      <c r="L19" s="348">
        <v>18</v>
      </c>
      <c r="M19" s="18">
        <f t="shared" si="16"/>
        <v>1917.7777777777771</v>
      </c>
      <c r="N19" s="17">
        <f t="shared" si="3"/>
        <v>106.54320987654317</v>
      </c>
      <c r="O19" s="19">
        <f t="shared" si="4"/>
        <v>0</v>
      </c>
      <c r="P19" s="20">
        <f t="shared" si="5"/>
        <v>-4.5679012345679411</v>
      </c>
      <c r="Q19" s="337">
        <f t="shared" si="6"/>
        <v>0.95888888888888857</v>
      </c>
      <c r="R19" s="637"/>
      <c r="S19" s="40">
        <v>0.79791666666666661</v>
      </c>
      <c r="T19" s="40">
        <v>0.85416666666666663</v>
      </c>
      <c r="U19" s="338">
        <f t="shared" si="18"/>
        <v>4.9999999999999822</v>
      </c>
      <c r="V19" s="349">
        <f t="shared" si="17"/>
        <v>81.000000000000028</v>
      </c>
      <c r="W19" s="23"/>
      <c r="X19" s="23"/>
      <c r="Y19" s="26"/>
      <c r="Z19" s="26"/>
      <c r="AA19" s="344"/>
      <c r="AB19" s="345"/>
      <c r="AC19" s="25"/>
      <c r="AD19" s="25"/>
      <c r="AE19" s="19">
        <f t="shared" si="8"/>
        <v>-82.222222222222854</v>
      </c>
      <c r="AF19" s="337">
        <f t="shared" si="9"/>
        <v>0.95888888888888857</v>
      </c>
      <c r="AG19" s="637"/>
    </row>
    <row r="20" spans="1:33" ht="16.5" customHeight="1">
      <c r="A20" s="658" t="s">
        <v>1752</v>
      </c>
      <c r="B20" s="42" t="s">
        <v>1753</v>
      </c>
      <c r="C20" s="638"/>
      <c r="D20" s="638"/>
      <c r="E20" s="339"/>
      <c r="F20" s="44"/>
      <c r="G20" s="17"/>
      <c r="H20" s="351"/>
      <c r="I20" s="29">
        <v>18.285714285714285</v>
      </c>
      <c r="J20" s="39">
        <v>1714.2857142857142</v>
      </c>
      <c r="K20" s="17">
        <f t="shared" si="1"/>
        <v>93.75</v>
      </c>
      <c r="L20" s="29">
        <v>18.285714285714285</v>
      </c>
      <c r="M20" s="18">
        <f>AVERAGE(M13:M19)</f>
        <v>1641.2705800744259</v>
      </c>
      <c r="N20" s="17">
        <f t="shared" si="3"/>
        <v>89.756984847820164</v>
      </c>
      <c r="O20" s="19">
        <f t="shared" si="4"/>
        <v>0</v>
      </c>
      <c r="P20" s="20">
        <f t="shared" si="5"/>
        <v>-3.9930151521798365</v>
      </c>
      <c r="Q20" s="337">
        <f t="shared" si="6"/>
        <v>0.95740783837674837</v>
      </c>
      <c r="R20" s="637"/>
      <c r="S20" s="40"/>
      <c r="T20" s="40"/>
      <c r="U20" s="338"/>
      <c r="V20" s="349"/>
      <c r="W20" s="17"/>
      <c r="X20" s="17"/>
      <c r="Y20" s="30">
        <f>SUM(Y13:Y19)</f>
        <v>0</v>
      </c>
      <c r="Z20" s="30">
        <f>SUM(Z13:Z19)</f>
        <v>0</v>
      </c>
      <c r="AA20" s="631"/>
      <c r="AB20" s="631"/>
      <c r="AC20" s="30">
        <v>7</v>
      </c>
      <c r="AD20" s="30">
        <f>SUM(AD13:AD19)</f>
        <v>0</v>
      </c>
      <c r="AE20" s="19">
        <f t="shared" si="8"/>
        <v>-73.015134211288341</v>
      </c>
      <c r="AF20" s="337">
        <f t="shared" si="9"/>
        <v>0.95740783837674848</v>
      </c>
      <c r="AG20" s="637"/>
    </row>
    <row r="21" spans="1:33" ht="15.75" customHeight="1">
      <c r="A21" s="655" t="s">
        <v>1754</v>
      </c>
      <c r="B21" s="42" t="s">
        <v>92</v>
      </c>
      <c r="C21" s="653" t="s">
        <v>110</v>
      </c>
      <c r="D21" s="653"/>
      <c r="E21" s="42">
        <v>50.67</v>
      </c>
      <c r="F21" s="351">
        <v>2033</v>
      </c>
      <c r="G21" s="338">
        <f t="shared" ref="G21:G26" si="19">E21*F21</f>
        <v>103012.11</v>
      </c>
      <c r="H21" s="37" t="s">
        <v>91</v>
      </c>
      <c r="I21" s="348">
        <v>17</v>
      </c>
      <c r="J21" s="39">
        <v>2000</v>
      </c>
      <c r="K21" s="17">
        <f t="shared" si="1"/>
        <v>117.64705882352941</v>
      </c>
      <c r="L21" s="348">
        <v>17</v>
      </c>
      <c r="M21" s="18">
        <f t="shared" ref="M21:M26" si="20">F21/V21*60</f>
        <v>1905.9375000000009</v>
      </c>
      <c r="N21" s="17">
        <f t="shared" si="3"/>
        <v>112.11397058823535</v>
      </c>
      <c r="O21" s="19">
        <f t="shared" si="4"/>
        <v>0</v>
      </c>
      <c r="P21" s="20">
        <f t="shared" si="5"/>
        <v>-5.5330882352940591</v>
      </c>
      <c r="Q21" s="337">
        <f t="shared" si="6"/>
        <v>0.95296875000000048</v>
      </c>
      <c r="R21" s="637">
        <f>Q27</f>
        <v>0.95915453225899172</v>
      </c>
      <c r="S21" s="40">
        <v>0.20833333333333334</v>
      </c>
      <c r="T21" s="40">
        <v>0.25277777777777777</v>
      </c>
      <c r="U21" s="338"/>
      <c r="V21" s="349">
        <f t="shared" ref="V21:V26" si="21">(T21-S21)*24*60</f>
        <v>63.999999999999972</v>
      </c>
      <c r="W21" s="23"/>
      <c r="X21" s="23"/>
      <c r="Y21" s="28"/>
      <c r="Z21" s="28"/>
      <c r="AA21" s="632"/>
      <c r="AB21" s="632"/>
      <c r="AC21" s="25">
        <v>6</v>
      </c>
      <c r="AD21" s="25"/>
      <c r="AE21" s="19">
        <f t="shared" si="8"/>
        <v>-94.062499999999091</v>
      </c>
      <c r="AF21" s="337">
        <f t="shared" si="9"/>
        <v>0.95296875000000048</v>
      </c>
      <c r="AG21" s="637">
        <f>AF27</f>
        <v>0.95915453225899172</v>
      </c>
    </row>
    <row r="22" spans="1:33" ht="15.75" customHeight="1">
      <c r="A22" s="656" t="s">
        <v>1754</v>
      </c>
      <c r="B22" s="42" t="s">
        <v>92</v>
      </c>
      <c r="C22" s="653" t="s">
        <v>111</v>
      </c>
      <c r="D22" s="653"/>
      <c r="E22" s="42">
        <v>57.73</v>
      </c>
      <c r="F22" s="351">
        <v>2834</v>
      </c>
      <c r="G22" s="338">
        <f t="shared" si="19"/>
        <v>163606.81999999998</v>
      </c>
      <c r="H22" s="37" t="s">
        <v>91</v>
      </c>
      <c r="I22" s="348">
        <v>14</v>
      </c>
      <c r="J22" s="39">
        <v>2000</v>
      </c>
      <c r="K22" s="17">
        <f t="shared" si="1"/>
        <v>142.85714285714286</v>
      </c>
      <c r="L22" s="348">
        <v>14</v>
      </c>
      <c r="M22" s="18">
        <f t="shared" si="20"/>
        <v>1910.5617977528088</v>
      </c>
      <c r="N22" s="17">
        <f t="shared" si="3"/>
        <v>136.46869983948633</v>
      </c>
      <c r="O22" s="19">
        <f t="shared" si="4"/>
        <v>0</v>
      </c>
      <c r="P22" s="20">
        <f t="shared" si="5"/>
        <v>-6.3884430176565274</v>
      </c>
      <c r="Q22" s="337">
        <f t="shared" si="6"/>
        <v>0.95528089887640433</v>
      </c>
      <c r="R22" s="637"/>
      <c r="S22" s="40">
        <v>0.2583333333333333</v>
      </c>
      <c r="T22" s="40">
        <v>0.32013888888888886</v>
      </c>
      <c r="U22" s="338">
        <f t="shared" ref="U22:U26" si="22">IF(S22=TIME(17,0,0),"",(S22-T21)*24*60)</f>
        <v>7.9999999999999716</v>
      </c>
      <c r="V22" s="349">
        <f t="shared" si="21"/>
        <v>89</v>
      </c>
      <c r="W22" s="23"/>
      <c r="X22" s="338"/>
      <c r="Y22" s="338"/>
      <c r="Z22" s="338"/>
      <c r="AA22" s="632"/>
      <c r="AB22" s="632"/>
      <c r="AC22" s="25"/>
      <c r="AD22" s="25"/>
      <c r="AE22" s="19">
        <f t="shared" si="8"/>
        <v>-89.438202247191157</v>
      </c>
      <c r="AF22" s="337">
        <f t="shared" si="9"/>
        <v>0.95528089887640444</v>
      </c>
      <c r="AG22" s="637"/>
    </row>
    <row r="23" spans="1:33" ht="15.75" customHeight="1">
      <c r="A23" s="656" t="s">
        <v>1754</v>
      </c>
      <c r="B23" s="42" t="s">
        <v>92</v>
      </c>
      <c r="C23" s="653" t="s">
        <v>112</v>
      </c>
      <c r="D23" s="653"/>
      <c r="E23" s="42">
        <v>53.27</v>
      </c>
      <c r="F23" s="351">
        <v>1669</v>
      </c>
      <c r="G23" s="338">
        <f t="shared" si="19"/>
        <v>88907.63</v>
      </c>
      <c r="H23" s="37" t="s">
        <v>91</v>
      </c>
      <c r="I23" s="348">
        <v>16</v>
      </c>
      <c r="J23" s="39">
        <v>2000</v>
      </c>
      <c r="K23" s="17">
        <f t="shared" si="1"/>
        <v>125</v>
      </c>
      <c r="L23" s="348">
        <v>16</v>
      </c>
      <c r="M23" s="18">
        <f t="shared" si="20"/>
        <v>1925.7692307692316</v>
      </c>
      <c r="N23" s="17">
        <f t="shared" si="3"/>
        <v>120.36057692307698</v>
      </c>
      <c r="O23" s="19">
        <f t="shared" si="4"/>
        <v>0</v>
      </c>
      <c r="P23" s="20">
        <f t="shared" si="5"/>
        <v>-4.6394230769230234</v>
      </c>
      <c r="Q23" s="337">
        <f t="shared" si="6"/>
        <v>0.96288461538461578</v>
      </c>
      <c r="R23" s="637"/>
      <c r="S23" s="40">
        <v>0.32361111111111107</v>
      </c>
      <c r="T23" s="40">
        <v>0.35972222222222217</v>
      </c>
      <c r="U23" s="338">
        <f t="shared" si="22"/>
        <v>4.9999999999999822</v>
      </c>
      <c r="V23" s="349">
        <f t="shared" si="21"/>
        <v>51.999999999999972</v>
      </c>
      <c r="W23" s="23"/>
      <c r="X23" s="338"/>
      <c r="Y23" s="338"/>
      <c r="Z23" s="338"/>
      <c r="AA23" s="632"/>
      <c r="AB23" s="632"/>
      <c r="AC23" s="25"/>
      <c r="AD23" s="25"/>
      <c r="AE23" s="19">
        <f t="shared" si="8"/>
        <v>-74.230769230768374</v>
      </c>
      <c r="AF23" s="337">
        <f t="shared" si="9"/>
        <v>0.96288461538461578</v>
      </c>
      <c r="AG23" s="637"/>
    </row>
    <row r="24" spans="1:33" ht="15.75" customHeight="1">
      <c r="A24" s="656" t="s">
        <v>1754</v>
      </c>
      <c r="B24" s="42" t="s">
        <v>92</v>
      </c>
      <c r="C24" s="653" t="s">
        <v>113</v>
      </c>
      <c r="D24" s="653"/>
      <c r="E24" s="42">
        <v>56.43</v>
      </c>
      <c r="F24" s="351">
        <v>1409</v>
      </c>
      <c r="G24" s="338">
        <f t="shared" si="19"/>
        <v>79509.87</v>
      </c>
      <c r="H24" s="37" t="s">
        <v>91</v>
      </c>
      <c r="I24" s="348">
        <v>13</v>
      </c>
      <c r="J24" s="39">
        <v>2000</v>
      </c>
      <c r="K24" s="17">
        <f t="shared" si="1"/>
        <v>153.84615384615384</v>
      </c>
      <c r="L24" s="348">
        <v>13</v>
      </c>
      <c r="M24" s="18">
        <f t="shared" si="20"/>
        <v>1921.3636363636365</v>
      </c>
      <c r="N24" s="17">
        <f t="shared" si="3"/>
        <v>147.7972027972028</v>
      </c>
      <c r="O24" s="19">
        <f t="shared" si="4"/>
        <v>0</v>
      </c>
      <c r="P24" s="20">
        <f t="shared" si="5"/>
        <v>-6.0489510489510394</v>
      </c>
      <c r="Q24" s="337">
        <f t="shared" si="6"/>
        <v>0.96068181818181819</v>
      </c>
      <c r="R24" s="637"/>
      <c r="S24" s="40">
        <v>0.70833333333333337</v>
      </c>
      <c r="T24" s="40">
        <v>0.73888888888888893</v>
      </c>
      <c r="U24" s="338" t="str">
        <f t="shared" si="22"/>
        <v/>
      </c>
      <c r="V24" s="349">
        <f t="shared" si="21"/>
        <v>44</v>
      </c>
      <c r="W24" s="23"/>
      <c r="X24" s="338"/>
      <c r="Y24" s="338"/>
      <c r="Z24" s="338"/>
      <c r="AA24" s="632"/>
      <c r="AB24" s="632"/>
      <c r="AC24" s="25"/>
      <c r="AD24" s="25"/>
      <c r="AE24" s="19">
        <f t="shared" si="8"/>
        <v>-78.636363636363512</v>
      </c>
      <c r="AF24" s="337">
        <f t="shared" si="9"/>
        <v>0.96068181818181819</v>
      </c>
      <c r="AG24" s="637"/>
    </row>
    <row r="25" spans="1:33" ht="15.75" customHeight="1">
      <c r="A25" s="656" t="s">
        <v>1754</v>
      </c>
      <c r="B25" s="42" t="s">
        <v>92</v>
      </c>
      <c r="C25" s="653" t="s">
        <v>140</v>
      </c>
      <c r="D25" s="653"/>
      <c r="E25" s="42">
        <v>51.06</v>
      </c>
      <c r="F25" s="351">
        <v>3460</v>
      </c>
      <c r="G25" s="338">
        <f t="shared" si="19"/>
        <v>176667.6</v>
      </c>
      <c r="H25" s="37" t="s">
        <v>91</v>
      </c>
      <c r="I25" s="348">
        <v>13</v>
      </c>
      <c r="J25" s="39">
        <v>2000</v>
      </c>
      <c r="K25" s="17">
        <f t="shared" si="1"/>
        <v>153.84615384615384</v>
      </c>
      <c r="L25" s="348">
        <v>13</v>
      </c>
      <c r="M25" s="18">
        <f t="shared" si="20"/>
        <v>1922.2222222222231</v>
      </c>
      <c r="N25" s="17">
        <f t="shared" si="3"/>
        <v>147.86324786324792</v>
      </c>
      <c r="O25" s="19">
        <f t="shared" si="4"/>
        <v>0</v>
      </c>
      <c r="P25" s="20">
        <f t="shared" si="5"/>
        <v>-5.982905982905919</v>
      </c>
      <c r="Q25" s="337">
        <f t="shared" si="6"/>
        <v>0.96111111111111147</v>
      </c>
      <c r="R25" s="637"/>
      <c r="S25" s="40">
        <v>0.74305555555555558</v>
      </c>
      <c r="T25" s="40">
        <v>0.81805555555555554</v>
      </c>
      <c r="U25" s="338">
        <f t="shared" si="22"/>
        <v>5.9999999999999787</v>
      </c>
      <c r="V25" s="349">
        <f t="shared" si="21"/>
        <v>107.99999999999994</v>
      </c>
      <c r="W25" s="23"/>
      <c r="X25" s="23"/>
      <c r="Y25" s="338"/>
      <c r="Z25" s="338"/>
      <c r="AA25" s="632"/>
      <c r="AB25" s="632"/>
      <c r="AC25" s="25"/>
      <c r="AD25" s="25"/>
      <c r="AE25" s="19">
        <f t="shared" si="8"/>
        <v>-77.777777777776919</v>
      </c>
      <c r="AF25" s="337">
        <f t="shared" si="9"/>
        <v>0.96111111111111158</v>
      </c>
      <c r="AG25" s="637"/>
    </row>
    <row r="26" spans="1:33" ht="15.75" customHeight="1">
      <c r="A26" s="656" t="s">
        <v>1754</v>
      </c>
      <c r="B26" s="42" t="s">
        <v>92</v>
      </c>
      <c r="C26" s="653" t="s">
        <v>95</v>
      </c>
      <c r="D26" s="653"/>
      <c r="E26" s="42">
        <v>50.67</v>
      </c>
      <c r="F26" s="351">
        <v>1443</v>
      </c>
      <c r="G26" s="338">
        <f t="shared" si="19"/>
        <v>73116.81</v>
      </c>
      <c r="H26" s="37" t="s">
        <v>91</v>
      </c>
      <c r="I26" s="348">
        <v>15</v>
      </c>
      <c r="J26" s="39">
        <v>2000</v>
      </c>
      <c r="K26" s="17">
        <f t="shared" si="1"/>
        <v>133.33333333333334</v>
      </c>
      <c r="L26" s="348">
        <v>15</v>
      </c>
      <c r="M26" s="18">
        <f t="shared" si="20"/>
        <v>1924.0000000000002</v>
      </c>
      <c r="N26" s="17">
        <f t="shared" si="3"/>
        <v>128.26666666666668</v>
      </c>
      <c r="O26" s="19">
        <f t="shared" si="4"/>
        <v>0</v>
      </c>
      <c r="P26" s="20">
        <f t="shared" si="5"/>
        <v>-5.0666666666666629</v>
      </c>
      <c r="Q26" s="337">
        <f t="shared" si="6"/>
        <v>0.96200000000000008</v>
      </c>
      <c r="R26" s="637"/>
      <c r="S26" s="40">
        <v>0.82152777777777775</v>
      </c>
      <c r="T26" s="40">
        <v>0.85277777777777775</v>
      </c>
      <c r="U26" s="338">
        <f t="shared" si="22"/>
        <v>4.9999999999999822</v>
      </c>
      <c r="V26" s="349">
        <f t="shared" si="21"/>
        <v>45</v>
      </c>
      <c r="W26" s="23"/>
      <c r="X26" s="28"/>
      <c r="Y26" s="28"/>
      <c r="Z26" s="28"/>
      <c r="AA26" s="632"/>
      <c r="AB26" s="632"/>
      <c r="AC26" s="25"/>
      <c r="AD26" s="25"/>
      <c r="AE26" s="19">
        <f t="shared" si="8"/>
        <v>-75.999999999999773</v>
      </c>
      <c r="AF26" s="337">
        <f t="shared" si="9"/>
        <v>0.96200000000000008</v>
      </c>
      <c r="AG26" s="637"/>
    </row>
    <row r="27" spans="1:33" ht="15.75" customHeight="1">
      <c r="A27" s="656" t="s">
        <v>1754</v>
      </c>
      <c r="B27" s="42" t="s">
        <v>1753</v>
      </c>
      <c r="C27" s="638"/>
      <c r="D27" s="638"/>
      <c r="E27" s="339"/>
      <c r="F27" s="351"/>
      <c r="G27" s="338"/>
      <c r="H27" s="351"/>
      <c r="I27" s="29">
        <v>14.666666666666666</v>
      </c>
      <c r="J27" s="39">
        <v>2000</v>
      </c>
      <c r="K27" s="17">
        <f t="shared" si="1"/>
        <v>136.36363636363637</v>
      </c>
      <c r="L27" s="29">
        <v>14.666666666666666</v>
      </c>
      <c r="M27" s="18">
        <f>AVERAGE(M21:M26)</f>
        <v>1918.3090645179834</v>
      </c>
      <c r="N27" s="17">
        <f t="shared" si="3"/>
        <v>130.79379985349888</v>
      </c>
      <c r="O27" s="19">
        <f t="shared" si="4"/>
        <v>0</v>
      </c>
      <c r="P27" s="20">
        <f t="shared" si="5"/>
        <v>-5.5698365101374918</v>
      </c>
      <c r="Q27" s="337">
        <f t="shared" si="6"/>
        <v>0.95915453225899172</v>
      </c>
      <c r="R27" s="637"/>
      <c r="S27" s="40"/>
      <c r="T27" s="40"/>
      <c r="U27" s="17"/>
      <c r="V27" s="349"/>
      <c r="W27" s="17"/>
      <c r="X27" s="17"/>
      <c r="Y27" s="30">
        <f>SUM(Y21:Y26)</f>
        <v>0</v>
      </c>
      <c r="Z27" s="30">
        <f>SUM(Z21:Z26)</f>
        <v>0</v>
      </c>
      <c r="AA27" s="631"/>
      <c r="AB27" s="631"/>
      <c r="AC27" s="30">
        <v>6</v>
      </c>
      <c r="AD27" s="30">
        <f>SUM(AD21:AD26)</f>
        <v>0</v>
      </c>
      <c r="AE27" s="19">
        <f t="shared" si="8"/>
        <v>-81.690935482016585</v>
      </c>
      <c r="AF27" s="337">
        <f t="shared" si="9"/>
        <v>0.95915453225899172</v>
      </c>
      <c r="AG27" s="637"/>
    </row>
    <row r="28" spans="1:33" ht="15.75" customHeight="1">
      <c r="A28" s="654" t="s">
        <v>1755</v>
      </c>
      <c r="B28" s="42" t="s">
        <v>116</v>
      </c>
      <c r="C28" s="653" t="s">
        <v>117</v>
      </c>
      <c r="D28" s="653"/>
      <c r="E28" s="42">
        <v>31.29</v>
      </c>
      <c r="F28" s="351">
        <v>5800</v>
      </c>
      <c r="G28" s="338">
        <f t="shared" ref="G28:G32" si="23">E28*F28</f>
        <v>181482</v>
      </c>
      <c r="H28" s="37">
        <v>2</v>
      </c>
      <c r="I28" s="348">
        <v>18</v>
      </c>
      <c r="J28" s="39">
        <v>2400</v>
      </c>
      <c r="K28" s="17">
        <f t="shared" si="1"/>
        <v>133.33333333333334</v>
      </c>
      <c r="L28" s="348">
        <v>18</v>
      </c>
      <c r="M28" s="18">
        <f t="shared" ref="M28:M32" si="24">F28/V28*60</f>
        <v>2289.4736842105262</v>
      </c>
      <c r="N28" s="17">
        <f t="shared" si="3"/>
        <v>127.19298245614034</v>
      </c>
      <c r="O28" s="19">
        <f t="shared" si="4"/>
        <v>0</v>
      </c>
      <c r="P28" s="20">
        <f t="shared" si="5"/>
        <v>-6.1403508771930007</v>
      </c>
      <c r="Q28" s="337">
        <f t="shared" si="6"/>
        <v>0.95394736842105254</v>
      </c>
      <c r="R28" s="637">
        <f>Q33</f>
        <v>0.95378689279463791</v>
      </c>
      <c r="S28" s="40">
        <v>8.3333333333333329E-2</v>
      </c>
      <c r="T28" s="40">
        <v>0.18888888888888888</v>
      </c>
      <c r="U28" s="338"/>
      <c r="V28" s="349">
        <f t="shared" ref="V28:V32" si="25">(T28-S28)*24*60</f>
        <v>152</v>
      </c>
      <c r="W28" s="23">
        <f>T28</f>
        <v>0.18888888888888888</v>
      </c>
      <c r="X28" s="23">
        <f>S29</f>
        <v>0.20833333333333334</v>
      </c>
      <c r="Y28" s="23"/>
      <c r="Z28" s="23"/>
      <c r="AA28" s="632"/>
      <c r="AB28" s="632"/>
      <c r="AC28" s="25">
        <v>5</v>
      </c>
      <c r="AD28" s="25"/>
      <c r="AE28" s="19">
        <f t="shared" si="8"/>
        <v>-110.52631578947376</v>
      </c>
      <c r="AF28" s="337">
        <f t="shared" si="9"/>
        <v>0.95394736842105265</v>
      </c>
      <c r="AG28" s="637">
        <f>AF33</f>
        <v>0.9537868927946378</v>
      </c>
    </row>
    <row r="29" spans="1:33" ht="15.75" customHeight="1">
      <c r="A29" s="654" t="s">
        <v>1755</v>
      </c>
      <c r="B29" s="42" t="s">
        <v>116</v>
      </c>
      <c r="C29" s="653" t="s">
        <v>118</v>
      </c>
      <c r="D29" s="653"/>
      <c r="E29" s="42">
        <v>26.37</v>
      </c>
      <c r="F29" s="351">
        <v>6966</v>
      </c>
      <c r="G29" s="338">
        <f t="shared" si="23"/>
        <v>183693.42</v>
      </c>
      <c r="H29" s="37" t="s">
        <v>91</v>
      </c>
      <c r="I29" s="348">
        <v>18</v>
      </c>
      <c r="J29" s="39">
        <v>2400</v>
      </c>
      <c r="K29" s="17">
        <f t="shared" si="1"/>
        <v>133.33333333333334</v>
      </c>
      <c r="L29" s="348">
        <v>18</v>
      </c>
      <c r="M29" s="18">
        <f t="shared" si="24"/>
        <v>2296.4835164835158</v>
      </c>
      <c r="N29" s="17">
        <f t="shared" si="3"/>
        <v>127.58241758241755</v>
      </c>
      <c r="O29" s="19">
        <f t="shared" si="4"/>
        <v>0</v>
      </c>
      <c r="P29" s="20">
        <f t="shared" si="5"/>
        <v>-5.7509157509157944</v>
      </c>
      <c r="Q29" s="337">
        <f t="shared" si="6"/>
        <v>0.95686813186813158</v>
      </c>
      <c r="R29" s="637"/>
      <c r="S29" s="40">
        <v>0.20833333333333334</v>
      </c>
      <c r="T29" s="40">
        <v>0.33472222222222225</v>
      </c>
      <c r="U29" s="338">
        <f t="shared" ref="U29:U32" si="26">(S29-T28)*24*60</f>
        <v>28.000000000000021</v>
      </c>
      <c r="V29" s="349">
        <f t="shared" si="25"/>
        <v>182.00000000000006</v>
      </c>
      <c r="W29" s="23"/>
      <c r="X29" s="23"/>
      <c r="Y29" s="23"/>
      <c r="Z29" s="23"/>
      <c r="AA29" s="632"/>
      <c r="AB29" s="632"/>
      <c r="AC29" s="25"/>
      <c r="AD29" s="25"/>
      <c r="AE29" s="19">
        <f t="shared" si="8"/>
        <v>-103.51648351648419</v>
      </c>
      <c r="AF29" s="337">
        <f t="shared" si="9"/>
        <v>0.95686813186813158</v>
      </c>
      <c r="AG29" s="637"/>
    </row>
    <row r="30" spans="1:33" ht="15.75" customHeight="1">
      <c r="A30" s="654" t="s">
        <v>1755</v>
      </c>
      <c r="B30" s="42" t="s">
        <v>116</v>
      </c>
      <c r="C30" s="653" t="s">
        <v>124</v>
      </c>
      <c r="D30" s="653"/>
      <c r="E30" s="42">
        <v>24.43</v>
      </c>
      <c r="F30" s="351">
        <v>7834</v>
      </c>
      <c r="G30" s="338">
        <f t="shared" si="23"/>
        <v>191384.62</v>
      </c>
      <c r="H30" s="37" t="s">
        <v>91</v>
      </c>
      <c r="I30" s="348">
        <v>14</v>
      </c>
      <c r="J30" s="39">
        <v>2400</v>
      </c>
      <c r="K30" s="17">
        <f t="shared" si="1"/>
        <v>171.42857142857142</v>
      </c>
      <c r="L30" s="348">
        <v>14</v>
      </c>
      <c r="M30" s="18">
        <f t="shared" si="24"/>
        <v>2281.7475728155341</v>
      </c>
      <c r="N30" s="17">
        <f t="shared" si="3"/>
        <v>162.98196948682386</v>
      </c>
      <c r="O30" s="19">
        <f t="shared" si="4"/>
        <v>0</v>
      </c>
      <c r="P30" s="20">
        <f t="shared" si="5"/>
        <v>-8.4466019417475593</v>
      </c>
      <c r="Q30" s="337">
        <f t="shared" si="6"/>
        <v>0.95072815533980592</v>
      </c>
      <c r="R30" s="637"/>
      <c r="S30" s="40">
        <v>0.33888888888888891</v>
      </c>
      <c r="T30" s="40">
        <v>0.48194444444444445</v>
      </c>
      <c r="U30" s="338">
        <f t="shared" si="26"/>
        <v>5.9999999999999787</v>
      </c>
      <c r="V30" s="349">
        <f t="shared" si="25"/>
        <v>206</v>
      </c>
      <c r="W30" s="23">
        <f>T30</f>
        <v>0.48194444444444445</v>
      </c>
      <c r="X30" s="23">
        <f>S31</f>
        <v>0.52361111111111114</v>
      </c>
      <c r="Y30" s="23"/>
      <c r="Z30" s="23"/>
      <c r="AA30" s="632"/>
      <c r="AB30" s="632"/>
      <c r="AC30" s="25"/>
      <c r="AD30" s="25"/>
      <c r="AE30" s="19">
        <f t="shared" si="8"/>
        <v>-118.25242718446589</v>
      </c>
      <c r="AF30" s="337">
        <f t="shared" si="9"/>
        <v>0.95072815533980592</v>
      </c>
      <c r="AG30" s="637"/>
    </row>
    <row r="31" spans="1:33" ht="15.75" customHeight="1">
      <c r="A31" s="654" t="s">
        <v>1755</v>
      </c>
      <c r="B31" s="42" t="s">
        <v>116</v>
      </c>
      <c r="C31" s="653" t="s">
        <v>117</v>
      </c>
      <c r="D31" s="653"/>
      <c r="E31" s="42">
        <v>31.29</v>
      </c>
      <c r="F31" s="351">
        <v>4503</v>
      </c>
      <c r="G31" s="338">
        <f t="shared" si="23"/>
        <v>140898.87</v>
      </c>
      <c r="H31" s="37" t="s">
        <v>91</v>
      </c>
      <c r="I31" s="348">
        <v>18</v>
      </c>
      <c r="J31" s="39">
        <v>2400</v>
      </c>
      <c r="K31" s="17">
        <f t="shared" si="1"/>
        <v>133.33333333333334</v>
      </c>
      <c r="L31" s="348">
        <v>18</v>
      </c>
      <c r="M31" s="18">
        <f t="shared" si="24"/>
        <v>2289.6610169491514</v>
      </c>
      <c r="N31" s="17">
        <f t="shared" si="3"/>
        <v>127.20338983050841</v>
      </c>
      <c r="O31" s="19">
        <f t="shared" si="4"/>
        <v>0</v>
      </c>
      <c r="P31" s="20">
        <f t="shared" si="5"/>
        <v>-6.1299435028249292</v>
      </c>
      <c r="Q31" s="337">
        <f t="shared" si="6"/>
        <v>0.95402542372881305</v>
      </c>
      <c r="R31" s="637"/>
      <c r="S31" s="40">
        <v>0.52361111111111114</v>
      </c>
      <c r="T31" s="40">
        <v>0.60555555555555562</v>
      </c>
      <c r="U31" s="338">
        <f t="shared" si="26"/>
        <v>60.000000000000028</v>
      </c>
      <c r="V31" s="349">
        <f t="shared" si="25"/>
        <v>118.00000000000006</v>
      </c>
      <c r="W31" s="23"/>
      <c r="X31" s="23"/>
      <c r="Y31" s="23"/>
      <c r="Z31" s="23"/>
      <c r="AA31" s="632"/>
      <c r="AB31" s="632"/>
      <c r="AC31" s="25"/>
      <c r="AD31" s="25"/>
      <c r="AE31" s="19">
        <f t="shared" si="8"/>
        <v>-110.33898305084858</v>
      </c>
      <c r="AF31" s="337">
        <f t="shared" si="9"/>
        <v>0.95402542372881305</v>
      </c>
      <c r="AG31" s="637"/>
    </row>
    <row r="32" spans="1:33" ht="15.75" customHeight="1">
      <c r="A32" s="654" t="s">
        <v>1755</v>
      </c>
      <c r="B32" s="42" t="s">
        <v>116</v>
      </c>
      <c r="C32" s="653" t="s">
        <v>119</v>
      </c>
      <c r="D32" s="653"/>
      <c r="E32" s="42">
        <v>26.18</v>
      </c>
      <c r="F32" s="351">
        <v>3966</v>
      </c>
      <c r="G32" s="338">
        <f t="shared" si="23"/>
        <v>103829.88</v>
      </c>
      <c r="H32" s="37" t="s">
        <v>91</v>
      </c>
      <c r="I32" s="348">
        <v>18</v>
      </c>
      <c r="J32" s="39">
        <v>2400</v>
      </c>
      <c r="K32" s="17">
        <f t="shared" si="1"/>
        <v>133.33333333333334</v>
      </c>
      <c r="L32" s="348">
        <v>18</v>
      </c>
      <c r="M32" s="18">
        <f t="shared" si="24"/>
        <v>2288.0769230769247</v>
      </c>
      <c r="N32" s="17">
        <f t="shared" si="3"/>
        <v>127.1153846153847</v>
      </c>
      <c r="O32" s="19">
        <f t="shared" si="4"/>
        <v>0</v>
      </c>
      <c r="P32" s="20">
        <f t="shared" si="5"/>
        <v>-6.2179487179486443</v>
      </c>
      <c r="Q32" s="337">
        <f t="shared" si="6"/>
        <v>0.95336538461538523</v>
      </c>
      <c r="R32" s="637"/>
      <c r="S32" s="40">
        <v>0.60902777777777783</v>
      </c>
      <c r="T32" s="40">
        <v>0.68125000000000002</v>
      </c>
      <c r="U32" s="338">
        <f t="shared" si="26"/>
        <v>4.9999999999999822</v>
      </c>
      <c r="V32" s="349">
        <f t="shared" si="25"/>
        <v>103.99999999999994</v>
      </c>
      <c r="W32" s="23"/>
      <c r="X32" s="23"/>
      <c r="Y32" s="23"/>
      <c r="Z32" s="23"/>
      <c r="AA32" s="632"/>
      <c r="AB32" s="632"/>
      <c r="AC32" s="25"/>
      <c r="AD32" s="25"/>
      <c r="AE32" s="19">
        <f t="shared" si="8"/>
        <v>-111.92307692307531</v>
      </c>
      <c r="AF32" s="337">
        <f t="shared" si="9"/>
        <v>0.95336538461538534</v>
      </c>
      <c r="AG32" s="637"/>
    </row>
    <row r="33" spans="1:33" ht="15.75" customHeight="1">
      <c r="A33" s="654" t="s">
        <v>1755</v>
      </c>
      <c r="B33" s="42" t="s">
        <v>1753</v>
      </c>
      <c r="C33" s="638"/>
      <c r="D33" s="638"/>
      <c r="E33" s="339"/>
      <c r="F33" s="351"/>
      <c r="G33" s="338"/>
      <c r="H33" s="351"/>
      <c r="I33" s="29">
        <v>17.2</v>
      </c>
      <c r="J33" s="39">
        <v>2400</v>
      </c>
      <c r="K33" s="17">
        <f t="shared" si="1"/>
        <v>139.53488372093022</v>
      </c>
      <c r="L33" s="29">
        <v>17.2</v>
      </c>
      <c r="M33" s="18">
        <f>AVERAGE(M28:M32)</f>
        <v>2289.0885427071307</v>
      </c>
      <c r="N33" s="17">
        <f t="shared" si="3"/>
        <v>133.08654318064714</v>
      </c>
      <c r="O33" s="19">
        <f t="shared" si="4"/>
        <v>0</v>
      </c>
      <c r="P33" s="20">
        <f t="shared" si="5"/>
        <v>-6.448340540283084</v>
      </c>
      <c r="Q33" s="337">
        <f t="shared" si="6"/>
        <v>0.95378689279463791</v>
      </c>
      <c r="R33" s="637"/>
      <c r="S33" s="40"/>
      <c r="T33" s="40"/>
      <c r="U33" s="338"/>
      <c r="V33" s="349"/>
      <c r="W33" s="338"/>
      <c r="X33" s="338"/>
      <c r="Y33" s="30">
        <f>SUM(Y28:Y32)</f>
        <v>0</v>
      </c>
      <c r="Z33" s="30">
        <f>SUM(Z28:Z32)</f>
        <v>0</v>
      </c>
      <c r="AA33" s="631"/>
      <c r="AB33" s="631"/>
      <c r="AC33" s="30">
        <v>5</v>
      </c>
      <c r="AD33" s="30">
        <f>SUM(AD28:AD32)</f>
        <v>0</v>
      </c>
      <c r="AE33" s="19">
        <f t="shared" si="8"/>
        <v>-110.91145729286927</v>
      </c>
      <c r="AF33" s="337">
        <f t="shared" si="9"/>
        <v>0.9537868927946378</v>
      </c>
      <c r="AG33" s="637"/>
    </row>
    <row r="34" spans="1:33" ht="15.75" customHeight="1">
      <c r="A34" s="651" t="s">
        <v>1756</v>
      </c>
      <c r="B34" s="42" t="s">
        <v>116</v>
      </c>
      <c r="C34" s="633" t="s">
        <v>123</v>
      </c>
      <c r="D34" s="633"/>
      <c r="E34" s="42">
        <v>26.18</v>
      </c>
      <c r="F34" s="351">
        <v>3700</v>
      </c>
      <c r="G34" s="338">
        <f t="shared" ref="G34:G40" si="27">E34*F34</f>
        <v>96866</v>
      </c>
      <c r="H34" s="37">
        <v>2</v>
      </c>
      <c r="I34" s="348">
        <v>20</v>
      </c>
      <c r="J34" s="39">
        <v>2400</v>
      </c>
      <c r="K34" s="17">
        <f t="shared" si="1"/>
        <v>120</v>
      </c>
      <c r="L34" s="348">
        <v>20</v>
      </c>
      <c r="M34" s="18">
        <f t="shared" ref="M34:M40" si="28">F34/V34*60</f>
        <v>2288.6597938144328</v>
      </c>
      <c r="N34" s="17">
        <f t="shared" si="3"/>
        <v>114.43298969072164</v>
      </c>
      <c r="O34" s="19">
        <f t="shared" si="4"/>
        <v>0</v>
      </c>
      <c r="P34" s="20">
        <f t="shared" si="5"/>
        <v>-5.5670103092783592</v>
      </c>
      <c r="Q34" s="337">
        <f t="shared" si="6"/>
        <v>0.95360824742268036</v>
      </c>
      <c r="R34" s="637">
        <f>Q41</f>
        <v>0.95514262296868646</v>
      </c>
      <c r="S34" s="40">
        <v>8.3333333333333329E-2</v>
      </c>
      <c r="T34" s="40">
        <v>0.15069444444444444</v>
      </c>
      <c r="U34" s="338"/>
      <c r="V34" s="349">
        <f t="shared" ref="V34:V40" si="29">(T34-S34)*24*60</f>
        <v>97</v>
      </c>
      <c r="W34" s="28">
        <f>T34</f>
        <v>0.15069444444444444</v>
      </c>
      <c r="X34" s="28">
        <f>S35</f>
        <v>0.16874999999999998</v>
      </c>
      <c r="Y34" s="28"/>
      <c r="Z34" s="28"/>
      <c r="AA34" s="632"/>
      <c r="AB34" s="632"/>
      <c r="AC34" s="25">
        <v>7</v>
      </c>
      <c r="AD34" s="25"/>
      <c r="AE34" s="19">
        <f t="shared" si="8"/>
        <v>-111.34020618556724</v>
      </c>
      <c r="AF34" s="337">
        <f t="shared" si="9"/>
        <v>0.95360824742268036</v>
      </c>
      <c r="AG34" s="637">
        <f>AF41</f>
        <v>0.95514262296868646</v>
      </c>
    </row>
    <row r="35" spans="1:33" ht="15.75" customHeight="1">
      <c r="A35" s="651" t="s">
        <v>1756</v>
      </c>
      <c r="B35" s="42" t="s">
        <v>116</v>
      </c>
      <c r="C35" s="633" t="s">
        <v>147</v>
      </c>
      <c r="D35" s="633"/>
      <c r="E35" s="42">
        <v>25.98</v>
      </c>
      <c r="F35" s="351">
        <v>2764</v>
      </c>
      <c r="G35" s="338">
        <f t="shared" si="27"/>
        <v>71808.72</v>
      </c>
      <c r="H35" s="37" t="s">
        <v>91</v>
      </c>
      <c r="I35" s="348">
        <v>17</v>
      </c>
      <c r="J35" s="39">
        <v>2400</v>
      </c>
      <c r="K35" s="17">
        <f t="shared" si="1"/>
        <v>141.1764705882353</v>
      </c>
      <c r="L35" s="348">
        <v>17</v>
      </c>
      <c r="M35" s="18">
        <f t="shared" si="28"/>
        <v>2303.3333333333339</v>
      </c>
      <c r="N35" s="17">
        <f t="shared" si="3"/>
        <v>135.49019607843141</v>
      </c>
      <c r="O35" s="19">
        <f t="shared" si="4"/>
        <v>0</v>
      </c>
      <c r="P35" s="20">
        <f t="shared" si="5"/>
        <v>-5.6862745098038943</v>
      </c>
      <c r="Q35" s="337">
        <f t="shared" si="6"/>
        <v>0.95972222222222237</v>
      </c>
      <c r="R35" s="637"/>
      <c r="S35" s="40">
        <v>0.16874999999999998</v>
      </c>
      <c r="T35" s="40">
        <v>0.21874999999999997</v>
      </c>
      <c r="U35" s="338">
        <f t="shared" ref="U35:U40" si="30">(S35-T34)*24*60</f>
        <v>25.999999999999986</v>
      </c>
      <c r="V35" s="349">
        <f t="shared" si="29"/>
        <v>71.999999999999986</v>
      </c>
      <c r="W35" s="338"/>
      <c r="X35" s="338"/>
      <c r="Y35" s="338"/>
      <c r="Z35" s="338"/>
      <c r="AA35" s="632"/>
      <c r="AB35" s="632"/>
      <c r="AC35" s="25"/>
      <c r="AD35" s="25"/>
      <c r="AE35" s="19">
        <f t="shared" si="8"/>
        <v>-96.66666666666606</v>
      </c>
      <c r="AF35" s="337">
        <f t="shared" si="9"/>
        <v>0.95972222222222248</v>
      </c>
      <c r="AG35" s="637"/>
    </row>
    <row r="36" spans="1:33">
      <c r="A36" s="652" t="s">
        <v>1756</v>
      </c>
      <c r="B36" s="42" t="s">
        <v>116</v>
      </c>
      <c r="C36" s="633" t="s">
        <v>119</v>
      </c>
      <c r="D36" s="633"/>
      <c r="E36" s="42">
        <v>26.18</v>
      </c>
      <c r="F36" s="351">
        <v>5000</v>
      </c>
      <c r="G36" s="338">
        <f t="shared" si="27"/>
        <v>130900</v>
      </c>
      <c r="H36" s="37">
        <v>2</v>
      </c>
      <c r="I36" s="348">
        <v>18</v>
      </c>
      <c r="J36" s="39">
        <v>2400</v>
      </c>
      <c r="K36" s="17">
        <f t="shared" si="1"/>
        <v>133.33333333333334</v>
      </c>
      <c r="L36" s="348">
        <v>18</v>
      </c>
      <c r="M36" s="18">
        <f t="shared" si="28"/>
        <v>2290.0763358778627</v>
      </c>
      <c r="N36" s="17">
        <f t="shared" si="3"/>
        <v>127.2264631043257</v>
      </c>
      <c r="O36" s="19">
        <f t="shared" si="4"/>
        <v>0</v>
      </c>
      <c r="P36" s="20">
        <f t="shared" si="5"/>
        <v>-6.1068702290076402</v>
      </c>
      <c r="Q36" s="337">
        <f t="shared" si="6"/>
        <v>0.95419847328244267</v>
      </c>
      <c r="R36" s="637"/>
      <c r="S36" s="40">
        <v>0.22291666666666665</v>
      </c>
      <c r="T36" s="40">
        <v>0.31388888888888888</v>
      </c>
      <c r="U36" s="338">
        <f t="shared" si="30"/>
        <v>6.0000000000000187</v>
      </c>
      <c r="V36" s="349">
        <f t="shared" si="29"/>
        <v>131</v>
      </c>
      <c r="W36" s="338"/>
      <c r="X36" s="338"/>
      <c r="Y36" s="338"/>
      <c r="Z36" s="338"/>
      <c r="AA36" s="632"/>
      <c r="AB36" s="632"/>
      <c r="AC36" s="25"/>
      <c r="AD36" s="25"/>
      <c r="AE36" s="19">
        <f t="shared" si="8"/>
        <v>-109.92366412213732</v>
      </c>
      <c r="AF36" s="337">
        <f t="shared" si="9"/>
        <v>0.95419847328244278</v>
      </c>
      <c r="AG36" s="637"/>
    </row>
    <row r="37" spans="1:33">
      <c r="A37" s="652" t="s">
        <v>1756</v>
      </c>
      <c r="B37" s="42" t="s">
        <v>116</v>
      </c>
      <c r="C37" s="633" t="s">
        <v>121</v>
      </c>
      <c r="D37" s="633"/>
      <c r="E37" s="42">
        <v>25.99</v>
      </c>
      <c r="F37" s="351">
        <v>4253</v>
      </c>
      <c r="G37" s="338">
        <f t="shared" si="27"/>
        <v>110535.46999999999</v>
      </c>
      <c r="H37" s="37" t="s">
        <v>91</v>
      </c>
      <c r="I37" s="348">
        <v>14</v>
      </c>
      <c r="J37" s="39">
        <v>2400</v>
      </c>
      <c r="K37" s="17">
        <f t="shared" si="1"/>
        <v>171.42857142857142</v>
      </c>
      <c r="L37" s="348">
        <v>14</v>
      </c>
      <c r="M37" s="18">
        <f t="shared" si="28"/>
        <v>2298.9189189189192</v>
      </c>
      <c r="N37" s="17">
        <f t="shared" si="3"/>
        <v>164.20849420849422</v>
      </c>
      <c r="O37" s="19">
        <f t="shared" si="4"/>
        <v>0</v>
      </c>
      <c r="P37" s="20">
        <f t="shared" si="5"/>
        <v>-7.2200772200772008</v>
      </c>
      <c r="Q37" s="337">
        <f t="shared" si="6"/>
        <v>0.95788288288288304</v>
      </c>
      <c r="R37" s="637"/>
      <c r="S37" s="40">
        <v>0.31736111111111109</v>
      </c>
      <c r="T37" s="40">
        <v>0.39444444444444443</v>
      </c>
      <c r="U37" s="338">
        <f t="shared" si="30"/>
        <v>4.9999999999999822</v>
      </c>
      <c r="V37" s="349">
        <f t="shared" si="29"/>
        <v>111</v>
      </c>
      <c r="W37" s="23"/>
      <c r="X37" s="23"/>
      <c r="Y37" s="23"/>
      <c r="Z37" s="23"/>
      <c r="AA37" s="632"/>
      <c r="AB37" s="632"/>
      <c r="AC37" s="25"/>
      <c r="AD37" s="25"/>
      <c r="AE37" s="19">
        <f t="shared" si="8"/>
        <v>-101.08108108108081</v>
      </c>
      <c r="AF37" s="337">
        <f t="shared" si="9"/>
        <v>0.95788288288288304</v>
      </c>
      <c r="AG37" s="637"/>
    </row>
    <row r="38" spans="1:33">
      <c r="A38" s="652" t="s">
        <v>1756</v>
      </c>
      <c r="B38" s="42" t="s">
        <v>116</v>
      </c>
      <c r="C38" s="633" t="s">
        <v>126</v>
      </c>
      <c r="D38" s="633"/>
      <c r="E38" s="42">
        <v>34.1</v>
      </c>
      <c r="F38" s="351">
        <v>3800</v>
      </c>
      <c r="G38" s="338">
        <f t="shared" si="27"/>
        <v>129580</v>
      </c>
      <c r="H38" s="37">
        <v>2</v>
      </c>
      <c r="I38" s="348">
        <v>17</v>
      </c>
      <c r="J38" s="39">
        <v>1600</v>
      </c>
      <c r="K38" s="17">
        <f t="shared" si="1"/>
        <v>94.117647058823536</v>
      </c>
      <c r="L38" s="348">
        <v>17</v>
      </c>
      <c r="M38" s="18">
        <f t="shared" si="28"/>
        <v>1519.9999999999998</v>
      </c>
      <c r="N38" s="17">
        <f t="shared" si="3"/>
        <v>89.411764705882334</v>
      </c>
      <c r="O38" s="19">
        <f t="shared" si="4"/>
        <v>0</v>
      </c>
      <c r="P38" s="20">
        <f t="shared" si="5"/>
        <v>-4.7058823529412024</v>
      </c>
      <c r="Q38" s="337">
        <f t="shared" si="6"/>
        <v>0.94999999999999973</v>
      </c>
      <c r="R38" s="637"/>
      <c r="S38" s="40">
        <v>0.39791666666666664</v>
      </c>
      <c r="T38" s="40">
        <v>0.50208333333333333</v>
      </c>
      <c r="U38" s="338">
        <f t="shared" si="30"/>
        <v>4.9999999999999822</v>
      </c>
      <c r="V38" s="349">
        <f t="shared" si="29"/>
        <v>150.00000000000003</v>
      </c>
      <c r="W38" s="23">
        <f>T38</f>
        <v>0.50208333333333333</v>
      </c>
      <c r="X38" s="23">
        <f>S39</f>
        <v>0.54166666666666663</v>
      </c>
      <c r="Y38" s="23"/>
      <c r="Z38" s="23"/>
      <c r="AA38" s="632"/>
      <c r="AB38" s="632"/>
      <c r="AC38" s="25"/>
      <c r="AD38" s="25"/>
      <c r="AE38" s="19">
        <f t="shared" si="8"/>
        <v>-80.000000000000227</v>
      </c>
      <c r="AF38" s="337">
        <f t="shared" si="9"/>
        <v>0.94999999999999984</v>
      </c>
      <c r="AG38" s="637"/>
    </row>
    <row r="39" spans="1:33">
      <c r="A39" s="652" t="s">
        <v>1756</v>
      </c>
      <c r="B39" s="42" t="s">
        <v>116</v>
      </c>
      <c r="C39" s="633" t="s">
        <v>123</v>
      </c>
      <c r="D39" s="633"/>
      <c r="E39" s="42">
        <v>26.18</v>
      </c>
      <c r="F39" s="351">
        <v>2969</v>
      </c>
      <c r="G39" s="338">
        <f t="shared" si="27"/>
        <v>77728.42</v>
      </c>
      <c r="H39" s="37" t="s">
        <v>91</v>
      </c>
      <c r="I39" s="348">
        <v>20</v>
      </c>
      <c r="J39" s="39">
        <v>2400</v>
      </c>
      <c r="K39" s="17">
        <f t="shared" si="1"/>
        <v>120</v>
      </c>
      <c r="L39" s="348">
        <v>20</v>
      </c>
      <c r="M39" s="18">
        <f t="shared" si="28"/>
        <v>2283.8461538461524</v>
      </c>
      <c r="N39" s="17">
        <f t="shared" si="3"/>
        <v>114.19230769230762</v>
      </c>
      <c r="O39" s="19">
        <f t="shared" si="4"/>
        <v>0</v>
      </c>
      <c r="P39" s="20">
        <f t="shared" si="5"/>
        <v>-5.8076923076923777</v>
      </c>
      <c r="Q39" s="337">
        <f t="shared" si="6"/>
        <v>0.9516025641025635</v>
      </c>
      <c r="R39" s="637"/>
      <c r="S39" s="40">
        <v>0.54166666666666663</v>
      </c>
      <c r="T39" s="40">
        <v>0.59583333333333333</v>
      </c>
      <c r="U39" s="338">
        <f t="shared" si="30"/>
        <v>56.999999999999957</v>
      </c>
      <c r="V39" s="349">
        <f t="shared" si="29"/>
        <v>78.000000000000043</v>
      </c>
      <c r="W39" s="23"/>
      <c r="X39" s="23"/>
      <c r="Y39" s="23"/>
      <c r="Z39" s="23"/>
      <c r="AA39" s="632"/>
      <c r="AB39" s="632"/>
      <c r="AC39" s="25"/>
      <c r="AD39" s="25"/>
      <c r="AE39" s="19">
        <f t="shared" si="8"/>
        <v>-116.15384615384755</v>
      </c>
      <c r="AF39" s="337">
        <f t="shared" si="9"/>
        <v>0.9516025641025635</v>
      </c>
      <c r="AG39" s="637"/>
    </row>
    <row r="40" spans="1:33">
      <c r="A40" s="652" t="s">
        <v>1756</v>
      </c>
      <c r="B40" s="42" t="s">
        <v>116</v>
      </c>
      <c r="C40" s="633" t="s">
        <v>126</v>
      </c>
      <c r="D40" s="633"/>
      <c r="E40" s="42">
        <v>34.1</v>
      </c>
      <c r="F40" s="351">
        <v>3220</v>
      </c>
      <c r="G40" s="338">
        <f t="shared" si="27"/>
        <v>109802</v>
      </c>
      <c r="H40" s="37" t="s">
        <v>91</v>
      </c>
      <c r="I40" s="348">
        <v>17</v>
      </c>
      <c r="J40" s="39">
        <v>1600</v>
      </c>
      <c r="K40" s="17">
        <f t="shared" si="1"/>
        <v>94.117647058823536</v>
      </c>
      <c r="L40" s="348">
        <v>17</v>
      </c>
      <c r="M40" s="18">
        <f t="shared" si="28"/>
        <v>1533.333333333333</v>
      </c>
      <c r="N40" s="17">
        <f t="shared" si="3"/>
        <v>90.196078431372527</v>
      </c>
      <c r="O40" s="19">
        <f t="shared" si="4"/>
        <v>0</v>
      </c>
      <c r="P40" s="20">
        <f t="shared" si="5"/>
        <v>-3.9215686274510091</v>
      </c>
      <c r="Q40" s="337">
        <f t="shared" si="6"/>
        <v>0.95833333333333304</v>
      </c>
      <c r="R40" s="637"/>
      <c r="S40" s="40">
        <v>0.6</v>
      </c>
      <c r="T40" s="40">
        <v>0.6875</v>
      </c>
      <c r="U40" s="338">
        <f t="shared" si="30"/>
        <v>5.9999999999999787</v>
      </c>
      <c r="V40" s="349">
        <f t="shared" si="29"/>
        <v>126.00000000000003</v>
      </c>
      <c r="W40" s="23"/>
      <c r="X40" s="23"/>
      <c r="Y40" s="26"/>
      <c r="Z40" s="26"/>
      <c r="AA40" s="627"/>
      <c r="AB40" s="628"/>
      <c r="AC40" s="25"/>
      <c r="AD40" s="25"/>
      <c r="AE40" s="19">
        <f t="shared" si="8"/>
        <v>-66.66666666666697</v>
      </c>
      <c r="AF40" s="337">
        <f t="shared" si="9"/>
        <v>0.95833333333333315</v>
      </c>
      <c r="AG40" s="637"/>
    </row>
    <row r="41" spans="1:33">
      <c r="A41" s="652" t="s">
        <v>1756</v>
      </c>
      <c r="B41" s="44" t="s">
        <v>1753</v>
      </c>
      <c r="C41" s="638"/>
      <c r="D41" s="638"/>
      <c r="E41" s="339"/>
      <c r="F41" s="44"/>
      <c r="G41" s="17"/>
      <c r="H41" s="351"/>
      <c r="I41" s="29">
        <v>17.571428571428573</v>
      </c>
      <c r="J41" s="39">
        <v>2171.4285714285716</v>
      </c>
      <c r="K41" s="17">
        <f t="shared" si="1"/>
        <v>123.57723577235772</v>
      </c>
      <c r="L41" s="29">
        <v>17.571428571428573</v>
      </c>
      <c r="M41" s="18">
        <f>AVERAGE(M34:M40)</f>
        <v>2074.0239813034336</v>
      </c>
      <c r="N41" s="17">
        <f t="shared" si="3"/>
        <v>118.03388511482954</v>
      </c>
      <c r="O41" s="19">
        <f t="shared" si="4"/>
        <v>0</v>
      </c>
      <c r="P41" s="20">
        <f t="shared" si="5"/>
        <v>-5.5433506575281797</v>
      </c>
      <c r="Q41" s="337">
        <f t="shared" si="6"/>
        <v>0.95514262296868646</v>
      </c>
      <c r="R41" s="637"/>
      <c r="S41" s="40"/>
      <c r="T41" s="40"/>
      <c r="U41" s="17"/>
      <c r="V41" s="349"/>
      <c r="W41" s="17"/>
      <c r="X41" s="17"/>
      <c r="Y41" s="30">
        <f>SUM(Y34:Y40)</f>
        <v>0</v>
      </c>
      <c r="Z41" s="30">
        <f>SUM(Z34:Z40)</f>
        <v>0</v>
      </c>
      <c r="AA41" s="631"/>
      <c r="AB41" s="631"/>
      <c r="AC41" s="30">
        <v>7</v>
      </c>
      <c r="AD41" s="30">
        <f>SUM(AD34:AD40)</f>
        <v>0</v>
      </c>
      <c r="AE41" s="19">
        <f t="shared" si="8"/>
        <v>-97.404590125137929</v>
      </c>
      <c r="AF41" s="337">
        <f t="shared" si="9"/>
        <v>0.95514262296868646</v>
      </c>
      <c r="AG41" s="637"/>
    </row>
    <row r="42" spans="1:33" ht="15.75" customHeight="1">
      <c r="A42" s="648" t="s">
        <v>1757</v>
      </c>
      <c r="B42" s="42" t="s">
        <v>127</v>
      </c>
      <c r="C42" s="625" t="s">
        <v>128</v>
      </c>
      <c r="D42" s="626"/>
      <c r="E42" s="42">
        <v>21.13</v>
      </c>
      <c r="F42" s="351">
        <v>6462</v>
      </c>
      <c r="G42" s="338">
        <f t="shared" ref="G42:G45" si="31">E42*F42</f>
        <v>136542.06</v>
      </c>
      <c r="H42" s="37" t="s">
        <v>91</v>
      </c>
      <c r="I42" s="348">
        <v>10</v>
      </c>
      <c r="J42" s="39">
        <v>3000</v>
      </c>
      <c r="K42" s="17">
        <f t="shared" si="1"/>
        <v>300</v>
      </c>
      <c r="L42" s="348">
        <v>10</v>
      </c>
      <c r="M42" s="18">
        <f t="shared" ref="M42:M45" si="32">F42/V42*60</f>
        <v>2871.9999999999986</v>
      </c>
      <c r="N42" s="18">
        <f t="shared" si="3"/>
        <v>287.19999999999987</v>
      </c>
      <c r="O42" s="19">
        <f t="shared" si="4"/>
        <v>0</v>
      </c>
      <c r="P42" s="20">
        <f t="shared" si="5"/>
        <v>-12.800000000000125</v>
      </c>
      <c r="Q42" s="337">
        <f t="shared" si="6"/>
        <v>0.95733333333333293</v>
      </c>
      <c r="R42" s="643">
        <f>Q46</f>
        <v>0.95449349996408661</v>
      </c>
      <c r="S42" s="40">
        <v>0.20833333333333334</v>
      </c>
      <c r="T42" s="40">
        <v>0.30208333333333337</v>
      </c>
      <c r="U42" s="28"/>
      <c r="V42" s="349">
        <f t="shared" ref="V42:V45" si="33">(T42-S42)*24*60</f>
        <v>135.00000000000006</v>
      </c>
      <c r="W42" s="23"/>
      <c r="X42" s="23"/>
      <c r="Y42" s="26"/>
      <c r="Z42" s="26"/>
      <c r="AA42" s="627"/>
      <c r="AB42" s="628"/>
      <c r="AC42" s="25">
        <v>4</v>
      </c>
      <c r="AD42" s="25"/>
      <c r="AE42" s="19">
        <f t="shared" si="8"/>
        <v>-128.00000000000136</v>
      </c>
      <c r="AF42" s="337">
        <f t="shared" si="9"/>
        <v>0.95733333333333293</v>
      </c>
      <c r="AG42" s="643">
        <f>AF46</f>
        <v>0.9544934999640865</v>
      </c>
    </row>
    <row r="43" spans="1:33" ht="15.75" customHeight="1">
      <c r="A43" s="649" t="s">
        <v>1757</v>
      </c>
      <c r="B43" s="42" t="s">
        <v>127</v>
      </c>
      <c r="C43" s="625" t="s">
        <v>129</v>
      </c>
      <c r="D43" s="626"/>
      <c r="E43" s="42">
        <v>27.17</v>
      </c>
      <c r="F43" s="351">
        <v>5605</v>
      </c>
      <c r="G43" s="338">
        <f t="shared" si="31"/>
        <v>152287.85</v>
      </c>
      <c r="H43" s="37" t="s">
        <v>91</v>
      </c>
      <c r="I43" s="348">
        <v>10</v>
      </c>
      <c r="J43" s="39">
        <v>3000</v>
      </c>
      <c r="K43" s="17">
        <f t="shared" si="1"/>
        <v>300</v>
      </c>
      <c r="L43" s="348">
        <v>10</v>
      </c>
      <c r="M43" s="18">
        <f t="shared" si="32"/>
        <v>2874.3589743589746</v>
      </c>
      <c r="N43" s="18">
        <f t="shared" si="3"/>
        <v>287.43589743589746</v>
      </c>
      <c r="O43" s="19">
        <f t="shared" si="4"/>
        <v>0</v>
      </c>
      <c r="P43" s="20">
        <f t="shared" si="5"/>
        <v>-12.564102564102541</v>
      </c>
      <c r="Q43" s="337">
        <f t="shared" si="6"/>
        <v>0.95811965811965816</v>
      </c>
      <c r="R43" s="644"/>
      <c r="S43" s="40">
        <v>0.30694444444444446</v>
      </c>
      <c r="T43" s="40">
        <v>0.38819444444444445</v>
      </c>
      <c r="U43" s="338">
        <f t="shared" ref="U43:U45" si="34">(S43-T42)*24*60</f>
        <v>6.9999999999999751</v>
      </c>
      <c r="V43" s="349">
        <f t="shared" si="33"/>
        <v>116.99999999999999</v>
      </c>
      <c r="W43" s="23"/>
      <c r="X43" s="23"/>
      <c r="Y43" s="26"/>
      <c r="Z43" s="26"/>
      <c r="AA43" s="627"/>
      <c r="AB43" s="628"/>
      <c r="AC43" s="25"/>
      <c r="AD43" s="25"/>
      <c r="AE43" s="19">
        <f t="shared" si="8"/>
        <v>-125.64102564102541</v>
      </c>
      <c r="AF43" s="337">
        <f t="shared" si="9"/>
        <v>0.95811965811965816</v>
      </c>
      <c r="AG43" s="644"/>
    </row>
    <row r="44" spans="1:33" ht="15.75" customHeight="1">
      <c r="A44" s="649" t="s">
        <v>1757</v>
      </c>
      <c r="B44" s="42" t="s">
        <v>127</v>
      </c>
      <c r="C44" s="625" t="s">
        <v>130</v>
      </c>
      <c r="D44" s="626"/>
      <c r="E44" s="42">
        <v>35.869999999999997</v>
      </c>
      <c r="F44" s="351">
        <v>2004</v>
      </c>
      <c r="G44" s="338">
        <f t="shared" si="31"/>
        <v>71883.48</v>
      </c>
      <c r="H44" s="37" t="s">
        <v>91</v>
      </c>
      <c r="I44" s="348">
        <v>9</v>
      </c>
      <c r="J44" s="39">
        <v>3000</v>
      </c>
      <c r="K44" s="17">
        <f t="shared" si="1"/>
        <v>333.33333333333331</v>
      </c>
      <c r="L44" s="348">
        <v>9</v>
      </c>
      <c r="M44" s="18">
        <f t="shared" si="32"/>
        <v>2862.8571428571422</v>
      </c>
      <c r="N44" s="18">
        <f t="shared" si="3"/>
        <v>318.09523809523802</v>
      </c>
      <c r="O44" s="19">
        <f t="shared" si="4"/>
        <v>0</v>
      </c>
      <c r="P44" s="20">
        <f t="shared" si="5"/>
        <v>-15.238095238095298</v>
      </c>
      <c r="Q44" s="337">
        <f t="shared" si="6"/>
        <v>0.95428571428571407</v>
      </c>
      <c r="R44" s="644"/>
      <c r="S44" s="40">
        <v>0.39305555555555555</v>
      </c>
      <c r="T44" s="40">
        <v>0.42222222222222222</v>
      </c>
      <c r="U44" s="338">
        <f t="shared" si="34"/>
        <v>6.9999999999999751</v>
      </c>
      <c r="V44" s="349">
        <f t="shared" si="33"/>
        <v>42.000000000000014</v>
      </c>
      <c r="W44" s="23"/>
      <c r="X44" s="23"/>
      <c r="Y44" s="26"/>
      <c r="Z44" s="26"/>
      <c r="AA44" s="627"/>
      <c r="AB44" s="628"/>
      <c r="AC44" s="25"/>
      <c r="AD44" s="25"/>
      <c r="AE44" s="19">
        <f t="shared" si="8"/>
        <v>-137.14285714285779</v>
      </c>
      <c r="AF44" s="337">
        <f t="shared" si="9"/>
        <v>0.95428571428571407</v>
      </c>
      <c r="AG44" s="644"/>
    </row>
    <row r="45" spans="1:33" ht="15.75" customHeight="1">
      <c r="A45" s="649" t="s">
        <v>1757</v>
      </c>
      <c r="B45" s="42" t="s">
        <v>127</v>
      </c>
      <c r="C45" s="625" t="s">
        <v>131</v>
      </c>
      <c r="D45" s="626"/>
      <c r="E45" s="42">
        <v>34.35</v>
      </c>
      <c r="F45" s="351">
        <v>806</v>
      </c>
      <c r="G45" s="338">
        <f t="shared" si="31"/>
        <v>27686.100000000002</v>
      </c>
      <c r="H45" s="37" t="s">
        <v>91</v>
      </c>
      <c r="I45" s="348">
        <v>8</v>
      </c>
      <c r="J45" s="39">
        <v>3000</v>
      </c>
      <c r="K45" s="17">
        <f t="shared" si="1"/>
        <v>375</v>
      </c>
      <c r="L45" s="348">
        <v>8</v>
      </c>
      <c r="M45" s="18">
        <f t="shared" si="32"/>
        <v>2844.7058823529246</v>
      </c>
      <c r="N45" s="18">
        <f t="shared" si="3"/>
        <v>355.58823529411558</v>
      </c>
      <c r="O45" s="19">
        <f t="shared" si="4"/>
        <v>0</v>
      </c>
      <c r="P45" s="20">
        <f t="shared" si="5"/>
        <v>-19.411764705884423</v>
      </c>
      <c r="Q45" s="337">
        <f t="shared" si="6"/>
        <v>0.94823529411764151</v>
      </c>
      <c r="R45" s="644"/>
      <c r="S45" s="40">
        <v>0.42777777777777776</v>
      </c>
      <c r="T45" s="40">
        <v>0.43958333333333338</v>
      </c>
      <c r="U45" s="338">
        <f t="shared" si="34"/>
        <v>7.9999999999999716</v>
      </c>
      <c r="V45" s="349">
        <f t="shared" si="33"/>
        <v>17.000000000000099</v>
      </c>
      <c r="W45" s="23"/>
      <c r="X45" s="23"/>
      <c r="Y45" s="26"/>
      <c r="Z45" s="26"/>
      <c r="AA45" s="627"/>
      <c r="AB45" s="628"/>
      <c r="AC45" s="25"/>
      <c r="AD45" s="25"/>
      <c r="AE45" s="19">
        <f t="shared" si="8"/>
        <v>-155.29411764707538</v>
      </c>
      <c r="AF45" s="337">
        <f t="shared" si="9"/>
        <v>0.94823529411764151</v>
      </c>
      <c r="AG45" s="644"/>
    </row>
    <row r="46" spans="1:33" ht="15.75" customHeight="1">
      <c r="A46" s="650" t="s">
        <v>1757</v>
      </c>
      <c r="B46" s="42" t="s">
        <v>1753</v>
      </c>
      <c r="C46" s="629"/>
      <c r="D46" s="630"/>
      <c r="E46" s="341"/>
      <c r="F46" s="351"/>
      <c r="G46" s="338"/>
      <c r="H46" s="351"/>
      <c r="I46" s="29">
        <v>9.25</v>
      </c>
      <c r="J46" s="39">
        <v>3000</v>
      </c>
      <c r="K46" s="17">
        <f t="shared" si="1"/>
        <v>324.32432432432432</v>
      </c>
      <c r="L46" s="29">
        <v>9.25</v>
      </c>
      <c r="M46" s="18">
        <f>AVERAGE(M42:M45)</f>
        <v>2863.4804998922596</v>
      </c>
      <c r="N46" s="17">
        <f t="shared" si="3"/>
        <v>309.56545944781186</v>
      </c>
      <c r="O46" s="19">
        <f t="shared" si="4"/>
        <v>0</v>
      </c>
      <c r="P46" s="20">
        <f t="shared" si="5"/>
        <v>-14.758864876512462</v>
      </c>
      <c r="Q46" s="337">
        <f t="shared" si="6"/>
        <v>0.95449349996408661</v>
      </c>
      <c r="R46" s="645"/>
      <c r="S46" s="40"/>
      <c r="T46" s="40"/>
      <c r="U46" s="338"/>
      <c r="V46" s="349"/>
      <c r="W46" s="23"/>
      <c r="X46" s="23"/>
      <c r="Y46" s="30">
        <f>SUM(Y42:Y45)</f>
        <v>0</v>
      </c>
      <c r="Z46" s="30">
        <f>SUM(Z42:Z45)</f>
        <v>0</v>
      </c>
      <c r="AA46" s="646"/>
      <c r="AB46" s="647"/>
      <c r="AC46" s="30">
        <v>4</v>
      </c>
      <c r="AD46" s="30">
        <f>SUM(AD42:AD45)</f>
        <v>0</v>
      </c>
      <c r="AE46" s="19">
        <f t="shared" si="8"/>
        <v>-136.51950010774044</v>
      </c>
      <c r="AF46" s="337">
        <f t="shared" si="9"/>
        <v>0.9544934999640865</v>
      </c>
      <c r="AG46" s="645"/>
    </row>
    <row r="47" spans="1:33" ht="15.75" customHeight="1">
      <c r="A47" s="641" t="s">
        <v>1758</v>
      </c>
      <c r="B47" s="42" t="s">
        <v>92</v>
      </c>
      <c r="C47" s="633" t="s">
        <v>133</v>
      </c>
      <c r="D47" s="633"/>
      <c r="E47" s="42">
        <v>59.04</v>
      </c>
      <c r="F47" s="48">
        <v>1820</v>
      </c>
      <c r="G47" s="338">
        <f t="shared" ref="G47:G53" si="35">E47*F47</f>
        <v>107452.8</v>
      </c>
      <c r="H47" s="37" t="s">
        <v>91</v>
      </c>
      <c r="I47" s="348">
        <v>19</v>
      </c>
      <c r="J47" s="39">
        <v>2000</v>
      </c>
      <c r="K47" s="17">
        <f t="shared" si="1"/>
        <v>105.26315789473684</v>
      </c>
      <c r="L47" s="348">
        <v>19</v>
      </c>
      <c r="M47" s="18">
        <f t="shared" ref="M47" si="36">F47/V47*60</f>
        <v>1915.7894736842106</v>
      </c>
      <c r="N47" s="18">
        <f t="shared" si="3"/>
        <v>100.83102493074793</v>
      </c>
      <c r="O47" s="19">
        <f t="shared" si="4"/>
        <v>0</v>
      </c>
      <c r="P47" s="20">
        <f t="shared" si="5"/>
        <v>-4.4321329639889058</v>
      </c>
      <c r="Q47" s="337">
        <f t="shared" si="6"/>
        <v>0.95789473684210535</v>
      </c>
      <c r="R47" s="637">
        <f>Q54</f>
        <v>0.95819642227615465</v>
      </c>
      <c r="S47" s="40">
        <v>0.20833333333333334</v>
      </c>
      <c r="T47" s="40">
        <v>0.24791666666666667</v>
      </c>
      <c r="U47" s="28"/>
      <c r="V47" s="349">
        <f t="shared" ref="V47:V53" si="37">(T47-S47)*24*60</f>
        <v>57</v>
      </c>
      <c r="W47" s="23"/>
      <c r="X47" s="23"/>
      <c r="Y47" s="28"/>
      <c r="Z47" s="28"/>
      <c r="AA47" s="632"/>
      <c r="AB47" s="632"/>
      <c r="AC47" s="25">
        <v>7</v>
      </c>
      <c r="AD47" s="25"/>
      <c r="AE47" s="19">
        <f t="shared" si="8"/>
        <v>-84.210526315789366</v>
      </c>
      <c r="AF47" s="337">
        <f t="shared" si="9"/>
        <v>0.95789473684210535</v>
      </c>
      <c r="AG47" s="637">
        <f>AF54</f>
        <v>0.95819642227615476</v>
      </c>
    </row>
    <row r="48" spans="1:33" ht="15.75" customHeight="1">
      <c r="A48" s="641" t="s">
        <v>1758</v>
      </c>
      <c r="B48" s="42" t="s">
        <v>103</v>
      </c>
      <c r="C48" s="633" t="s">
        <v>132</v>
      </c>
      <c r="D48" s="633"/>
      <c r="E48" s="42">
        <v>51.44</v>
      </c>
      <c r="F48" s="48">
        <v>5002</v>
      </c>
      <c r="G48" s="338">
        <f t="shared" si="35"/>
        <v>257302.87999999998</v>
      </c>
      <c r="H48" s="37" t="s">
        <v>91</v>
      </c>
      <c r="I48" s="348">
        <v>18</v>
      </c>
      <c r="J48" s="39">
        <v>2000</v>
      </c>
      <c r="K48" s="17">
        <f t="shared" si="1"/>
        <v>111.11111111111111</v>
      </c>
      <c r="L48" s="348">
        <v>18</v>
      </c>
      <c r="M48" s="18">
        <f>F48/V48*60</f>
        <v>1911.592356687898</v>
      </c>
      <c r="N48" s="18">
        <f t="shared" si="3"/>
        <v>106.19957537154988</v>
      </c>
      <c r="O48" s="19">
        <f t="shared" si="4"/>
        <v>0</v>
      </c>
      <c r="P48" s="20">
        <f t="shared" si="5"/>
        <v>-4.9115357395612307</v>
      </c>
      <c r="Q48" s="337">
        <f t="shared" si="6"/>
        <v>0.95579617834394892</v>
      </c>
      <c r="R48" s="637"/>
      <c r="S48" s="40">
        <v>0.25138888888888888</v>
      </c>
      <c r="T48" s="40">
        <v>0.36041666666666666</v>
      </c>
      <c r="U48" s="338">
        <f t="shared" ref="U48:U53" si="38">IF(S48=TIME(17,0,0),"",(S48-T47)*24*60)</f>
        <v>4.9999999999999822</v>
      </c>
      <c r="V48" s="349">
        <f t="shared" si="37"/>
        <v>157</v>
      </c>
      <c r="W48" s="23"/>
      <c r="X48" s="23"/>
      <c r="Y48" s="23"/>
      <c r="Z48" s="23"/>
      <c r="AA48" s="632"/>
      <c r="AB48" s="632"/>
      <c r="AC48" s="25"/>
      <c r="AD48" s="25"/>
      <c r="AE48" s="19">
        <f t="shared" si="8"/>
        <v>-88.407643312101982</v>
      </c>
      <c r="AF48" s="337">
        <f t="shared" si="9"/>
        <v>0.95579617834394903</v>
      </c>
      <c r="AG48" s="637"/>
    </row>
    <row r="49" spans="1:33" ht="15.75" customHeight="1">
      <c r="A49" s="641" t="s">
        <v>1758</v>
      </c>
      <c r="B49" s="42" t="s">
        <v>92</v>
      </c>
      <c r="C49" s="625" t="s">
        <v>135</v>
      </c>
      <c r="D49" s="626"/>
      <c r="E49" s="42">
        <v>51.44</v>
      </c>
      <c r="F49" s="48">
        <v>1979</v>
      </c>
      <c r="G49" s="338">
        <f t="shared" si="35"/>
        <v>101799.76</v>
      </c>
      <c r="H49" s="37" t="s">
        <v>91</v>
      </c>
      <c r="I49" s="348">
        <v>25</v>
      </c>
      <c r="J49" s="39">
        <v>2000</v>
      </c>
      <c r="K49" s="17">
        <f t="shared" si="1"/>
        <v>80</v>
      </c>
      <c r="L49" s="348">
        <v>25</v>
      </c>
      <c r="M49" s="18">
        <f t="shared" ref="M49:M53" si="39">F49/V49*60</f>
        <v>1915.16129032258</v>
      </c>
      <c r="N49" s="18">
        <f t="shared" si="3"/>
        <v>76.6064516129032</v>
      </c>
      <c r="O49" s="19">
        <f t="shared" si="4"/>
        <v>0</v>
      </c>
      <c r="P49" s="20">
        <f t="shared" si="5"/>
        <v>-3.3935483870968</v>
      </c>
      <c r="Q49" s="337">
        <f t="shared" si="6"/>
        <v>0.95758064516129004</v>
      </c>
      <c r="R49" s="637"/>
      <c r="S49" s="40">
        <v>0.36458333333333331</v>
      </c>
      <c r="T49" s="40">
        <v>0.40763888888888888</v>
      </c>
      <c r="U49" s="338">
        <f t="shared" si="38"/>
        <v>5.9999999999999787</v>
      </c>
      <c r="V49" s="349">
        <f t="shared" si="37"/>
        <v>62.000000000000021</v>
      </c>
      <c r="W49" s="23"/>
      <c r="X49" s="23"/>
      <c r="Y49" s="26"/>
      <c r="Z49" s="26"/>
      <c r="AA49" s="632"/>
      <c r="AB49" s="632"/>
      <c r="AC49" s="25"/>
      <c r="AD49" s="25"/>
      <c r="AE49" s="19">
        <f t="shared" si="8"/>
        <v>-84.838709677419956</v>
      </c>
      <c r="AF49" s="337">
        <f t="shared" si="9"/>
        <v>0.95758064516129004</v>
      </c>
      <c r="AG49" s="637"/>
    </row>
    <row r="50" spans="1:33" ht="15.75" customHeight="1">
      <c r="A50" s="641" t="s">
        <v>1758</v>
      </c>
      <c r="B50" s="42" t="s">
        <v>96</v>
      </c>
      <c r="C50" s="342" t="s">
        <v>136</v>
      </c>
      <c r="D50" s="343"/>
      <c r="E50" s="42">
        <v>46</v>
      </c>
      <c r="F50" s="48">
        <v>1818</v>
      </c>
      <c r="G50" s="338">
        <f t="shared" si="35"/>
        <v>83628</v>
      </c>
      <c r="H50" s="37" t="s">
        <v>91</v>
      </c>
      <c r="I50" s="348">
        <v>16</v>
      </c>
      <c r="J50" s="39">
        <v>2000</v>
      </c>
      <c r="K50" s="17">
        <f t="shared" si="1"/>
        <v>125</v>
      </c>
      <c r="L50" s="348">
        <v>16</v>
      </c>
      <c r="M50" s="18">
        <f t="shared" si="39"/>
        <v>1913.6842105263172</v>
      </c>
      <c r="N50" s="18">
        <f t="shared" si="3"/>
        <v>119.60526315789483</v>
      </c>
      <c r="O50" s="19">
        <f t="shared" si="4"/>
        <v>0</v>
      </c>
      <c r="P50" s="20">
        <f t="shared" si="5"/>
        <v>-5.3947368421051749</v>
      </c>
      <c r="Q50" s="337">
        <f t="shared" si="6"/>
        <v>0.9568421052631586</v>
      </c>
      <c r="R50" s="637"/>
      <c r="S50" s="40">
        <v>0.41111111111111109</v>
      </c>
      <c r="T50" s="40">
        <v>0.4506944444444444</v>
      </c>
      <c r="U50" s="338">
        <f t="shared" si="38"/>
        <v>4.9999999999999822</v>
      </c>
      <c r="V50" s="349">
        <f t="shared" si="37"/>
        <v>56.999999999999957</v>
      </c>
      <c r="W50" s="23"/>
      <c r="X50" s="23"/>
      <c r="Y50" s="26"/>
      <c r="Z50" s="26"/>
      <c r="AA50" s="632"/>
      <c r="AB50" s="632"/>
      <c r="AC50" s="25"/>
      <c r="AD50" s="25"/>
      <c r="AE50" s="19">
        <f t="shared" si="8"/>
        <v>-86.315789473682798</v>
      </c>
      <c r="AF50" s="337">
        <f t="shared" si="9"/>
        <v>0.9568421052631586</v>
      </c>
      <c r="AG50" s="637"/>
    </row>
    <row r="51" spans="1:33" ht="15.75" customHeight="1">
      <c r="A51" s="641" t="s">
        <v>1758</v>
      </c>
      <c r="B51" s="42" t="s">
        <v>96</v>
      </c>
      <c r="C51" s="342" t="s">
        <v>137</v>
      </c>
      <c r="D51" s="343"/>
      <c r="E51" s="42">
        <v>46</v>
      </c>
      <c r="F51" s="48">
        <v>1989</v>
      </c>
      <c r="G51" s="338">
        <f t="shared" si="35"/>
        <v>91494</v>
      </c>
      <c r="H51" s="37" t="s">
        <v>91</v>
      </c>
      <c r="I51" s="348">
        <v>17</v>
      </c>
      <c r="J51" s="39">
        <v>2000</v>
      </c>
      <c r="K51" s="17">
        <f t="shared" si="1"/>
        <v>117.64705882352941</v>
      </c>
      <c r="L51" s="348">
        <v>17</v>
      </c>
      <c r="M51" s="18">
        <f t="shared" si="39"/>
        <v>1924.8387096774188</v>
      </c>
      <c r="N51" s="18">
        <f t="shared" si="3"/>
        <v>113.22580645161287</v>
      </c>
      <c r="O51" s="19">
        <f t="shared" si="4"/>
        <v>0</v>
      </c>
      <c r="P51" s="20">
        <f t="shared" si="5"/>
        <v>-4.4212523719165375</v>
      </c>
      <c r="Q51" s="337">
        <f t="shared" si="6"/>
        <v>0.96241935483870944</v>
      </c>
      <c r="R51" s="637"/>
      <c r="S51" s="40">
        <v>0.45486111111111105</v>
      </c>
      <c r="T51" s="40">
        <v>0.49791666666666662</v>
      </c>
      <c r="U51" s="338">
        <f t="shared" si="38"/>
        <v>5.9999999999999787</v>
      </c>
      <c r="V51" s="349">
        <f t="shared" si="37"/>
        <v>62.000000000000021</v>
      </c>
      <c r="W51" s="23"/>
      <c r="X51" s="23"/>
      <c r="Y51" s="26"/>
      <c r="Z51" s="26"/>
      <c r="AA51" s="632"/>
      <c r="AB51" s="632"/>
      <c r="AC51" s="25"/>
      <c r="AD51" s="25"/>
      <c r="AE51" s="19">
        <f t="shared" si="8"/>
        <v>-75.161290322581181</v>
      </c>
      <c r="AF51" s="337">
        <f t="shared" si="9"/>
        <v>0.96241935483870944</v>
      </c>
      <c r="AG51" s="637"/>
    </row>
    <row r="52" spans="1:33" ht="15.75" customHeight="1">
      <c r="A52" s="641" t="s">
        <v>1758</v>
      </c>
      <c r="B52" s="42" t="s">
        <v>92</v>
      </c>
      <c r="C52" s="625" t="s">
        <v>138</v>
      </c>
      <c r="D52" s="626"/>
      <c r="E52" s="42">
        <v>55.56</v>
      </c>
      <c r="F52" s="48">
        <v>3197</v>
      </c>
      <c r="G52" s="338">
        <f t="shared" si="35"/>
        <v>177625.32</v>
      </c>
      <c r="H52" s="37" t="s">
        <v>91</v>
      </c>
      <c r="I52" s="348">
        <v>17</v>
      </c>
      <c r="J52" s="39">
        <v>2000</v>
      </c>
      <c r="K52" s="17">
        <f t="shared" si="1"/>
        <v>117.64705882352941</v>
      </c>
      <c r="L52" s="348">
        <v>17</v>
      </c>
      <c r="M52" s="18">
        <f t="shared" si="39"/>
        <v>1918.2000000000005</v>
      </c>
      <c r="N52" s="18">
        <f t="shared" si="3"/>
        <v>112.83529411764709</v>
      </c>
      <c r="O52" s="19">
        <f t="shared" si="4"/>
        <v>0</v>
      </c>
      <c r="P52" s="20">
        <f t="shared" si="5"/>
        <v>-4.811764705882311</v>
      </c>
      <c r="Q52" s="337">
        <f t="shared" si="6"/>
        <v>0.9591000000000004</v>
      </c>
      <c r="R52" s="637"/>
      <c r="S52" s="40">
        <v>0.70833333333333337</v>
      </c>
      <c r="T52" s="40">
        <v>0.77777777777777779</v>
      </c>
      <c r="U52" s="338" t="str">
        <f t="shared" si="38"/>
        <v/>
      </c>
      <c r="V52" s="349">
        <f t="shared" si="37"/>
        <v>99.999999999999972</v>
      </c>
      <c r="W52" s="23"/>
      <c r="X52" s="23"/>
      <c r="Y52" s="26"/>
      <c r="Z52" s="26"/>
      <c r="AA52" s="627"/>
      <c r="AB52" s="628"/>
      <c r="AC52" s="25"/>
      <c r="AD52" s="25"/>
      <c r="AE52" s="19">
        <f t="shared" si="8"/>
        <v>-81.7999999999995</v>
      </c>
      <c r="AF52" s="337">
        <f t="shared" si="9"/>
        <v>0.95910000000000029</v>
      </c>
      <c r="AG52" s="637"/>
    </row>
    <row r="53" spans="1:33" ht="15.75" customHeight="1">
      <c r="A53" s="641" t="s">
        <v>1758</v>
      </c>
      <c r="B53" s="42" t="s">
        <v>92</v>
      </c>
      <c r="C53" s="625" t="s">
        <v>420</v>
      </c>
      <c r="D53" s="626"/>
      <c r="E53" s="42">
        <v>58.17</v>
      </c>
      <c r="F53" s="48">
        <v>2969</v>
      </c>
      <c r="G53" s="338">
        <f t="shared" si="35"/>
        <v>172706.73</v>
      </c>
      <c r="H53" s="37" t="s">
        <v>91</v>
      </c>
      <c r="I53" s="348">
        <v>13</v>
      </c>
      <c r="J53" s="39">
        <v>2000</v>
      </c>
      <c r="K53" s="17">
        <f t="shared" si="1"/>
        <v>153.84615384615384</v>
      </c>
      <c r="L53" s="348">
        <v>13</v>
      </c>
      <c r="M53" s="18">
        <f t="shared" si="39"/>
        <v>1915.4838709677422</v>
      </c>
      <c r="N53" s="18">
        <f t="shared" si="3"/>
        <v>147.34491315136478</v>
      </c>
      <c r="O53" s="19">
        <f t="shared" si="4"/>
        <v>0</v>
      </c>
      <c r="P53" s="20">
        <f t="shared" si="5"/>
        <v>-6.5012406947890611</v>
      </c>
      <c r="Q53" s="337">
        <f t="shared" si="6"/>
        <v>0.9577419354838711</v>
      </c>
      <c r="R53" s="637"/>
      <c r="S53" s="40">
        <v>0.78125</v>
      </c>
      <c r="T53" s="40">
        <v>0.84583333333333333</v>
      </c>
      <c r="U53" s="338">
        <f t="shared" si="38"/>
        <v>4.9999999999999822</v>
      </c>
      <c r="V53" s="349">
        <f t="shared" si="37"/>
        <v>92.999999999999986</v>
      </c>
      <c r="W53" s="23"/>
      <c r="X53" s="23"/>
      <c r="Y53" s="26"/>
      <c r="Z53" s="26"/>
      <c r="AA53" s="627"/>
      <c r="AB53" s="628"/>
      <c r="AC53" s="25"/>
      <c r="AD53" s="25"/>
      <c r="AE53" s="19">
        <f t="shared" si="8"/>
        <v>-84.516129032257822</v>
      </c>
      <c r="AF53" s="337">
        <f t="shared" si="9"/>
        <v>0.9577419354838711</v>
      </c>
      <c r="AG53" s="637"/>
    </row>
    <row r="54" spans="1:33">
      <c r="A54" s="642" t="s">
        <v>1758</v>
      </c>
      <c r="B54" s="42" t="s">
        <v>1753</v>
      </c>
      <c r="C54" s="638"/>
      <c r="D54" s="638"/>
      <c r="E54" s="339"/>
      <c r="F54" s="44"/>
      <c r="G54" s="17"/>
      <c r="H54" s="351"/>
      <c r="I54" s="29">
        <v>17.857142857142858</v>
      </c>
      <c r="J54" s="39">
        <v>2000</v>
      </c>
      <c r="K54" s="17">
        <f t="shared" si="1"/>
        <v>112</v>
      </c>
      <c r="L54" s="29">
        <v>17.857142857142858</v>
      </c>
      <c r="M54" s="18">
        <f>AVERAGE(M47:M53)</f>
        <v>1916.3928445523095</v>
      </c>
      <c r="N54" s="17">
        <f t="shared" si="3"/>
        <v>107.31799929492932</v>
      </c>
      <c r="O54" s="19">
        <f t="shared" si="4"/>
        <v>0</v>
      </c>
      <c r="P54" s="20">
        <f t="shared" si="5"/>
        <v>-4.6820007050706778</v>
      </c>
      <c r="Q54" s="337">
        <f t="shared" si="6"/>
        <v>0.95819642227615465</v>
      </c>
      <c r="R54" s="637"/>
      <c r="S54" s="40"/>
      <c r="T54" s="40"/>
      <c r="U54" s="338"/>
      <c r="V54" s="349"/>
      <c r="W54" s="17"/>
      <c r="X54" s="17"/>
      <c r="Y54" s="30">
        <f>SUM(Y47:Y53)</f>
        <v>0</v>
      </c>
      <c r="Z54" s="30">
        <f>SUM(Z47:Z53)</f>
        <v>0</v>
      </c>
      <c r="AA54" s="631"/>
      <c r="AB54" s="631"/>
      <c r="AC54" s="30">
        <v>7</v>
      </c>
      <c r="AD54" s="30">
        <f>SUM(AD47:AD53)</f>
        <v>0</v>
      </c>
      <c r="AE54" s="19">
        <f>M54-J54</f>
        <v>-83.607155447690502</v>
      </c>
      <c r="AF54" s="337">
        <f t="shared" si="9"/>
        <v>0.95819642227615476</v>
      </c>
      <c r="AG54" s="637"/>
    </row>
    <row r="55" spans="1:33" ht="15.75" customHeight="1">
      <c r="A55" s="639" t="s">
        <v>1759</v>
      </c>
      <c r="B55" s="351" t="s">
        <v>127</v>
      </c>
      <c r="C55" s="633" t="s">
        <v>141</v>
      </c>
      <c r="D55" s="633"/>
      <c r="E55" s="42">
        <v>35.119999999999997</v>
      </c>
      <c r="F55" s="48">
        <v>5054</v>
      </c>
      <c r="G55" s="338">
        <f t="shared" ref="G55:G58" si="40">E55*F55</f>
        <v>177496.47999999998</v>
      </c>
      <c r="H55" s="37" t="s">
        <v>91</v>
      </c>
      <c r="I55" s="348">
        <v>10</v>
      </c>
      <c r="J55" s="39">
        <v>3000</v>
      </c>
      <c r="K55" s="17">
        <f t="shared" si="1"/>
        <v>300</v>
      </c>
      <c r="L55" s="348">
        <v>10</v>
      </c>
      <c r="M55" s="18">
        <f t="shared" ref="M55:M58" si="41">F55/V55*60</f>
        <v>2860.7547169811323</v>
      </c>
      <c r="N55" s="17">
        <f t="shared" si="3"/>
        <v>286.07547169811323</v>
      </c>
      <c r="O55" s="19">
        <f t="shared" si="4"/>
        <v>0</v>
      </c>
      <c r="P55" s="20">
        <f t="shared" si="5"/>
        <v>-13.924528301886767</v>
      </c>
      <c r="Q55" s="337">
        <f t="shared" si="6"/>
        <v>0.95358490566037746</v>
      </c>
      <c r="R55" s="637">
        <f>Q59</f>
        <v>0.95803908355795098</v>
      </c>
      <c r="S55" s="40">
        <v>0.20833333333333334</v>
      </c>
      <c r="T55" s="40">
        <v>0.28194444444444444</v>
      </c>
      <c r="U55" s="338"/>
      <c r="V55" s="349">
        <f t="shared" ref="V55:V58" si="42">(T55-S55)*24*60</f>
        <v>105.99999999999999</v>
      </c>
      <c r="W55" s="23"/>
      <c r="X55" s="23"/>
      <c r="Y55" s="28"/>
      <c r="Z55" s="28"/>
      <c r="AA55" s="632"/>
      <c r="AB55" s="632"/>
      <c r="AC55" s="25">
        <v>4</v>
      </c>
      <c r="AD55" s="25"/>
      <c r="AE55" s="19">
        <f t="shared" ref="AE55:AE68" si="43">M55-J55</f>
        <v>-139.24528301886767</v>
      </c>
      <c r="AF55" s="337">
        <f t="shared" si="9"/>
        <v>0.95358490566037746</v>
      </c>
      <c r="AG55" s="637">
        <f>AF59</f>
        <v>0.95803908355795098</v>
      </c>
    </row>
    <row r="56" spans="1:33" ht="15.75" customHeight="1">
      <c r="A56" s="639" t="s">
        <v>1759</v>
      </c>
      <c r="B56" s="351" t="s">
        <v>127</v>
      </c>
      <c r="C56" s="633" t="s">
        <v>142</v>
      </c>
      <c r="D56" s="633"/>
      <c r="E56" s="42">
        <v>26.78</v>
      </c>
      <c r="F56" s="48">
        <v>3088</v>
      </c>
      <c r="G56" s="338">
        <f t="shared" si="40"/>
        <v>82696.639999999999</v>
      </c>
      <c r="H56" s="37" t="s">
        <v>91</v>
      </c>
      <c r="I56" s="348">
        <v>10</v>
      </c>
      <c r="J56" s="39">
        <v>3000</v>
      </c>
      <c r="K56" s="17">
        <f t="shared" si="1"/>
        <v>300</v>
      </c>
      <c r="L56" s="348">
        <v>10</v>
      </c>
      <c r="M56" s="18">
        <f t="shared" si="41"/>
        <v>2894.9999999999991</v>
      </c>
      <c r="N56" s="17">
        <f t="shared" si="3"/>
        <v>289.49999999999989</v>
      </c>
      <c r="O56" s="19">
        <f t="shared" si="4"/>
        <v>0</v>
      </c>
      <c r="P56" s="20">
        <f t="shared" si="5"/>
        <v>-10.500000000000114</v>
      </c>
      <c r="Q56" s="337">
        <f t="shared" si="6"/>
        <v>0.96499999999999964</v>
      </c>
      <c r="R56" s="637"/>
      <c r="S56" s="40">
        <v>0.28749999999999998</v>
      </c>
      <c r="T56" s="40">
        <v>0.33194444444444443</v>
      </c>
      <c r="U56" s="338">
        <f t="shared" ref="U56:U58" si="44">(S56-T55)*24*60</f>
        <v>7.9999999999999716</v>
      </c>
      <c r="V56" s="349">
        <f t="shared" si="42"/>
        <v>64.000000000000014</v>
      </c>
      <c r="W56" s="338"/>
      <c r="X56" s="338"/>
      <c r="Y56" s="338"/>
      <c r="Z56" s="338"/>
      <c r="AA56" s="632"/>
      <c r="AB56" s="632"/>
      <c r="AC56" s="25"/>
      <c r="AD56" s="25"/>
      <c r="AE56" s="19">
        <f t="shared" si="43"/>
        <v>-105.00000000000091</v>
      </c>
      <c r="AF56" s="337">
        <f t="shared" si="9"/>
        <v>0.96499999999999975</v>
      </c>
      <c r="AG56" s="637"/>
    </row>
    <row r="57" spans="1:33" ht="15.75" customHeight="1">
      <c r="A57" s="639" t="s">
        <v>1759</v>
      </c>
      <c r="B57" s="351" t="s">
        <v>127</v>
      </c>
      <c r="C57" s="633" t="s">
        <v>143</v>
      </c>
      <c r="D57" s="633"/>
      <c r="E57" s="42">
        <v>36.14</v>
      </c>
      <c r="F57" s="48">
        <v>1680</v>
      </c>
      <c r="G57" s="338">
        <f t="shared" si="40"/>
        <v>60715.200000000004</v>
      </c>
      <c r="H57" s="37" t="s">
        <v>91</v>
      </c>
      <c r="I57" s="348">
        <v>11</v>
      </c>
      <c r="J57" s="39">
        <v>3000</v>
      </c>
      <c r="K57" s="17">
        <f t="shared" si="1"/>
        <v>272.72727272727275</v>
      </c>
      <c r="L57" s="348">
        <v>11</v>
      </c>
      <c r="M57" s="18">
        <f t="shared" si="41"/>
        <v>2879.9999999999968</v>
      </c>
      <c r="N57" s="17">
        <f t="shared" si="3"/>
        <v>261.81818181818153</v>
      </c>
      <c r="O57" s="19">
        <f t="shared" si="4"/>
        <v>0</v>
      </c>
      <c r="P57" s="20">
        <f t="shared" si="5"/>
        <v>-10.909090909091219</v>
      </c>
      <c r="Q57" s="337">
        <f t="shared" si="6"/>
        <v>0.95999999999999885</v>
      </c>
      <c r="R57" s="637"/>
      <c r="S57" s="40">
        <v>0.33680555555555552</v>
      </c>
      <c r="T57" s="40">
        <v>0.3611111111111111</v>
      </c>
      <c r="U57" s="338">
        <f t="shared" si="44"/>
        <v>6.9999999999999751</v>
      </c>
      <c r="V57" s="349">
        <f t="shared" si="42"/>
        <v>35.000000000000036</v>
      </c>
      <c r="W57" s="338"/>
      <c r="X57" s="338"/>
      <c r="Y57" s="338"/>
      <c r="Z57" s="338"/>
      <c r="AA57" s="632"/>
      <c r="AB57" s="632"/>
      <c r="AC57" s="25"/>
      <c r="AD57" s="25"/>
      <c r="AE57" s="19">
        <f t="shared" si="43"/>
        <v>-120.00000000000318</v>
      </c>
      <c r="AF57" s="337">
        <f t="shared" si="9"/>
        <v>0.95999999999999897</v>
      </c>
      <c r="AG57" s="637"/>
    </row>
    <row r="58" spans="1:33" ht="15.75" customHeight="1">
      <c r="A58" s="639" t="s">
        <v>1759</v>
      </c>
      <c r="B58" s="351" t="s">
        <v>127</v>
      </c>
      <c r="C58" s="633" t="s">
        <v>144</v>
      </c>
      <c r="D58" s="633"/>
      <c r="E58" s="42">
        <v>35.869999999999997</v>
      </c>
      <c r="F58" s="48">
        <v>4005</v>
      </c>
      <c r="G58" s="338">
        <f t="shared" si="40"/>
        <v>143659.34999999998</v>
      </c>
      <c r="H58" s="37" t="s">
        <v>91</v>
      </c>
      <c r="I58" s="348">
        <v>10</v>
      </c>
      <c r="J58" s="39">
        <v>3000</v>
      </c>
      <c r="K58" s="17">
        <f t="shared" si="1"/>
        <v>300</v>
      </c>
      <c r="L58" s="348">
        <v>10</v>
      </c>
      <c r="M58" s="18">
        <f t="shared" si="41"/>
        <v>2860.7142857142844</v>
      </c>
      <c r="N58" s="17">
        <f t="shared" si="3"/>
        <v>286.07142857142844</v>
      </c>
      <c r="O58" s="19">
        <f t="shared" si="4"/>
        <v>0</v>
      </c>
      <c r="P58" s="20">
        <f t="shared" si="5"/>
        <v>-13.928571428571558</v>
      </c>
      <c r="Q58" s="337">
        <f t="shared" si="6"/>
        <v>0.95357142857142818</v>
      </c>
      <c r="R58" s="637"/>
      <c r="S58" s="40">
        <v>0.3659722222222222</v>
      </c>
      <c r="T58" s="40">
        <v>0.42430555555555555</v>
      </c>
      <c r="U58" s="338">
        <f t="shared" si="44"/>
        <v>6.9999999999999751</v>
      </c>
      <c r="V58" s="349">
        <f t="shared" si="42"/>
        <v>84.000000000000028</v>
      </c>
      <c r="W58" s="338"/>
      <c r="X58" s="338"/>
      <c r="Y58" s="338"/>
      <c r="Z58" s="338"/>
      <c r="AA58" s="632"/>
      <c r="AB58" s="632"/>
      <c r="AC58" s="25"/>
      <c r="AD58" s="25"/>
      <c r="AE58" s="19">
        <f t="shared" si="43"/>
        <v>-139.28571428571558</v>
      </c>
      <c r="AF58" s="337">
        <f t="shared" si="9"/>
        <v>0.95357142857142818</v>
      </c>
      <c r="AG58" s="637"/>
    </row>
    <row r="59" spans="1:33">
      <c r="A59" s="640" t="s">
        <v>1759</v>
      </c>
      <c r="B59" s="42" t="s">
        <v>1753</v>
      </c>
      <c r="C59" s="638"/>
      <c r="D59" s="638"/>
      <c r="E59" s="339"/>
      <c r="F59" s="44"/>
      <c r="G59" s="17"/>
      <c r="H59" s="351"/>
      <c r="I59" s="29">
        <v>10.25</v>
      </c>
      <c r="J59" s="39">
        <v>3000</v>
      </c>
      <c r="K59" s="17">
        <f t="shared" si="1"/>
        <v>292.6829268292683</v>
      </c>
      <c r="L59" s="29">
        <v>10.25</v>
      </c>
      <c r="M59" s="18">
        <f>AVERAGE(M55:M58)</f>
        <v>2874.1172506738531</v>
      </c>
      <c r="N59" s="17">
        <f t="shared" si="3"/>
        <v>280.40168299257101</v>
      </c>
      <c r="O59" s="19">
        <f t="shared" si="4"/>
        <v>0</v>
      </c>
      <c r="P59" s="20">
        <f t="shared" si="5"/>
        <v>-12.281243836697286</v>
      </c>
      <c r="Q59" s="337">
        <f t="shared" si="6"/>
        <v>0.95803908355795098</v>
      </c>
      <c r="R59" s="637"/>
      <c r="S59" s="40"/>
      <c r="T59" s="40"/>
      <c r="U59" s="17"/>
      <c r="V59" s="349"/>
      <c r="W59" s="17"/>
      <c r="X59" s="17"/>
      <c r="Y59" s="30">
        <f>SUM(Y55:Y58)</f>
        <v>0</v>
      </c>
      <c r="Z59" s="30">
        <f>SUM(Z55:Z58)</f>
        <v>0</v>
      </c>
      <c r="AA59" s="631"/>
      <c r="AB59" s="631"/>
      <c r="AC59" s="30">
        <v>4</v>
      </c>
      <c r="AD59" s="30">
        <f>SUM(AD55:AD58)</f>
        <v>0</v>
      </c>
      <c r="AE59" s="19">
        <f t="shared" si="43"/>
        <v>-125.88274932614695</v>
      </c>
      <c r="AF59" s="337">
        <f t="shared" si="9"/>
        <v>0.95803908355795098</v>
      </c>
      <c r="AG59" s="637"/>
    </row>
    <row r="60" spans="1:33" ht="15.75" customHeight="1">
      <c r="A60" s="634" t="s">
        <v>1760</v>
      </c>
      <c r="B60" s="351" t="s">
        <v>116</v>
      </c>
      <c r="C60" s="633" t="s">
        <v>145</v>
      </c>
      <c r="D60" s="633"/>
      <c r="E60" s="42">
        <v>19.02</v>
      </c>
      <c r="F60" s="351">
        <v>6200</v>
      </c>
      <c r="G60" s="338">
        <f t="shared" ref="G60:G67" si="45">E60*F60</f>
        <v>117924</v>
      </c>
      <c r="H60" s="37">
        <v>2</v>
      </c>
      <c r="I60" s="348">
        <v>14</v>
      </c>
      <c r="J60" s="39">
        <v>2400</v>
      </c>
      <c r="K60" s="17">
        <f t="shared" si="1"/>
        <v>171.42857142857142</v>
      </c>
      <c r="L60" s="348">
        <v>14</v>
      </c>
      <c r="M60" s="18">
        <f t="shared" ref="M60:M67" si="46">F60/V60*60</f>
        <v>2296.2962962962965</v>
      </c>
      <c r="N60" s="17">
        <f t="shared" si="3"/>
        <v>164.02116402116403</v>
      </c>
      <c r="O60" s="19">
        <f t="shared" si="4"/>
        <v>0</v>
      </c>
      <c r="P60" s="20">
        <f t="shared" si="5"/>
        <v>-7.4074074074073906</v>
      </c>
      <c r="Q60" s="337">
        <f t="shared" si="6"/>
        <v>0.95679012345679026</v>
      </c>
      <c r="R60" s="637">
        <f>Q68</f>
        <v>0.96080531111067213</v>
      </c>
      <c r="S60" s="40">
        <v>8.3333333333333329E-2</v>
      </c>
      <c r="T60" s="40">
        <v>0.19583333333333333</v>
      </c>
      <c r="U60" s="28"/>
      <c r="V60" s="349">
        <f t="shared" ref="V60:V67" si="47">(T60-S60)*24*60</f>
        <v>162</v>
      </c>
      <c r="W60" s="23">
        <f>T60</f>
        <v>0.19583333333333333</v>
      </c>
      <c r="X60" s="23">
        <f>S61</f>
        <v>0.21527777777777779</v>
      </c>
      <c r="Y60" s="23"/>
      <c r="Z60" s="23"/>
      <c r="AA60" s="632"/>
      <c r="AB60" s="632"/>
      <c r="AC60" s="25">
        <v>8</v>
      </c>
      <c r="AD60" s="25"/>
      <c r="AE60" s="19">
        <f t="shared" si="43"/>
        <v>-103.70370370370347</v>
      </c>
      <c r="AF60" s="337">
        <f t="shared" si="9"/>
        <v>0.95679012345679026</v>
      </c>
      <c r="AG60" s="637">
        <f>AF68</f>
        <v>0.96080531111067213</v>
      </c>
    </row>
    <row r="61" spans="1:33" ht="15.75" customHeight="1">
      <c r="A61" s="635" t="s">
        <v>1760</v>
      </c>
      <c r="B61" s="351" t="s">
        <v>116</v>
      </c>
      <c r="C61" s="633" t="s">
        <v>146</v>
      </c>
      <c r="D61" s="633"/>
      <c r="E61" s="42">
        <v>20.36</v>
      </c>
      <c r="F61" s="351">
        <v>2500</v>
      </c>
      <c r="G61" s="338">
        <f t="shared" si="45"/>
        <v>50900</v>
      </c>
      <c r="H61" s="37">
        <v>2</v>
      </c>
      <c r="I61" s="348">
        <v>17</v>
      </c>
      <c r="J61" s="39">
        <v>2400</v>
      </c>
      <c r="K61" s="17">
        <f t="shared" si="1"/>
        <v>141.1764705882353</v>
      </c>
      <c r="L61" s="348">
        <v>17</v>
      </c>
      <c r="M61" s="18">
        <f t="shared" si="46"/>
        <v>2307.6923076923072</v>
      </c>
      <c r="N61" s="17">
        <f t="shared" si="3"/>
        <v>135.7466063348416</v>
      </c>
      <c r="O61" s="19">
        <f t="shared" si="4"/>
        <v>0</v>
      </c>
      <c r="P61" s="20">
        <f t="shared" si="5"/>
        <v>-5.4298642533937027</v>
      </c>
      <c r="Q61" s="337">
        <f t="shared" si="6"/>
        <v>0.96153846153846123</v>
      </c>
      <c r="R61" s="637"/>
      <c r="S61" s="40">
        <v>0.21527777777777779</v>
      </c>
      <c r="T61" s="40">
        <v>0.26041666666666669</v>
      </c>
      <c r="U61" s="338">
        <f t="shared" ref="U61:U67" si="48">(S61-T60)*24*60</f>
        <v>28.000000000000021</v>
      </c>
      <c r="V61" s="349">
        <f t="shared" si="47"/>
        <v>65.000000000000014</v>
      </c>
      <c r="W61" s="23"/>
      <c r="X61" s="23"/>
      <c r="Y61" s="23"/>
      <c r="Z61" s="23"/>
      <c r="AA61" s="632"/>
      <c r="AB61" s="632"/>
      <c r="AC61" s="25"/>
      <c r="AD61" s="25"/>
      <c r="AE61" s="19">
        <f t="shared" si="43"/>
        <v>-92.307692307692832</v>
      </c>
      <c r="AF61" s="337">
        <f t="shared" si="9"/>
        <v>0.96153846153846134</v>
      </c>
      <c r="AG61" s="637"/>
    </row>
    <row r="62" spans="1:33" ht="15.75" customHeight="1">
      <c r="A62" s="635" t="s">
        <v>1760</v>
      </c>
      <c r="B62" s="351" t="s">
        <v>116</v>
      </c>
      <c r="C62" s="633" t="s">
        <v>120</v>
      </c>
      <c r="D62" s="633"/>
      <c r="E62" s="42">
        <v>25.99</v>
      </c>
      <c r="F62" s="351">
        <v>1327</v>
      </c>
      <c r="G62" s="338">
        <f t="shared" si="45"/>
        <v>34488.729999999996</v>
      </c>
      <c r="H62" s="37" t="s">
        <v>91</v>
      </c>
      <c r="I62" s="348">
        <v>18</v>
      </c>
      <c r="J62" s="39">
        <v>2400</v>
      </c>
      <c r="K62" s="17">
        <f t="shared" si="1"/>
        <v>133.33333333333334</v>
      </c>
      <c r="L62" s="348">
        <v>18</v>
      </c>
      <c r="M62" s="18">
        <f t="shared" si="46"/>
        <v>2341.7647058823559</v>
      </c>
      <c r="N62" s="17">
        <f t="shared" si="3"/>
        <v>130.09803921568644</v>
      </c>
      <c r="O62" s="19">
        <f t="shared" si="4"/>
        <v>0</v>
      </c>
      <c r="P62" s="20">
        <f t="shared" si="5"/>
        <v>-3.2352941176469017</v>
      </c>
      <c r="Q62" s="337">
        <f t="shared" si="6"/>
        <v>0.97573529411764826</v>
      </c>
      <c r="R62" s="637"/>
      <c r="S62" s="40">
        <v>0.26527777777777778</v>
      </c>
      <c r="T62" s="40">
        <v>0.28888888888888886</v>
      </c>
      <c r="U62" s="338">
        <f t="shared" si="48"/>
        <v>6.9999999999999751</v>
      </c>
      <c r="V62" s="349">
        <f t="shared" si="47"/>
        <v>33.999999999999957</v>
      </c>
      <c r="W62" s="23"/>
      <c r="X62" s="23"/>
      <c r="Y62" s="23"/>
      <c r="Z62" s="23"/>
      <c r="AA62" s="632"/>
      <c r="AB62" s="632"/>
      <c r="AC62" s="25"/>
      <c r="AD62" s="25"/>
      <c r="AE62" s="19">
        <f t="shared" si="43"/>
        <v>-58.235294117644116</v>
      </c>
      <c r="AF62" s="337">
        <f t="shared" si="9"/>
        <v>0.97573529411764826</v>
      </c>
      <c r="AG62" s="637"/>
    </row>
    <row r="63" spans="1:33" ht="15.75" customHeight="1">
      <c r="A63" s="635" t="s">
        <v>1760</v>
      </c>
      <c r="B63" s="351" t="s">
        <v>116</v>
      </c>
      <c r="C63" s="633" t="s">
        <v>148</v>
      </c>
      <c r="D63" s="633"/>
      <c r="E63" s="42">
        <v>28.29</v>
      </c>
      <c r="F63" s="351">
        <v>4053</v>
      </c>
      <c r="G63" s="338">
        <f t="shared" si="45"/>
        <v>114659.37</v>
      </c>
      <c r="H63" s="37" t="s">
        <v>91</v>
      </c>
      <c r="I63" s="348">
        <v>19</v>
      </c>
      <c r="J63" s="39">
        <v>2400</v>
      </c>
      <c r="K63" s="17">
        <f t="shared" si="1"/>
        <v>126.31578947368421</v>
      </c>
      <c r="L63" s="348">
        <v>19</v>
      </c>
      <c r="M63" s="18">
        <f t="shared" si="46"/>
        <v>2294.1509433962256</v>
      </c>
      <c r="N63" s="17">
        <f t="shared" si="3"/>
        <v>120.74478649453819</v>
      </c>
      <c r="O63" s="19">
        <f t="shared" si="4"/>
        <v>0</v>
      </c>
      <c r="P63" s="20">
        <f t="shared" si="5"/>
        <v>-5.5710029791460158</v>
      </c>
      <c r="Q63" s="337">
        <f t="shared" si="6"/>
        <v>0.95589622641509409</v>
      </c>
      <c r="R63" s="637"/>
      <c r="S63" s="40">
        <v>0.2944444444444444</v>
      </c>
      <c r="T63" s="40">
        <v>0.36805555555555552</v>
      </c>
      <c r="U63" s="338">
        <f t="shared" si="48"/>
        <v>7.9999999999999716</v>
      </c>
      <c r="V63" s="349">
        <f t="shared" si="47"/>
        <v>106.00000000000003</v>
      </c>
      <c r="W63" s="23"/>
      <c r="X63" s="23"/>
      <c r="Y63" s="23"/>
      <c r="Z63" s="23"/>
      <c r="AA63" s="632"/>
      <c r="AB63" s="632"/>
      <c r="AC63" s="25"/>
      <c r="AD63" s="25"/>
      <c r="AE63" s="19">
        <f t="shared" si="43"/>
        <v>-105.84905660377444</v>
      </c>
      <c r="AF63" s="337">
        <f t="shared" si="9"/>
        <v>0.95589622641509397</v>
      </c>
      <c r="AG63" s="637"/>
    </row>
    <row r="64" spans="1:33" ht="15.75" customHeight="1">
      <c r="A64" s="635" t="s">
        <v>1760</v>
      </c>
      <c r="B64" s="351" t="s">
        <v>116</v>
      </c>
      <c r="C64" s="633" t="s">
        <v>149</v>
      </c>
      <c r="D64" s="633"/>
      <c r="E64" s="42">
        <v>24.25</v>
      </c>
      <c r="F64" s="351">
        <v>3684</v>
      </c>
      <c r="G64" s="338">
        <f t="shared" si="45"/>
        <v>89337</v>
      </c>
      <c r="H64" s="37" t="s">
        <v>91</v>
      </c>
      <c r="I64" s="348">
        <v>16</v>
      </c>
      <c r="J64" s="39">
        <v>2400</v>
      </c>
      <c r="K64" s="17">
        <f t="shared" si="1"/>
        <v>150</v>
      </c>
      <c r="L64" s="348">
        <v>16</v>
      </c>
      <c r="M64" s="18">
        <f t="shared" si="46"/>
        <v>2302.5000000000009</v>
      </c>
      <c r="N64" s="17">
        <f t="shared" si="3"/>
        <v>143.90625000000006</v>
      </c>
      <c r="O64" s="19">
        <f t="shared" si="4"/>
        <v>0</v>
      </c>
      <c r="P64" s="20">
        <f t="shared" si="5"/>
        <v>-6.0937499999999432</v>
      </c>
      <c r="Q64" s="337">
        <f t="shared" si="6"/>
        <v>0.95937500000000042</v>
      </c>
      <c r="R64" s="637"/>
      <c r="S64" s="40">
        <v>0.37222222222222218</v>
      </c>
      <c r="T64" s="40">
        <v>0.43888888888888883</v>
      </c>
      <c r="U64" s="338">
        <f t="shared" si="48"/>
        <v>5.9999999999999787</v>
      </c>
      <c r="V64" s="349">
        <f t="shared" si="47"/>
        <v>95.999999999999972</v>
      </c>
      <c r="W64" s="23"/>
      <c r="X64" s="23"/>
      <c r="Y64" s="23"/>
      <c r="Z64" s="23"/>
      <c r="AA64" s="632"/>
      <c r="AB64" s="632"/>
      <c r="AC64" s="25"/>
      <c r="AD64" s="25"/>
      <c r="AE64" s="19">
        <f t="shared" si="43"/>
        <v>-97.499999999999091</v>
      </c>
      <c r="AF64" s="337">
        <f t="shared" si="9"/>
        <v>0.95937500000000042</v>
      </c>
      <c r="AG64" s="637"/>
    </row>
    <row r="65" spans="1:33" ht="15.75" customHeight="1">
      <c r="A65" s="635" t="s">
        <v>1760</v>
      </c>
      <c r="B65" s="351" t="s">
        <v>116</v>
      </c>
      <c r="C65" s="633" t="s">
        <v>150</v>
      </c>
      <c r="D65" s="633"/>
      <c r="E65" s="42">
        <v>23.89</v>
      </c>
      <c r="F65" s="351">
        <v>2931</v>
      </c>
      <c r="G65" s="338">
        <f t="shared" si="45"/>
        <v>70021.59</v>
      </c>
      <c r="H65" s="37" t="s">
        <v>91</v>
      </c>
      <c r="I65" s="348">
        <v>13</v>
      </c>
      <c r="J65" s="39">
        <v>2400</v>
      </c>
      <c r="K65" s="17">
        <f t="shared" si="1"/>
        <v>184.61538461538461</v>
      </c>
      <c r="L65" s="348">
        <v>13</v>
      </c>
      <c r="M65" s="18">
        <f t="shared" si="46"/>
        <v>2283.8961038961047</v>
      </c>
      <c r="N65" s="17">
        <f t="shared" si="3"/>
        <v>175.68431568431575</v>
      </c>
      <c r="O65" s="19">
        <f t="shared" si="4"/>
        <v>0</v>
      </c>
      <c r="P65" s="20">
        <f t="shared" si="5"/>
        <v>-8.9310689310688645</v>
      </c>
      <c r="Q65" s="337">
        <f t="shared" si="6"/>
        <v>0.95162337662337704</v>
      </c>
      <c r="R65" s="637"/>
      <c r="S65" s="40">
        <v>0.44305555555555548</v>
      </c>
      <c r="T65" s="40">
        <v>0.49652777777777768</v>
      </c>
      <c r="U65" s="338">
        <f t="shared" si="48"/>
        <v>5.9999999999999787</v>
      </c>
      <c r="V65" s="349">
        <f t="shared" si="47"/>
        <v>76.999999999999972</v>
      </c>
      <c r="W65" s="23">
        <f>T65</f>
        <v>0.49652777777777768</v>
      </c>
      <c r="X65" s="23">
        <f>S66</f>
        <v>0.53541666666666654</v>
      </c>
      <c r="Y65" s="23"/>
      <c r="Z65" s="23"/>
      <c r="AA65" s="632"/>
      <c r="AB65" s="632"/>
      <c r="AC65" s="25"/>
      <c r="AD65" s="25"/>
      <c r="AE65" s="19">
        <f t="shared" si="43"/>
        <v>-116.10389610389529</v>
      </c>
      <c r="AF65" s="337">
        <f t="shared" si="9"/>
        <v>0.95162337662337693</v>
      </c>
      <c r="AG65" s="637"/>
    </row>
    <row r="66" spans="1:33" ht="15.75" customHeight="1">
      <c r="A66" s="635" t="s">
        <v>1760</v>
      </c>
      <c r="B66" s="351" t="s">
        <v>116</v>
      </c>
      <c r="C66" s="625" t="s">
        <v>146</v>
      </c>
      <c r="D66" s="626"/>
      <c r="E66" s="42">
        <v>20.36</v>
      </c>
      <c r="F66" s="351">
        <v>2087</v>
      </c>
      <c r="G66" s="338">
        <f t="shared" si="45"/>
        <v>42491.32</v>
      </c>
      <c r="H66" s="37" t="s">
        <v>91</v>
      </c>
      <c r="I66" s="348">
        <v>17</v>
      </c>
      <c r="J66" s="39">
        <v>2400</v>
      </c>
      <c r="K66" s="17">
        <f t="shared" si="1"/>
        <v>141.1764705882353</v>
      </c>
      <c r="L66" s="348">
        <v>17</v>
      </c>
      <c r="M66" s="18">
        <f t="shared" si="46"/>
        <v>2318.8888888888901</v>
      </c>
      <c r="N66" s="17">
        <f t="shared" si="3"/>
        <v>136.40522875817001</v>
      </c>
      <c r="O66" s="19">
        <f t="shared" si="4"/>
        <v>0</v>
      </c>
      <c r="P66" s="20">
        <f t="shared" si="5"/>
        <v>-4.7712418300652928</v>
      </c>
      <c r="Q66" s="337">
        <f t="shared" si="6"/>
        <v>0.96620370370370423</v>
      </c>
      <c r="R66" s="637"/>
      <c r="S66" s="40">
        <v>0.53541666666666654</v>
      </c>
      <c r="T66" s="40">
        <v>0.57291666666666652</v>
      </c>
      <c r="U66" s="338">
        <f t="shared" si="48"/>
        <v>55.999999999999957</v>
      </c>
      <c r="V66" s="349">
        <f t="shared" si="47"/>
        <v>53.999999999999972</v>
      </c>
      <c r="W66" s="23"/>
      <c r="X66" s="23"/>
      <c r="Y66" s="26"/>
      <c r="Z66" s="26"/>
      <c r="AA66" s="627"/>
      <c r="AB66" s="628"/>
      <c r="AC66" s="25"/>
      <c r="AD66" s="25"/>
      <c r="AE66" s="19">
        <f t="shared" si="43"/>
        <v>-81.111111111109949</v>
      </c>
      <c r="AF66" s="337">
        <f t="shared" si="9"/>
        <v>0.96620370370370423</v>
      </c>
      <c r="AG66" s="637"/>
    </row>
    <row r="67" spans="1:33" ht="15.75" customHeight="1">
      <c r="A67" s="635" t="s">
        <v>1760</v>
      </c>
      <c r="B67" s="351" t="s">
        <v>116</v>
      </c>
      <c r="C67" s="625" t="s">
        <v>145</v>
      </c>
      <c r="D67" s="626"/>
      <c r="E67" s="42">
        <v>19.02</v>
      </c>
      <c r="F67" s="351">
        <v>5065</v>
      </c>
      <c r="G67" s="338">
        <f t="shared" si="45"/>
        <v>96336.3</v>
      </c>
      <c r="H67" s="37" t="s">
        <v>91</v>
      </c>
      <c r="I67" s="348">
        <v>14</v>
      </c>
      <c r="J67" s="39">
        <v>2400</v>
      </c>
      <c r="K67" s="17">
        <f t="shared" si="1"/>
        <v>171.42857142857142</v>
      </c>
      <c r="L67" s="348">
        <v>14</v>
      </c>
      <c r="M67" s="18">
        <f t="shared" si="46"/>
        <v>2302.2727272727275</v>
      </c>
      <c r="N67" s="17">
        <f t="shared" si="3"/>
        <v>164.44805194805195</v>
      </c>
      <c r="O67" s="19">
        <f t="shared" si="4"/>
        <v>0</v>
      </c>
      <c r="P67" s="20">
        <f t="shared" si="5"/>
        <v>-6.9805194805194617</v>
      </c>
      <c r="Q67" s="337">
        <f t="shared" si="6"/>
        <v>0.95928030303030309</v>
      </c>
      <c r="R67" s="637"/>
      <c r="S67" s="40">
        <v>0.57708333333333317</v>
      </c>
      <c r="T67" s="40">
        <v>0.66874999999999984</v>
      </c>
      <c r="U67" s="338">
        <f t="shared" si="48"/>
        <v>5.9999999999999787</v>
      </c>
      <c r="V67" s="349">
        <f t="shared" si="47"/>
        <v>132</v>
      </c>
      <c r="W67" s="23"/>
      <c r="X67" s="23"/>
      <c r="Y67" s="26"/>
      <c r="Z67" s="26"/>
      <c r="AA67" s="627"/>
      <c r="AB67" s="628"/>
      <c r="AC67" s="25"/>
      <c r="AD67" s="25"/>
      <c r="AE67" s="19">
        <f t="shared" si="43"/>
        <v>-97.727272727272521</v>
      </c>
      <c r="AF67" s="337">
        <f t="shared" si="9"/>
        <v>0.95928030303030309</v>
      </c>
      <c r="AG67" s="637"/>
    </row>
    <row r="68" spans="1:33" ht="16.5" customHeight="1">
      <c r="A68" s="636" t="s">
        <v>1760</v>
      </c>
      <c r="B68" s="42" t="s">
        <v>1753</v>
      </c>
      <c r="C68" s="629"/>
      <c r="D68" s="630"/>
      <c r="E68" s="339"/>
      <c r="F68" s="44"/>
      <c r="G68" s="17"/>
      <c r="H68" s="351"/>
      <c r="I68" s="29">
        <v>16</v>
      </c>
      <c r="J68" s="39">
        <v>2400</v>
      </c>
      <c r="K68" s="17">
        <f t="shared" si="1"/>
        <v>150</v>
      </c>
      <c r="L68" s="29">
        <v>16</v>
      </c>
      <c r="M68" s="18">
        <f>AVERAGE(M60:M67)</f>
        <v>2305.9327466656132</v>
      </c>
      <c r="N68" s="17">
        <f t="shared" si="3"/>
        <v>144.12079666660082</v>
      </c>
      <c r="O68" s="19">
        <f t="shared" si="4"/>
        <v>0</v>
      </c>
      <c r="P68" s="20">
        <f t="shared" si="5"/>
        <v>-5.8792033333991753</v>
      </c>
      <c r="Q68" s="337">
        <f t="shared" si="6"/>
        <v>0.96080531111067213</v>
      </c>
      <c r="R68" s="637"/>
      <c r="S68" s="40"/>
      <c r="T68" s="40"/>
      <c r="U68" s="17"/>
      <c r="V68" s="349"/>
      <c r="W68" s="17"/>
      <c r="X68" s="17"/>
      <c r="Y68" s="30">
        <f>SUM(Y60:Y67)</f>
        <v>0</v>
      </c>
      <c r="Z68" s="30">
        <f>SUM(Z60:Z67)</f>
        <v>0</v>
      </c>
      <c r="AA68" s="631"/>
      <c r="AB68" s="631"/>
      <c r="AC68" s="30">
        <v>8</v>
      </c>
      <c r="AD68" s="30">
        <f>SUM(AD60:AD67)</f>
        <v>0</v>
      </c>
      <c r="AE68" s="19">
        <f t="shared" si="43"/>
        <v>-94.067253334386805</v>
      </c>
      <c r="AF68" s="337">
        <f t="shared" si="9"/>
        <v>0.96080531111067213</v>
      </c>
      <c r="AG68" s="637"/>
    </row>
    <row r="69" spans="1:33">
      <c r="D69" s="33"/>
      <c r="E69" s="33"/>
    </row>
  </sheetData>
  <mergeCells count="185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10:A12"/>
    <mergeCell ref="C10:D10"/>
    <mergeCell ref="R10:R12"/>
    <mergeCell ref="AA10:AB10"/>
    <mergeCell ref="AG10:AG12"/>
    <mergeCell ref="C11:D11"/>
    <mergeCell ref="AA11:AB11"/>
    <mergeCell ref="C12:D12"/>
    <mergeCell ref="AA12:AB12"/>
    <mergeCell ref="A13:A20"/>
    <mergeCell ref="C13:D13"/>
    <mergeCell ref="R13:R20"/>
    <mergeCell ref="AA13:AB13"/>
    <mergeCell ref="C27:D27"/>
    <mergeCell ref="AA27:AB27"/>
    <mergeCell ref="AG13:AG20"/>
    <mergeCell ref="C14:D14"/>
    <mergeCell ref="AA14:AB14"/>
    <mergeCell ref="C15:D15"/>
    <mergeCell ref="AA15:AB15"/>
    <mergeCell ref="C16:D16"/>
    <mergeCell ref="AA16:AB16"/>
    <mergeCell ref="C17:D17"/>
    <mergeCell ref="AA17:AB17"/>
    <mergeCell ref="C20:D20"/>
    <mergeCell ref="AA20:AB20"/>
    <mergeCell ref="A28:A33"/>
    <mergeCell ref="C28:D28"/>
    <mergeCell ref="R28:R33"/>
    <mergeCell ref="AA28:AB28"/>
    <mergeCell ref="AA33:AB33"/>
    <mergeCell ref="AG21:AG27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A21:A27"/>
    <mergeCell ref="C21:D21"/>
    <mergeCell ref="R21:R27"/>
    <mergeCell ref="AA21:AB21"/>
    <mergeCell ref="AA26:AB26"/>
    <mergeCell ref="AG34:AG41"/>
    <mergeCell ref="C35:D35"/>
    <mergeCell ref="AA35:AB35"/>
    <mergeCell ref="C36:D36"/>
    <mergeCell ref="AA36:AB36"/>
    <mergeCell ref="C37:D37"/>
    <mergeCell ref="AG28:AG33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C33:D33"/>
    <mergeCell ref="C41:D41"/>
    <mergeCell ref="AA41:AB41"/>
    <mergeCell ref="A42:A46"/>
    <mergeCell ref="C42:D42"/>
    <mergeCell ref="R42:R46"/>
    <mergeCell ref="AA42:AB42"/>
    <mergeCell ref="AA37:AB37"/>
    <mergeCell ref="C38:D38"/>
    <mergeCell ref="AA38:AB38"/>
    <mergeCell ref="C39:D39"/>
    <mergeCell ref="AA39:AB39"/>
    <mergeCell ref="C40:D40"/>
    <mergeCell ref="AA40:AB40"/>
    <mergeCell ref="A34:A41"/>
    <mergeCell ref="C34:D34"/>
    <mergeCell ref="R34:R41"/>
    <mergeCell ref="AA34:AB34"/>
    <mergeCell ref="AG42:AG46"/>
    <mergeCell ref="C43:D43"/>
    <mergeCell ref="AA43:AB43"/>
    <mergeCell ref="C44:D44"/>
    <mergeCell ref="AA44:AB44"/>
    <mergeCell ref="C45:D45"/>
    <mergeCell ref="AA45:AB45"/>
    <mergeCell ref="C46:D46"/>
    <mergeCell ref="AA46:AB46"/>
    <mergeCell ref="A47:A54"/>
    <mergeCell ref="C47:D47"/>
    <mergeCell ref="R47:R54"/>
    <mergeCell ref="AA47:AB47"/>
    <mergeCell ref="AG47:AG54"/>
    <mergeCell ref="C48:D48"/>
    <mergeCell ref="AA48:AB48"/>
    <mergeCell ref="C49:D49"/>
    <mergeCell ref="AA49:AB49"/>
    <mergeCell ref="AA50:AB50"/>
    <mergeCell ref="AG55:AG59"/>
    <mergeCell ref="C56:D56"/>
    <mergeCell ref="AA56:AB56"/>
    <mergeCell ref="C57:D57"/>
    <mergeCell ref="AA57:AB57"/>
    <mergeCell ref="C58:D58"/>
    <mergeCell ref="AA51:AB51"/>
    <mergeCell ref="C52:D52"/>
    <mergeCell ref="AA52:AB52"/>
    <mergeCell ref="C53:D53"/>
    <mergeCell ref="AA53:AB53"/>
    <mergeCell ref="C54:D54"/>
    <mergeCell ref="AA54:AB54"/>
    <mergeCell ref="AA58:AB58"/>
    <mergeCell ref="C59:D59"/>
    <mergeCell ref="AA59:AB59"/>
    <mergeCell ref="A60:A68"/>
    <mergeCell ref="C60:D60"/>
    <mergeCell ref="R60:R68"/>
    <mergeCell ref="AA60:AB60"/>
    <mergeCell ref="AA65:AB65"/>
    <mergeCell ref="C66:D66"/>
    <mergeCell ref="AA66:AB66"/>
    <mergeCell ref="A55:A59"/>
    <mergeCell ref="C55:D55"/>
    <mergeCell ref="R55:R59"/>
    <mergeCell ref="AA55:AB55"/>
    <mergeCell ref="C67:D67"/>
    <mergeCell ref="AA67:AB67"/>
    <mergeCell ref="C68:D68"/>
    <mergeCell ref="AA68:AB68"/>
    <mergeCell ref="AG60:AG68"/>
    <mergeCell ref="C61:D61"/>
    <mergeCell ref="AA61:AB61"/>
    <mergeCell ref="C62:D62"/>
    <mergeCell ref="AA62:AB62"/>
    <mergeCell ref="C63:D63"/>
    <mergeCell ref="AA63:AB63"/>
    <mergeCell ref="C64:D64"/>
    <mergeCell ref="AA64:AB64"/>
    <mergeCell ref="C65:D65"/>
  </mergeCells>
  <phoneticPr fontId="3" type="noConversion"/>
  <conditionalFormatting sqref="O58:O65 O54:O55 O68 O5:O10 O12:O14 O20:O52">
    <cfRule type="cellIs" dxfId="1297" priority="56" operator="greaterThan">
      <formula>0</formula>
    </cfRule>
  </conditionalFormatting>
  <conditionalFormatting sqref="P5:P8 P58 AE58 P60:P65 P28:P32 P55 P10 P12:P14 P21:P26 P47:P52 P34:P45 AE5:AE55 AE60:AE68">
    <cfRule type="cellIs" dxfId="1296" priority="60" operator="lessThan">
      <formula>0</formula>
    </cfRule>
  </conditionalFormatting>
  <conditionalFormatting sqref="AF58 Q58:Q65 Q54:Q55 Q68 Q5:Q10 Q12:Q14 Q20:Q52 AF5:AF55 AF60:AF68">
    <cfRule type="cellIs" dxfId="1295" priority="57" operator="greaterThan">
      <formula>1</formula>
    </cfRule>
    <cfRule type="cellIs" dxfId="1294" priority="58" operator="lessThan">
      <formula>0.8</formula>
    </cfRule>
  </conditionalFormatting>
  <conditionalFormatting sqref="AG13:AG14 R13:R14 AG58 R58:R65 AG54:AG55 R54:R55 R68 AG5:AG10 R5:R10 AG20:AG52 R20:R52">
    <cfRule type="cellIs" dxfId="1293" priority="62" operator="lessThan">
      <formula>0.8</formula>
    </cfRule>
  </conditionalFormatting>
  <conditionalFormatting sqref="AG42">
    <cfRule type="cellIs" dxfId="1292" priority="64" operator="lessThan">
      <formula>0.8</formula>
    </cfRule>
  </conditionalFormatting>
  <conditionalFormatting sqref="AG21:AG26">
    <cfRule type="cellIs" dxfId="1291" priority="61" operator="lessThan">
      <formula>0.8</formula>
    </cfRule>
  </conditionalFormatting>
  <conditionalFormatting sqref="AG28">
    <cfRule type="cellIs" dxfId="1290" priority="63" operator="lessThan">
      <formula>0.8</formula>
    </cfRule>
  </conditionalFormatting>
  <conditionalFormatting sqref="AG34:AG40">
    <cfRule type="cellIs" dxfId="1289" priority="59" operator="lessThan">
      <formula>0.8</formula>
    </cfRule>
  </conditionalFormatting>
  <conditionalFormatting sqref="AE59">
    <cfRule type="cellIs" dxfId="1288" priority="55" operator="lessThan">
      <formula>0</formula>
    </cfRule>
  </conditionalFormatting>
  <conditionalFormatting sqref="AF59">
    <cfRule type="cellIs" dxfId="1287" priority="53" operator="greaterThan">
      <formula>1</formula>
    </cfRule>
    <cfRule type="cellIs" dxfId="1286" priority="54" operator="lessThan">
      <formula>0.8</formula>
    </cfRule>
  </conditionalFormatting>
  <conditionalFormatting sqref="O15:O16">
    <cfRule type="cellIs" dxfId="1285" priority="48" operator="greaterThan">
      <formula>0</formula>
    </cfRule>
  </conditionalFormatting>
  <conditionalFormatting sqref="P15:P16">
    <cfRule type="cellIs" dxfId="1284" priority="51" operator="lessThan">
      <formula>0</formula>
    </cfRule>
  </conditionalFormatting>
  <conditionalFormatting sqref="Q15:Q16">
    <cfRule type="cellIs" dxfId="1283" priority="49" operator="greaterThan">
      <formula>1</formula>
    </cfRule>
    <cfRule type="cellIs" dxfId="1282" priority="50" operator="lessThan">
      <formula>0.8</formula>
    </cfRule>
  </conditionalFormatting>
  <conditionalFormatting sqref="R15:R16 AG15:AG16">
    <cfRule type="cellIs" dxfId="1281" priority="52" operator="lessThan">
      <formula>0.8</formula>
    </cfRule>
  </conditionalFormatting>
  <conditionalFormatting sqref="O11">
    <cfRule type="cellIs" dxfId="1280" priority="44" operator="greaterThan">
      <formula>0</formula>
    </cfRule>
  </conditionalFormatting>
  <conditionalFormatting sqref="P11">
    <cfRule type="cellIs" dxfId="1279" priority="47" operator="lessThan">
      <formula>0</formula>
    </cfRule>
  </conditionalFormatting>
  <conditionalFormatting sqref="Q11">
    <cfRule type="cellIs" dxfId="1278" priority="45" operator="greaterThan">
      <formula>1</formula>
    </cfRule>
    <cfRule type="cellIs" dxfId="1277" priority="46" operator="lessThan">
      <formula>0.8</formula>
    </cfRule>
  </conditionalFormatting>
  <conditionalFormatting sqref="O53">
    <cfRule type="cellIs" dxfId="1276" priority="39" operator="greaterThan">
      <formula>0</formula>
    </cfRule>
  </conditionalFormatting>
  <conditionalFormatting sqref="P53">
    <cfRule type="cellIs" dxfId="1275" priority="42" operator="lessThan">
      <formula>0</formula>
    </cfRule>
  </conditionalFormatting>
  <conditionalFormatting sqref="Q53">
    <cfRule type="cellIs" dxfId="1274" priority="40" operator="greaterThan">
      <formula>1</formula>
    </cfRule>
    <cfRule type="cellIs" dxfId="1273" priority="41" operator="lessThan">
      <formula>0.8</formula>
    </cfRule>
  </conditionalFormatting>
  <conditionalFormatting sqref="R53 AG53">
    <cfRule type="cellIs" dxfId="1272" priority="43" operator="lessThan">
      <formula>0.8</formula>
    </cfRule>
  </conditionalFormatting>
  <conditionalFormatting sqref="O57">
    <cfRule type="cellIs" dxfId="1271" priority="34" operator="greaterThan">
      <formula>0</formula>
    </cfRule>
  </conditionalFormatting>
  <conditionalFormatting sqref="P57 AE57">
    <cfRule type="cellIs" dxfId="1270" priority="37" operator="lessThan">
      <formula>0</formula>
    </cfRule>
  </conditionalFormatting>
  <conditionalFormatting sqref="Q57 AF57">
    <cfRule type="cellIs" dxfId="1269" priority="35" operator="greaterThan">
      <formula>1</formula>
    </cfRule>
    <cfRule type="cellIs" dxfId="1268" priority="36" operator="lessThan">
      <formula>0.8</formula>
    </cfRule>
  </conditionalFormatting>
  <conditionalFormatting sqref="R57 AG57">
    <cfRule type="cellIs" dxfId="1267" priority="38" operator="lessThan">
      <formula>0.8</formula>
    </cfRule>
  </conditionalFormatting>
  <conditionalFormatting sqref="O66">
    <cfRule type="cellIs" dxfId="1266" priority="29" operator="greaterThan">
      <formula>0</formula>
    </cfRule>
  </conditionalFormatting>
  <conditionalFormatting sqref="P66">
    <cfRule type="cellIs" dxfId="1265" priority="32" operator="lessThan">
      <formula>0</formula>
    </cfRule>
  </conditionalFormatting>
  <conditionalFormatting sqref="Q66">
    <cfRule type="cellIs" dxfId="1264" priority="30" operator="greaterThan">
      <formula>1</formula>
    </cfRule>
    <cfRule type="cellIs" dxfId="1263" priority="31" operator="lessThan">
      <formula>0.8</formula>
    </cfRule>
  </conditionalFormatting>
  <conditionalFormatting sqref="R66">
    <cfRule type="cellIs" dxfId="1262" priority="33" operator="lessThan">
      <formula>0.8</formula>
    </cfRule>
  </conditionalFormatting>
  <conditionalFormatting sqref="O17:O18">
    <cfRule type="cellIs" dxfId="1261" priority="24" operator="greaterThan">
      <formula>0</formula>
    </cfRule>
  </conditionalFormatting>
  <conditionalFormatting sqref="P17:P18">
    <cfRule type="cellIs" dxfId="1260" priority="27" operator="lessThan">
      <formula>0</formula>
    </cfRule>
  </conditionalFormatting>
  <conditionalFormatting sqref="Q17:Q18">
    <cfRule type="cellIs" dxfId="1259" priority="25" operator="greaterThan">
      <formula>1</formula>
    </cfRule>
    <cfRule type="cellIs" dxfId="1258" priority="26" operator="lessThan">
      <formula>0.8</formula>
    </cfRule>
  </conditionalFormatting>
  <conditionalFormatting sqref="R17:R18 AG17:AG18">
    <cfRule type="cellIs" dxfId="1257" priority="28" operator="lessThan">
      <formula>0.8</formula>
    </cfRule>
  </conditionalFormatting>
  <conditionalFormatting sqref="O56">
    <cfRule type="cellIs" dxfId="1256" priority="19" operator="greaterThan">
      <formula>0</formula>
    </cfRule>
  </conditionalFormatting>
  <conditionalFormatting sqref="P56 AE56">
    <cfRule type="cellIs" dxfId="1255" priority="22" operator="lessThan">
      <formula>0</formula>
    </cfRule>
  </conditionalFormatting>
  <conditionalFormatting sqref="Q56 AF56">
    <cfRule type="cellIs" dxfId="1254" priority="20" operator="greaterThan">
      <formula>1</formula>
    </cfRule>
    <cfRule type="cellIs" dxfId="1253" priority="21" operator="lessThan">
      <formula>0.8</formula>
    </cfRule>
  </conditionalFormatting>
  <conditionalFormatting sqref="R56 AG56">
    <cfRule type="cellIs" dxfId="1252" priority="23" operator="lessThan">
      <formula>0.8</formula>
    </cfRule>
  </conditionalFormatting>
  <conditionalFormatting sqref="O19">
    <cfRule type="cellIs" dxfId="1251" priority="14" operator="greaterThan">
      <formula>0</formula>
    </cfRule>
  </conditionalFormatting>
  <conditionalFormatting sqref="P19">
    <cfRule type="cellIs" dxfId="1250" priority="17" operator="lessThan">
      <formula>0</formula>
    </cfRule>
  </conditionalFormatting>
  <conditionalFormatting sqref="Q19">
    <cfRule type="cellIs" dxfId="1249" priority="15" operator="greaterThan">
      <formula>1</formula>
    </cfRule>
    <cfRule type="cellIs" dxfId="1248" priority="16" operator="lessThan">
      <formula>0.8</formula>
    </cfRule>
  </conditionalFormatting>
  <conditionalFormatting sqref="AG19 R19">
    <cfRule type="cellIs" dxfId="1247" priority="18" operator="lessThan">
      <formula>0.8</formula>
    </cfRule>
  </conditionalFormatting>
  <conditionalFormatting sqref="P9">
    <cfRule type="cellIs" dxfId="1246" priority="13" operator="lessThan">
      <formula>0</formula>
    </cfRule>
  </conditionalFormatting>
  <conditionalFormatting sqref="P20">
    <cfRule type="cellIs" dxfId="1245" priority="12" operator="lessThan">
      <formula>0</formula>
    </cfRule>
  </conditionalFormatting>
  <conditionalFormatting sqref="P27">
    <cfRule type="cellIs" dxfId="1244" priority="11" operator="lessThan">
      <formula>0</formula>
    </cfRule>
  </conditionalFormatting>
  <conditionalFormatting sqref="P33">
    <cfRule type="cellIs" dxfId="1243" priority="10" operator="lessThan">
      <formula>0</formula>
    </cfRule>
  </conditionalFormatting>
  <conditionalFormatting sqref="P46">
    <cfRule type="cellIs" dxfId="1242" priority="9" operator="lessThan">
      <formula>0</formula>
    </cfRule>
  </conditionalFormatting>
  <conditionalFormatting sqref="P54">
    <cfRule type="cellIs" dxfId="1241" priority="8" operator="lessThan">
      <formula>0</formula>
    </cfRule>
  </conditionalFormatting>
  <conditionalFormatting sqref="P59">
    <cfRule type="cellIs" dxfId="1240" priority="7" operator="lessThan">
      <formula>0</formula>
    </cfRule>
  </conditionalFormatting>
  <conditionalFormatting sqref="P68">
    <cfRule type="cellIs" dxfId="1239" priority="6" operator="lessThan">
      <formula>0</formula>
    </cfRule>
  </conditionalFormatting>
  <conditionalFormatting sqref="O67">
    <cfRule type="cellIs" dxfId="1238" priority="1" operator="greaterThan">
      <formula>0</formula>
    </cfRule>
  </conditionalFormatting>
  <conditionalFormatting sqref="P67">
    <cfRule type="cellIs" dxfId="1237" priority="4" operator="lessThan">
      <formula>0</formula>
    </cfRule>
  </conditionalFormatting>
  <conditionalFormatting sqref="Q67">
    <cfRule type="cellIs" dxfId="1236" priority="2" operator="greaterThan">
      <formula>1</formula>
    </cfRule>
    <cfRule type="cellIs" dxfId="1235" priority="3" operator="lessThan">
      <formula>0.8</formula>
    </cfRule>
  </conditionalFormatting>
  <conditionalFormatting sqref="R67">
    <cfRule type="cellIs" dxfId="1234" priority="5" operator="lessThan">
      <formula>0.8</formula>
    </cfRule>
  </conditionalFormatting>
  <dataValidations count="1">
    <dataValidation type="list" allowBlank="1" showInputMessage="1" showErrorMessage="1" sqref="AB9 AA5:AB8 AA9:AA58 AB11:AB55 AA59:AB68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E6" sqref="E6:F6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612" t="s">
        <v>1569</v>
      </c>
      <c r="C1" s="612"/>
      <c r="D1" s="612"/>
      <c r="E1" s="612"/>
      <c r="F1" s="612"/>
      <c r="G1" s="612"/>
      <c r="H1" s="612"/>
      <c r="I1" s="612"/>
      <c r="J1" s="612"/>
      <c r="K1" s="51"/>
      <c r="L1" s="51"/>
      <c r="M1" s="51"/>
      <c r="N1" s="51"/>
      <c r="O1" s="51"/>
      <c r="P1" s="51"/>
    </row>
    <row r="2" spans="2:17" ht="27.75" customHeight="1">
      <c r="B2" s="613"/>
      <c r="C2" s="613"/>
      <c r="D2" s="613"/>
      <c r="E2" s="613"/>
      <c r="F2" s="613"/>
      <c r="G2" s="613"/>
      <c r="H2" s="613"/>
      <c r="I2" s="613"/>
      <c r="J2" s="613"/>
      <c r="K2" s="53"/>
      <c r="L2" s="53"/>
      <c r="M2" s="53"/>
      <c r="N2" s="51"/>
      <c r="O2" s="51"/>
      <c r="P2" s="51"/>
    </row>
    <row r="3" spans="2:17" ht="46.5" customHeight="1">
      <c r="B3" s="54" t="s">
        <v>1570</v>
      </c>
      <c r="C3" s="614" t="str">
        <f>TEXT('0816 4度C'!A2,"yyyy.mm.ddaaaa")</f>
        <v>2026.08.16星期日</v>
      </c>
      <c r="D3" s="615"/>
      <c r="E3" s="54" t="s">
        <v>1571</v>
      </c>
      <c r="F3" s="616">
        <f>'0816 4度C'!D1</f>
        <v>186796</v>
      </c>
      <c r="G3" s="617"/>
      <c r="H3" s="54" t="s">
        <v>1572</v>
      </c>
      <c r="I3" s="618">
        <f>'0816 4度C'!F1</f>
        <v>6458223.5499999989</v>
      </c>
      <c r="J3" s="619"/>
      <c r="K3" s="55"/>
      <c r="L3" s="56"/>
      <c r="M3" s="57"/>
      <c r="N3" s="57"/>
    </row>
    <row r="4" spans="2:17" ht="28.5" customHeight="1">
      <c r="B4" s="620" t="s">
        <v>1573</v>
      </c>
      <c r="C4" s="606" t="s">
        <v>1574</v>
      </c>
      <c r="D4" s="607"/>
      <c r="E4" s="623" t="s">
        <v>1575</v>
      </c>
      <c r="F4" s="624"/>
      <c r="G4" s="623" t="s">
        <v>1576</v>
      </c>
      <c r="H4" s="624"/>
      <c r="I4" s="623" t="s">
        <v>1577</v>
      </c>
      <c r="J4" s="624"/>
      <c r="K4" s="604" t="s">
        <v>1578</v>
      </c>
      <c r="L4" s="605"/>
      <c r="M4" s="605" t="s">
        <v>1579</v>
      </c>
      <c r="N4" s="605"/>
    </row>
    <row r="5" spans="2:17" ht="28.5" customHeight="1">
      <c r="B5" s="621"/>
      <c r="C5" s="606" t="s">
        <v>1580</v>
      </c>
      <c r="D5" s="607"/>
      <c r="E5" s="606" t="s">
        <v>1581</v>
      </c>
      <c r="F5" s="607"/>
      <c r="G5" s="608" t="s">
        <v>1582</v>
      </c>
      <c r="H5" s="609"/>
      <c r="I5" s="610" t="s">
        <v>1583</v>
      </c>
      <c r="J5" s="611"/>
      <c r="K5" s="58" t="s">
        <v>1584</v>
      </c>
      <c r="L5" s="59" t="s">
        <v>1585</v>
      </c>
      <c r="M5" s="58" t="s">
        <v>1584</v>
      </c>
      <c r="N5" s="59" t="s">
        <v>1586</v>
      </c>
    </row>
    <row r="6" spans="2:17" ht="28.5" customHeight="1">
      <c r="B6" s="621"/>
      <c r="C6" s="606" t="s">
        <v>169</v>
      </c>
      <c r="D6" s="607"/>
      <c r="E6" s="598">
        <f>AVERAGE(D13:M13)</f>
        <v>158.53129799103576</v>
      </c>
      <c r="F6" s="599">
        <f>AVERAGE(D31:O31,D13:J13)</f>
        <v>167.42688959526097</v>
      </c>
      <c r="G6" s="600">
        <f>AVERAGE(D13:J13)</f>
        <v>167.42688959526097</v>
      </c>
      <c r="H6" s="601"/>
      <c r="I6" s="600">
        <f>AVERAGE(K13:M13)</f>
        <v>137.77491758117691</v>
      </c>
      <c r="J6" s="601"/>
      <c r="K6" s="602">
        <f>'0816 4度C'!Y2</f>
        <v>0</v>
      </c>
      <c r="L6" s="587">
        <f>'0816 4度C'!Z2</f>
        <v>0</v>
      </c>
      <c r="M6" s="603">
        <f>'0816 4度C'!AC2</f>
        <v>57</v>
      </c>
      <c r="N6" s="587">
        <f>'0816 4度C'!AD2</f>
        <v>0</v>
      </c>
    </row>
    <row r="7" spans="2:17" ht="28.5" customHeight="1">
      <c r="B7" s="621"/>
      <c r="C7" s="588" t="s">
        <v>170</v>
      </c>
      <c r="D7" s="589"/>
      <c r="E7" s="590">
        <f>AVERAGE(D14:M14)</f>
        <v>152.00077762513334</v>
      </c>
      <c r="F7" s="591">
        <f>AVERAGE(D32:O32,D14:J14)</f>
        <v>160.61746318284199</v>
      </c>
      <c r="G7" s="592">
        <f>AVERAGE(D14:J14)</f>
        <v>160.61746318284199</v>
      </c>
      <c r="H7" s="593"/>
      <c r="I7" s="592">
        <f>AVERAGE(K14:M14)</f>
        <v>131.89517799047971</v>
      </c>
      <c r="J7" s="593"/>
      <c r="K7" s="602"/>
      <c r="L7" s="587"/>
      <c r="M7" s="603"/>
      <c r="N7" s="587"/>
    </row>
    <row r="8" spans="2:17" ht="28.5" customHeight="1">
      <c r="B8" s="622"/>
      <c r="C8" s="588" t="s">
        <v>171</v>
      </c>
      <c r="D8" s="589"/>
      <c r="E8" s="594">
        <f>AVERAGE(D15:M15)</f>
        <v>0.95773860893806673</v>
      </c>
      <c r="F8" s="595">
        <f>AVERAGE(D15:J15,D33:O33)</f>
        <v>0.95796652587752196</v>
      </c>
      <c r="G8" s="596">
        <f>AVERAGE(D15:J15)</f>
        <v>0.95796652587752196</v>
      </c>
      <c r="H8" s="597"/>
      <c r="I8" s="596">
        <f>AVERAGE(K15:M15)</f>
        <v>0.95720680274600467</v>
      </c>
      <c r="J8" s="597"/>
      <c r="K8" s="602"/>
      <c r="L8" s="587"/>
      <c r="M8" s="603"/>
      <c r="N8" s="587"/>
    </row>
    <row r="9" spans="2:17" ht="28.5" customHeight="1" thickBot="1">
      <c r="H9" s="61"/>
      <c r="K9" s="62" t="s">
        <v>1587</v>
      </c>
      <c r="N9" s="57"/>
      <c r="O9" s="57"/>
      <c r="P9" s="57"/>
      <c r="Q9" s="57"/>
    </row>
    <row r="10" spans="2:17" ht="30" customHeight="1">
      <c r="B10" s="570" t="s">
        <v>1588</v>
      </c>
      <c r="C10" s="571"/>
      <c r="D10" s="572" t="s">
        <v>1589</v>
      </c>
      <c r="E10" s="573"/>
      <c r="F10" s="573"/>
      <c r="G10" s="573"/>
      <c r="H10" s="573"/>
      <c r="I10" s="573"/>
      <c r="J10" s="574"/>
      <c r="K10" s="575" t="s">
        <v>1590</v>
      </c>
      <c r="L10" s="576"/>
      <c r="M10" s="577"/>
      <c r="P10" s="63"/>
      <c r="Q10" s="63"/>
    </row>
    <row r="11" spans="2:17" ht="17.25" customHeight="1">
      <c r="B11" s="578" t="s">
        <v>1591</v>
      </c>
      <c r="C11" s="579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80"/>
      <c r="C12" s="581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582" t="s">
        <v>1592</v>
      </c>
      <c r="C13" s="70" t="s">
        <v>1593</v>
      </c>
      <c r="D13" s="71">
        <f>SUMIFS('0816 4度C'!$K:$K,'0816 4度C'!$A:$A,"新豐6線",'0816 4度C'!$B:$B,"平均")</f>
        <v>129.03225806451613</v>
      </c>
      <c r="E13" s="72">
        <f>SUMIFS('0816 4度C'!$K:$K,'0816 4度C'!$A:$A,"新豐2線",'0816 4度C'!$B:$B,"平均")</f>
        <v>83.333333333333329</v>
      </c>
      <c r="F13" s="73">
        <f>SUMIFS('0816 4度C'!$K:$K,'0816 4度C'!$A:$A,"新豐5線",'0816 4度C'!$B:$B,"平均")</f>
        <v>96</v>
      </c>
      <c r="G13" s="73">
        <f>SUMIFS('0816 4度C'!$K:$K,'0816 4度C'!$A:$A,"新豐7線",'0816 4度C'!$B:$B,"平均")</f>
        <v>134.61538461538461</v>
      </c>
      <c r="H13" s="73">
        <f>SUMIFS('0816 4度C'!$K:$K,'0816 4度C'!$A:$A,"新豐3線",'0816 4度C'!$B:$B,"平均")</f>
        <v>324.32432432432432</v>
      </c>
      <c r="I13" s="73">
        <f>SUMIFS('0816 4度C'!$K:$K,'0816 4度C'!$A:$A,"新豐1線",'0816 4度C'!$B:$B,"平均")</f>
        <v>112</v>
      </c>
      <c r="J13" s="74">
        <f>SUMIFS('0816 4度C'!$K:$K,'0816 4度C'!$A:$A,"新豐10線",'0816 4度C'!$B:$B,"平均")</f>
        <v>292.6829268292683</v>
      </c>
      <c r="K13" s="75">
        <f>SUMIFS('0816 4度C'!$K:$K,'0816 4度C'!$A:$A,"新豐8線",'0816 4度C'!$B:$B,"平均")</f>
        <v>137.70491803278691</v>
      </c>
      <c r="L13" s="76">
        <f>SUMIFS('0816 4度C'!$K:$K,'0816 4度C'!$A:$A,"新豐9線",'0816 4度C'!$B:$B,"平均")</f>
        <v>125.61983471074382</v>
      </c>
      <c r="M13" s="74">
        <f>SUMIFS('0816 4度C'!$K:$K,'0816 4度C'!$A:$A,"新豐4線",'0816 4度C'!$B:$B,"平均")</f>
        <v>150</v>
      </c>
    </row>
    <row r="14" spans="2:17" ht="39.6" customHeight="1">
      <c r="B14" s="583"/>
      <c r="C14" s="77" t="s">
        <v>1594</v>
      </c>
      <c r="D14" s="78">
        <f>SUMIFS('0816 4度C'!$N:$N,'0816 4度C'!$A:$A,"新豐6線",'0816 4度C'!$B:$B,"平均")</f>
        <v>123.63472151310017</v>
      </c>
      <c r="E14" s="79">
        <f>SUMIFS('0816 4度C'!$N:$N,'0816 4度C'!$A:$A,"新豐2線",'0816 4度C'!$B:$B,"平均")</f>
        <v>79.328052218547526</v>
      </c>
      <c r="F14" s="79">
        <f>SUMIFS('0816 4度C'!$N:$N,'0816 4度C'!$A:$A,"新豐5線",'0816 4度C'!$B:$B,"平均")</f>
        <v>91.89064673047082</v>
      </c>
      <c r="G14" s="79">
        <f>SUMIFS('0816 4度C'!$N:$N,'0816 4度C'!$A:$A,"新豐7線",'0816 4度C'!$B:$B,"平均")</f>
        <v>128.85388504754334</v>
      </c>
      <c r="H14" s="79">
        <f>SUMIFS('0816 4度C'!$N:$N,'0816 4度C'!$A:$A,"新豐3線",'0816 4度C'!$B:$B,"平均")</f>
        <v>312.03711538917833</v>
      </c>
      <c r="I14" s="79">
        <f>SUMIFS('0816 4度C'!$N:$N,'0816 4度C'!$A:$A,"新豐1線",'0816 4度C'!$B:$B,"平均")</f>
        <v>107.31500884162024</v>
      </c>
      <c r="J14" s="80">
        <f>SUMIFS('0816 4度C'!$N:$N,'0816 4度C'!$A:$A,"新豐10線",'0816 4度C'!$B:$B,"平均")</f>
        <v>281.26281253943364</v>
      </c>
      <c r="K14" s="81">
        <f>SUMIFS('0816 4度C'!$N:$N,'0816 4度C'!$A:$A,"新豐8線",'0816 4度C'!$B:$B,"平均")</f>
        <v>131.56917072672081</v>
      </c>
      <c r="L14" s="82">
        <f>SUMIFS('0816 4度C'!$N:$N,'0816 4度C'!$A:$A,"新豐9線",'0816 4度C'!$B:$B,"平均")</f>
        <v>120.10720479485383</v>
      </c>
      <c r="M14" s="80">
        <f>SUMIFS('0816 4度C'!$N:$N,'0816 4度C'!$A:$A,"新豐4線",'0816 4度C'!$B:$B,"平均")</f>
        <v>144.00915844986451</v>
      </c>
    </row>
    <row r="15" spans="2:17" ht="40.15" customHeight="1">
      <c r="B15" s="584"/>
      <c r="C15" s="83" t="s">
        <v>1595</v>
      </c>
      <c r="D15" s="84">
        <f t="shared" ref="D15:M15" si="0">D14/D13</f>
        <v>0.95816909172652631</v>
      </c>
      <c r="E15" s="85">
        <f t="shared" si="0"/>
        <v>0.95193662662257039</v>
      </c>
      <c r="F15" s="85">
        <f t="shared" si="0"/>
        <v>0.95719423677573767</v>
      </c>
      <c r="G15" s="85">
        <f t="shared" si="0"/>
        <v>0.95720028892460773</v>
      </c>
      <c r="H15" s="85">
        <f t="shared" si="0"/>
        <v>0.96211443911663319</v>
      </c>
      <c r="I15" s="85">
        <f t="shared" si="0"/>
        <v>0.95816972180018067</v>
      </c>
      <c r="J15" s="86">
        <f t="shared" si="0"/>
        <v>0.96098127617639828</v>
      </c>
      <c r="K15" s="84">
        <f t="shared" si="0"/>
        <v>0.95544278742023436</v>
      </c>
      <c r="L15" s="85">
        <f t="shared" si="0"/>
        <v>0.95611656448534943</v>
      </c>
      <c r="M15" s="86">
        <f t="shared" si="0"/>
        <v>0.96006105633243011</v>
      </c>
    </row>
    <row r="16" spans="2:17" ht="17.25" customHeight="1">
      <c r="B16" s="585" t="s">
        <v>191</v>
      </c>
      <c r="C16" s="87" t="s">
        <v>1596</v>
      </c>
      <c r="D16" s="88">
        <f>VLOOKUP("新豐6線",'0816 4度C'!$A:$T,19,0)</f>
        <v>0.70833333333333337</v>
      </c>
      <c r="E16" s="89">
        <f>VLOOKUP("新豐2線",'0816 4度C'!$A:$T,19,0)</f>
        <v>8.3333333333333329E-2</v>
      </c>
      <c r="F16" s="89">
        <f>VLOOKUP("新豐5線",'0816 4度C'!$A:$T,19,0)</f>
        <v>0.20833333333333334</v>
      </c>
      <c r="G16" s="89">
        <f>VLOOKUP("新豐7線",'0816 4度C'!$A:$T,19,0)</f>
        <v>0.20833333333333334</v>
      </c>
      <c r="H16" s="89">
        <f>VLOOKUP("新豐3線",'0816 4度C'!$A:$T,19,0)</f>
        <v>0.20833333333333334</v>
      </c>
      <c r="I16" s="89">
        <f>VLOOKUP("新豐1線",'0816 4度C'!$A:$T,19,0)</f>
        <v>0.20833333333333334</v>
      </c>
      <c r="J16" s="90">
        <f>VLOOKUP("新豐10線",'0816 4度C'!$A:$T,19,0)</f>
        <v>0.20833333333333334</v>
      </c>
      <c r="K16" s="91">
        <f>VLOOKUP("新豐8線",'0816 4度C'!$A:$T,19,0)</f>
        <v>8.3333333333333329E-2</v>
      </c>
      <c r="L16" s="92">
        <f>VLOOKUP("新豐9線",'0816 4度C'!$A:$T,19,0)</f>
        <v>8.3333333333333329E-2</v>
      </c>
      <c r="M16" s="93">
        <f>VLOOKUP("新豐4線",'0816 4度C'!$A:$T,19,0)</f>
        <v>8.3333333333333329E-2</v>
      </c>
    </row>
    <row r="17" spans="2:13" ht="17.25" customHeight="1">
      <c r="B17" s="586"/>
      <c r="C17" s="87" t="s">
        <v>747</v>
      </c>
      <c r="D17" s="91">
        <f>LOOKUP(2,1/(('0816 4度C'!$A:$A="新豐6線")*('0816 4度C'!$T:$T&lt;&gt;"")),'0816 4度C'!$T:$T)</f>
        <v>0.92500000000000004</v>
      </c>
      <c r="E17" s="89">
        <f>LOOKUP(2,1/(('0816 4度C'!$A:$A="新豐2線")*('0816 4度C'!$T:$T&lt;&gt;"")),'0816 4度C'!$T:$T)</f>
        <v>0.4951388888888888</v>
      </c>
      <c r="F17" s="89">
        <f>LOOKUP(2,1/(('0816 4度C'!$A:$A="新豐5線")*('0816 4度C'!$T:$T&lt;&gt;"")),'0816 4度C'!$T:$T)</f>
        <v>0.84583333333333333</v>
      </c>
      <c r="G17" s="89">
        <f>LOOKUP(2,1/(('0816 4度C'!$A:$A="新豐7線")*('0816 4度C'!$T:$T&lt;&gt;"")),'0816 4度C'!$T:$T)</f>
        <v>0.93194444444444446</v>
      </c>
      <c r="H17" s="89">
        <f>LOOKUP(2,1/(('0816 4度C'!$A:$A="新豐3線")*('0816 4度C'!$T:$T&lt;&gt;"")),'0816 4度C'!$T:$T)</f>
        <v>0.43402777777777779</v>
      </c>
      <c r="I17" s="89">
        <f>LOOKUP(2,1/(('0816 4度C'!$A:$A="新豐1線")*('0816 4度C'!$T:$T&lt;&gt;"")),'0816 4度C'!$T:$T)</f>
        <v>0.84583333333333333</v>
      </c>
      <c r="J17" s="90">
        <f>LOOKUP(2,1/(('0816 4度C'!$A:$A="新豐10線")*('0816 4度C'!$T:$T&lt;&gt;"")),'0816 4度C'!$T:$T)</f>
        <v>0.40208333333333329</v>
      </c>
      <c r="K17" s="88">
        <f>LOOKUP(2,1/(('0816 4度C'!$A:$A="新豐8線")*('0816 4度C'!$T:$T&lt;&gt;"")),'0816 4度C'!$T:$T)</f>
        <v>0.75069444444444444</v>
      </c>
      <c r="L17" s="89">
        <f>LOOKUP(2,1/(('0816 4度C'!$A:$A="新豐9線")*('0816 4度C'!$T:$T&lt;&gt;"")),'0816 4度C'!$T:$T)</f>
        <v>0.7416666666666667</v>
      </c>
      <c r="M17" s="90">
        <f>LOOKUP(2,1/(('0816 4度C'!$A:$A="新豐4線")*('0816 4度C'!$T:$T&lt;&gt;"")),'0816 4度C'!$T:$T)</f>
        <v>0.69444444444444431</v>
      </c>
    </row>
    <row r="18" spans="2:13" ht="17.25" customHeight="1">
      <c r="B18" s="564" t="s">
        <v>1597</v>
      </c>
      <c r="C18" s="94" t="s">
        <v>1598</v>
      </c>
      <c r="D18" s="95">
        <f>SUMIFS('0816 4度C'!$Y:$Y,'0816 4度C'!$A:$A,"新豐6線",'0816 4度C'!$B:$B,"平均")</f>
        <v>0</v>
      </c>
      <c r="E18" s="96">
        <f>SUMIFS('0816 4度C'!$Y:$Y,'0816 4度C'!$A:$A,"新豐2線",'0816 4度C'!$B:$B,"平均")</f>
        <v>0</v>
      </c>
      <c r="F18" s="96">
        <f>SUMIFS('0816 4度C'!$Y:$Y,'0816 4度C'!$A:$A,"新豐5線",'0816 4度C'!$B:$B,"平均")</f>
        <v>0</v>
      </c>
      <c r="G18" s="96">
        <f>SUMIFS('0816 4度C'!$Y:$Y,'0816 4度C'!$A:$A,"新豐7線",'0816 4度C'!$B:$B,"平均")</f>
        <v>0</v>
      </c>
      <c r="H18" s="96">
        <f>SUMIFS('0816 4度C'!$Y:$Y,'0816 4度C'!$A:$A,"新豐3線",'0816 4度C'!$B:$B,"平均")</f>
        <v>0</v>
      </c>
      <c r="I18" s="96">
        <f>SUMIFS('0816 4度C'!$Y:$Y,'0816 4度C'!$A:$A,"新豐1線",'0816 4度C'!$B:$B,"平均")</f>
        <v>0</v>
      </c>
      <c r="J18" s="97">
        <f>SUMIFS('0816 4度C'!$Y:$Y,'0816 4度C'!$A:$A,"新豐10線",'0816 4度C'!$B:$B,"平均")</f>
        <v>0</v>
      </c>
      <c r="K18" s="98">
        <f>SUMIFS('0816 4度C'!$Y:$Y,'0816 4度C'!$A:$A,"新豐8線",'0816 4度C'!$B:$B,"平均")</f>
        <v>0</v>
      </c>
      <c r="L18" s="96">
        <f>SUMIFS('0816 4度C'!$Y:$Y,'0816 4度C'!$A:$A,"新豐9線",'0816 4度C'!$B:$B,"平均")</f>
        <v>0</v>
      </c>
      <c r="M18" s="97">
        <f>SUMIFS('0816 4度C'!$Y:$Y,'0816 4度C'!$A:$A,"新豐4線",'0816 4度C'!$B:$B,"平均")</f>
        <v>0</v>
      </c>
    </row>
    <row r="19" spans="2:13" ht="17.25" customHeight="1">
      <c r="B19" s="565"/>
      <c r="C19" s="94" t="s">
        <v>1599</v>
      </c>
      <c r="D19" s="95">
        <f>SUMIFS('0816 4度C'!$Z:$Z,'0816 4度C'!$A:$A,"新豐6線",'0816 4度C'!$B:$B,"平均")</f>
        <v>0</v>
      </c>
      <c r="E19" s="96">
        <f>SUMIFS('0816 4度C'!$Z:$Z,'0816 4度C'!$A:$A,"新豐2線",'0816 4度C'!$B:$B,"平均")</f>
        <v>0</v>
      </c>
      <c r="F19" s="96">
        <f>SUMIFS('0816 4度C'!$Z:$Z,'0816 4度C'!$A:$A,"新豐5線",'0816 4度C'!$B:$B,"平均")</f>
        <v>0</v>
      </c>
      <c r="G19" s="96">
        <f>SUMIFS('0816 4度C'!$Z:$Z,'0816 4度C'!$A:$A,"新豐7線",'0816 4度C'!$B:$B,"平均")</f>
        <v>0</v>
      </c>
      <c r="H19" s="96">
        <f>SUMIFS('0816 4度C'!$Z:$Z,'0816 4度C'!$A:$A,"新豐3線",'0816 4度C'!$B:$B,"平均")</f>
        <v>0</v>
      </c>
      <c r="I19" s="96">
        <f>SUMIFS('0816 4度C'!$Z:$Z,'0816 4度C'!$A:$A,"新豐1線",'0816 4度C'!$B:$B,"平均")</f>
        <v>0</v>
      </c>
      <c r="J19" s="97">
        <f>SUMIFS('0816 4度C'!$Z:$Z,'0816 4度C'!$A:$A,"新豐10線",'0816 4度C'!$B:$B,"平均")</f>
        <v>0</v>
      </c>
      <c r="K19" s="98">
        <f>SUMIFS('0816 4度C'!$Z:$Z,'0816 4度C'!$A:$A,"新豐8線",'0816 4度C'!$B:$B,"平均")</f>
        <v>0</v>
      </c>
      <c r="L19" s="96">
        <f>SUMIFS('0816 4度C'!$Z:$Z,'0816 4度C'!$A:$A,"新豐9線",'0816 4度C'!$B:$B,"平均")</f>
        <v>0</v>
      </c>
      <c r="M19" s="97">
        <f>SUMIFS('0816 4度C'!$Z:$Z,'0816 4度C'!$A:$A,"新豐4線",'0816 4度C'!$B:$B,"平均")</f>
        <v>0</v>
      </c>
    </row>
    <row r="20" spans="2:13" ht="17.25" customHeight="1">
      <c r="B20" s="564" t="s">
        <v>1600</v>
      </c>
      <c r="C20" s="94" t="s">
        <v>1598</v>
      </c>
      <c r="D20" s="95">
        <f>SUMIFS('0816 4度C'!$AC:$AC,'0816 4度C'!$A:$A,"新豐6線",'0816 4度C'!$B:$B,"平均")</f>
        <v>4</v>
      </c>
      <c r="E20" s="96">
        <f>SUMIFS('0816 4度C'!$AC:$AC,'0816 4度C'!$A:$A,"新豐2線",'0816 4度C'!$B:$B,"平均")</f>
        <v>2</v>
      </c>
      <c r="F20" s="96">
        <f>SUMIFS('0816 4度C'!$AC:$AC,'0816 4度C'!$A:$A,"新豐5線",'0816 4度C'!$B:$B,"平均")</f>
        <v>7</v>
      </c>
      <c r="G20" s="96">
        <f>SUMIFS('0816 4度C'!$AC:$AC,'0816 4度C'!$A:$A,"新豐7線",'0816 4度C'!$B:$B,"平均")</f>
        <v>7</v>
      </c>
      <c r="H20" s="96">
        <f>SUMIFS('0816 4度C'!$AC:$AC,'0816 4度C'!$A:$A,"新豐3線",'0816 4度C'!$B:$B,"平均")</f>
        <v>4</v>
      </c>
      <c r="I20" s="96">
        <f>SUMIFS('0816 4度C'!$AC:$AC,'0816 4度C'!$A:$A,"新豐1線",'0816 4度C'!$B:$B,"平均")</f>
        <v>7</v>
      </c>
      <c r="J20" s="97">
        <f>SUMIFS('0816 4度C'!$AC:$AC,'0816 4度C'!$A:$A,"新豐10線",'0816 4度C'!$B:$B,"平均")</f>
        <v>4</v>
      </c>
      <c r="K20" s="98">
        <f>SUMIFS('0816 4度C'!$AC:$AC,'0816 4度C'!$A:$A,"新豐8線",'0816 4度C'!$B:$B,"平均")</f>
        <v>7</v>
      </c>
      <c r="L20" s="96">
        <f>SUMIFS('0816 4度C'!$AC:$AC,'0816 4度C'!$A:$A,"新豐9線",'0816 4度C'!$B:$B,"平均")</f>
        <v>7</v>
      </c>
      <c r="M20" s="97">
        <f>SUMIFS('0816 4度C'!$AC:$AC,'0816 4度C'!$A:$A,"新豐4線",'0816 4度C'!$B:$B,"平均")</f>
        <v>8</v>
      </c>
    </row>
    <row r="21" spans="2:13" ht="17.25" customHeight="1">
      <c r="B21" s="565"/>
      <c r="C21" s="94" t="s">
        <v>1601</v>
      </c>
      <c r="D21" s="95">
        <f>SUMIFS('0816 4度C'!$AD:$AD,'0816 4度C'!$A:$A,"新豐6線",'0816 4度C'!$B:$B,"平均")</f>
        <v>0</v>
      </c>
      <c r="E21" s="96">
        <f>SUMIFS('0816 4度C'!$AD:$AD,'0816 4度C'!$A:$A,"新豐2線",'0816 4度C'!$B:$B,"平均")</f>
        <v>0</v>
      </c>
      <c r="F21" s="96">
        <f>SUMIFS('0816 4度C'!$AD:$AD,'0816 4度C'!$A:$A,"新豐5線",'0816 4度C'!$B:$B,"平均")</f>
        <v>0</v>
      </c>
      <c r="G21" s="96">
        <f>SUMIFS('0816 4度C'!$AD:$AD,'0816 4度C'!$A:$A,"新豐7線",'0816 4度C'!$B:$B,"平均")</f>
        <v>0</v>
      </c>
      <c r="H21" s="96">
        <f>SUMIFS('0816 4度C'!$AD:$AD,'0816 4度C'!$A:$A,"新豐3線",'0816 4度C'!$B:$B,"平均")</f>
        <v>0</v>
      </c>
      <c r="I21" s="96">
        <f>SUMIFS('0816 4度C'!$AD:$AD,'0816 4度C'!$A:$A,"新豐1線",'0816 4度C'!$B:$B,"平均")</f>
        <v>0</v>
      </c>
      <c r="J21" s="97">
        <f>SUMIFS('0816 4度C'!$AD:$AD,'0816 4度C'!$A:$A,"新豐10線",'0816 4度C'!$B:$B,"平均")</f>
        <v>0</v>
      </c>
      <c r="K21" s="98">
        <f>SUMIFS('0816 4度C'!$AD:$AD,'0816 4度C'!$A:$A,"新豐8線",'0816 4度C'!$B:$B,"平均")</f>
        <v>0</v>
      </c>
      <c r="L21" s="96">
        <f>SUMIFS('0816 4度C'!$AD:$AD,'0816 4度C'!$A:$A,"新豐9線",'0816 4度C'!$B:$B,"平均")</f>
        <v>0</v>
      </c>
      <c r="M21" s="97">
        <f>SUMIFS('0816 4度C'!$AD:$AD,'0816 4度C'!$A:$A,"新豐4線",'0816 4度C'!$B:$B,"平均")</f>
        <v>0</v>
      </c>
    </row>
    <row r="22" spans="2:13" ht="17.25" customHeight="1">
      <c r="B22" s="566" t="s">
        <v>1602</v>
      </c>
      <c r="C22" s="567"/>
      <c r="D22" s="99">
        <f>SUMIFS('0816 4度C'!$I:$I,'0816 4度C'!$A:$A,"新豐6線",'0816 4度C'!$B:$B,"平均")</f>
        <v>15.5</v>
      </c>
      <c r="E22" s="100">
        <f>SUMIFS('0816 4度C'!$I:$I,'0816 4度C'!$A:$A,"新豐2線",'0816 4度C'!$B:$B,"平均")</f>
        <v>18</v>
      </c>
      <c r="F22" s="100">
        <f>SUMIFS('0816 4度C'!$I:$I,'0816 4度C'!$A:$A,"新豐5線",'0816 4度C'!$B:$B,"平均")</f>
        <v>17.857142857142858</v>
      </c>
      <c r="G22" s="100">
        <f>SUMIFS('0816 4度C'!$I:$I,'0816 4度C'!$A:$A,"新豐7線",'0816 4度C'!$B:$B,"平均")</f>
        <v>14.857142857142858</v>
      </c>
      <c r="H22" s="100">
        <f>SUMIFS('0816 4度C'!$I:$I,'0816 4度C'!$A:$A,"新豐3線",'0816 4度C'!$B:$B,"平均")</f>
        <v>9.25</v>
      </c>
      <c r="I22" s="100">
        <f>SUMIFS('0816 4度C'!$I:$I,'0816 4度C'!$A:$A,"新豐1線",'0816 4度C'!$B:$B,"平均")</f>
        <v>17.857142857142858</v>
      </c>
      <c r="J22" s="101">
        <f>SUMIFS('0816 4度C'!$I:$I,'0816 4度C'!$A:$A,"新豐10線",'0816 4度C'!$B:$B,"平均")</f>
        <v>10.25</v>
      </c>
      <c r="K22" s="99">
        <f>SUMIFS('0816 4度C'!$I:$I,'0816 4度C'!$A:$A,"新豐8線",'0816 4度C'!$B:$B,"平均")</f>
        <v>17.428571428571427</v>
      </c>
      <c r="L22" s="100">
        <f>SUMIFS('0816 4度C'!$I:$I,'0816 4度C'!$A:$A,"新豐9線",'0816 4度C'!$B:$B,"平均")</f>
        <v>17.285714285714285</v>
      </c>
      <c r="M22" s="101">
        <f>SUMIFS('0816 4度C'!$I:$I,'0816 4度C'!$A:$A,"新豐4線",'0816 4度C'!$B:$B,"平均")</f>
        <v>16</v>
      </c>
    </row>
    <row r="23" spans="2:13" ht="17.25" customHeight="1">
      <c r="B23" s="566" t="s">
        <v>1603</v>
      </c>
      <c r="C23" s="567"/>
      <c r="D23" s="102" t="s">
        <v>202</v>
      </c>
      <c r="E23" s="103" t="s">
        <v>203</v>
      </c>
      <c r="F23" s="103" t="s">
        <v>1604</v>
      </c>
      <c r="G23" s="103" t="s">
        <v>1604</v>
      </c>
      <c r="H23" s="103" t="s">
        <v>205</v>
      </c>
      <c r="I23" s="103" t="s">
        <v>202</v>
      </c>
      <c r="J23" s="104" t="s">
        <v>205</v>
      </c>
      <c r="K23" s="102" t="s">
        <v>1605</v>
      </c>
      <c r="L23" s="103" t="s">
        <v>1606</v>
      </c>
      <c r="M23" s="104" t="s">
        <v>1606</v>
      </c>
    </row>
    <row r="24" spans="2:13" ht="17.25" customHeight="1">
      <c r="B24" s="566" t="s">
        <v>1607</v>
      </c>
      <c r="C24" s="567"/>
      <c r="D24" s="102"/>
      <c r="E24" s="103"/>
      <c r="F24" s="103" t="s">
        <v>1608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68" t="s">
        <v>1609</v>
      </c>
      <c r="C25" s="569"/>
      <c r="D25" s="105"/>
      <c r="E25" s="106" t="s">
        <v>1610</v>
      </c>
      <c r="F25" s="562" t="s">
        <v>1611</v>
      </c>
      <c r="G25" s="563"/>
      <c r="H25" s="106" t="s">
        <v>213</v>
      </c>
      <c r="I25" s="106" t="s">
        <v>1612</v>
      </c>
      <c r="J25" s="107" t="s">
        <v>1613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233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2"/>
  <sheetViews>
    <sheetView zoomScale="80" zoomScaleNormal="80" workbookViewId="0">
      <pane ySplit="4" topLeftCell="A5" activePane="bottomLeft" state="frozen"/>
      <selection activeCell="E6" sqref="E6:F6"/>
      <selection pane="bottomLeft" activeCell="E6" sqref="E6:F6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9" customWidth="1"/>
    <col min="20" max="20" width="7.625" style="9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1614</v>
      </c>
      <c r="B1" s="1"/>
      <c r="C1" s="2" t="s">
        <v>1615</v>
      </c>
      <c r="D1" s="3">
        <f>SUM(F5:F71)</f>
        <v>186796</v>
      </c>
      <c r="E1" s="323" t="s">
        <v>1616</v>
      </c>
      <c r="F1" s="1">
        <f>SUM(G5:G71)</f>
        <v>6458223.5499999989</v>
      </c>
      <c r="G1" s="1" t="s">
        <v>1617</v>
      </c>
      <c r="H1" s="5">
        <f>L9+L12+L49+L57+L20+L62+L36+L44+L28+L71</f>
        <v>154.28571428571431</v>
      </c>
      <c r="I1" s="676" t="s">
        <v>1618</v>
      </c>
      <c r="J1" s="676"/>
      <c r="K1" s="676"/>
      <c r="L1" s="676" t="s">
        <v>1619</v>
      </c>
      <c r="M1" s="676"/>
      <c r="N1" s="676"/>
      <c r="O1" s="676" t="s">
        <v>1620</v>
      </c>
      <c r="P1" s="676"/>
      <c r="Q1" s="676"/>
      <c r="R1" s="676"/>
      <c r="S1" s="676" t="s">
        <v>1621</v>
      </c>
      <c r="T1" s="676"/>
      <c r="U1" s="676"/>
      <c r="V1" s="676"/>
      <c r="W1" s="676"/>
      <c r="X1" s="676"/>
      <c r="Y1" s="6" t="s">
        <v>1622</v>
      </c>
      <c r="Z1" s="7" t="s">
        <v>1623</v>
      </c>
      <c r="AA1" s="677" t="s">
        <v>1624</v>
      </c>
      <c r="AB1" s="677"/>
      <c r="AC1" s="8" t="s">
        <v>1622</v>
      </c>
      <c r="AD1" s="7" t="s">
        <v>1625</v>
      </c>
      <c r="AE1" s="676" t="s">
        <v>1626</v>
      </c>
      <c r="AF1" s="678"/>
      <c r="AG1" s="678"/>
    </row>
    <row r="2" spans="1:33" ht="26.25" customHeight="1">
      <c r="A2" s="35">
        <v>46250</v>
      </c>
      <c r="B2" s="36" t="s">
        <v>278</v>
      </c>
      <c r="C2" s="2" t="s">
        <v>1627</v>
      </c>
      <c r="D2" s="10">
        <f>AVERAGE(N9,N12,N49,N57,N20,N62,N28,N36,N44,N71)</f>
        <v>152.00077762513334</v>
      </c>
      <c r="E2" s="11" t="s">
        <v>14</v>
      </c>
      <c r="F2" s="12">
        <f>F1/D1</f>
        <v>34.573671545429235</v>
      </c>
      <c r="G2" s="1" t="s">
        <v>1628</v>
      </c>
      <c r="H2" s="336">
        <f>COUNT(H5:H71)</f>
        <v>9</v>
      </c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14">
        <f>SUM(Y9+Y12+Y20+Y28+Y36+Y44+Y49+Y57+Y62+Y71)</f>
        <v>0</v>
      </c>
      <c r="Z2" s="14">
        <f>SUM(Z9+Z12+Z20+Z28+Z36+Z44+Z49+Z57+Z62+Z71)</f>
        <v>0</v>
      </c>
      <c r="AA2" s="677"/>
      <c r="AB2" s="677"/>
      <c r="AC2" s="14">
        <f>SUM(AC9+AC12+AC20+AC28+AC36+AC44+AC49+AC57+AC62+AC71)</f>
        <v>57</v>
      </c>
      <c r="AD2" s="14">
        <f>SUM(AD9+AD12+AD20+AD28+AD36+AD44+AD49+AD57+AD62+AD71)</f>
        <v>0</v>
      </c>
      <c r="AE2" s="678"/>
      <c r="AF2" s="678"/>
      <c r="AG2" s="678"/>
    </row>
    <row r="3" spans="1:33" ht="40.5" customHeight="1">
      <c r="A3" s="632" t="s">
        <v>1629</v>
      </c>
      <c r="B3" s="632" t="s">
        <v>1630</v>
      </c>
      <c r="C3" s="632" t="s">
        <v>1631</v>
      </c>
      <c r="D3" s="632"/>
      <c r="E3" s="674" t="s">
        <v>1632</v>
      </c>
      <c r="F3" s="632" t="s">
        <v>1633</v>
      </c>
      <c r="G3" s="674" t="s">
        <v>1634</v>
      </c>
      <c r="H3" s="667" t="s">
        <v>1635</v>
      </c>
      <c r="I3" s="665" t="s">
        <v>1636</v>
      </c>
      <c r="J3" s="662" t="s">
        <v>1637</v>
      </c>
      <c r="K3" s="672" t="s">
        <v>1627</v>
      </c>
      <c r="L3" s="665" t="s">
        <v>1636</v>
      </c>
      <c r="M3" s="662" t="s">
        <v>1637</v>
      </c>
      <c r="N3" s="672" t="s">
        <v>1627</v>
      </c>
      <c r="O3" s="665" t="s">
        <v>1636</v>
      </c>
      <c r="P3" s="672" t="s">
        <v>1627</v>
      </c>
      <c r="Q3" s="663" t="s">
        <v>1638</v>
      </c>
      <c r="R3" s="641" t="s">
        <v>1639</v>
      </c>
      <c r="S3" s="632" t="s">
        <v>29</v>
      </c>
      <c r="T3" s="632"/>
      <c r="U3" s="667" t="s">
        <v>30</v>
      </c>
      <c r="V3" s="667" t="s">
        <v>1640</v>
      </c>
      <c r="W3" s="632" t="s">
        <v>1641</v>
      </c>
      <c r="X3" s="632"/>
      <c r="Y3" s="668" t="s">
        <v>1642</v>
      </c>
      <c r="Z3" s="631"/>
      <c r="AA3" s="669" t="s">
        <v>1643</v>
      </c>
      <c r="AB3" s="670"/>
      <c r="AC3" s="668" t="s">
        <v>1644</v>
      </c>
      <c r="AD3" s="631"/>
      <c r="AE3" s="662" t="s">
        <v>1637</v>
      </c>
      <c r="AF3" s="663" t="s">
        <v>1638</v>
      </c>
      <c r="AG3" s="641" t="s">
        <v>1639</v>
      </c>
    </row>
    <row r="4" spans="1:33" ht="15.75" customHeight="1">
      <c r="A4" s="632"/>
      <c r="B4" s="632"/>
      <c r="C4" s="632"/>
      <c r="D4" s="632"/>
      <c r="E4" s="675"/>
      <c r="F4" s="632"/>
      <c r="G4" s="675"/>
      <c r="H4" s="667"/>
      <c r="I4" s="665"/>
      <c r="J4" s="662"/>
      <c r="K4" s="672"/>
      <c r="L4" s="665"/>
      <c r="M4" s="662"/>
      <c r="N4" s="672"/>
      <c r="O4" s="665"/>
      <c r="P4" s="672"/>
      <c r="Q4" s="663"/>
      <c r="R4" s="641"/>
      <c r="S4" s="323" t="s">
        <v>39</v>
      </c>
      <c r="T4" s="323" t="s">
        <v>40</v>
      </c>
      <c r="U4" s="667"/>
      <c r="V4" s="667"/>
      <c r="W4" s="323" t="s">
        <v>1645</v>
      </c>
      <c r="X4" s="323" t="s">
        <v>1646</v>
      </c>
      <c r="Y4" s="325" t="s">
        <v>1647</v>
      </c>
      <c r="Z4" s="325" t="s">
        <v>1648</v>
      </c>
      <c r="AA4" s="671"/>
      <c r="AB4" s="670"/>
      <c r="AC4" s="325" t="s">
        <v>1649</v>
      </c>
      <c r="AD4" s="325" t="s">
        <v>1650</v>
      </c>
      <c r="AE4" s="662"/>
      <c r="AF4" s="663"/>
      <c r="AG4" s="641"/>
    </row>
    <row r="5" spans="1:33">
      <c r="A5" s="664" t="s">
        <v>1651</v>
      </c>
      <c r="B5" s="42" t="s">
        <v>92</v>
      </c>
      <c r="C5" s="666" t="s">
        <v>93</v>
      </c>
      <c r="D5" s="666"/>
      <c r="E5" s="42">
        <v>50.92</v>
      </c>
      <c r="F5" s="335">
        <v>2612</v>
      </c>
      <c r="G5" s="323">
        <f t="shared" ref="G5:G8" si="0">E5*F5</f>
        <v>133003.04</v>
      </c>
      <c r="H5" s="37" t="s">
        <v>91</v>
      </c>
      <c r="I5" s="333">
        <v>15</v>
      </c>
      <c r="J5" s="39">
        <v>2000</v>
      </c>
      <c r="K5" s="17">
        <f t="shared" ref="K5:K68" si="1">J5/I5</f>
        <v>133.33333333333334</v>
      </c>
      <c r="L5" s="333">
        <v>15</v>
      </c>
      <c r="M5" s="18">
        <f t="shared" ref="M5:M8" si="2">F5/V5*60</f>
        <v>1911.2195121951213</v>
      </c>
      <c r="N5" s="17">
        <f t="shared" ref="N5:N68" si="3">M5/L5</f>
        <v>127.41463414634141</v>
      </c>
      <c r="O5" s="19">
        <f t="shared" ref="O5:O68" si="4">L5-I5</f>
        <v>0</v>
      </c>
      <c r="P5" s="20">
        <f t="shared" ref="P5:P68" si="5">N5-K5</f>
        <v>-5.9186991869919297</v>
      </c>
      <c r="Q5" s="322">
        <f t="shared" ref="Q5:Q68" si="6">N5/K5</f>
        <v>0.95560975609756049</v>
      </c>
      <c r="R5" s="637">
        <f>Q9</f>
        <v>0.95816909172652631</v>
      </c>
      <c r="S5" s="40">
        <v>0.70833333333333337</v>
      </c>
      <c r="T5" s="40">
        <v>0.76527777777777783</v>
      </c>
      <c r="U5" s="323"/>
      <c r="V5" s="334">
        <f t="shared" ref="V5:V8" si="7">(T5-S5)*24*60</f>
        <v>82.000000000000028</v>
      </c>
      <c r="W5" s="23"/>
      <c r="X5" s="23"/>
      <c r="Y5" s="24"/>
      <c r="Z5" s="24"/>
      <c r="AA5" s="632"/>
      <c r="AB5" s="632"/>
      <c r="AC5" s="135">
        <v>4</v>
      </c>
      <c r="AD5" s="25"/>
      <c r="AE5" s="19">
        <f t="shared" ref="AE5:AE56" si="8">M5-J5</f>
        <v>-88.780487804878703</v>
      </c>
      <c r="AF5" s="322">
        <f t="shared" ref="AF5:AF68" si="9">M5/J5</f>
        <v>0.9556097560975606</v>
      </c>
      <c r="AG5" s="637">
        <f>AF9</f>
        <v>0.95816909172652642</v>
      </c>
    </row>
    <row r="6" spans="1:33">
      <c r="A6" s="665" t="s">
        <v>1652</v>
      </c>
      <c r="B6" s="42" t="s">
        <v>92</v>
      </c>
      <c r="C6" s="666" t="s">
        <v>94</v>
      </c>
      <c r="D6" s="666"/>
      <c r="E6" s="42">
        <v>50.98</v>
      </c>
      <c r="F6" s="335">
        <v>1000</v>
      </c>
      <c r="G6" s="323">
        <f t="shared" si="0"/>
        <v>50980</v>
      </c>
      <c r="H6" s="37">
        <v>2</v>
      </c>
      <c r="I6" s="333">
        <v>16</v>
      </c>
      <c r="J6" s="39">
        <v>2000</v>
      </c>
      <c r="K6" s="17">
        <f t="shared" si="1"/>
        <v>125</v>
      </c>
      <c r="L6" s="333">
        <v>16</v>
      </c>
      <c r="M6" s="18">
        <f t="shared" si="2"/>
        <v>1935.483870967739</v>
      </c>
      <c r="N6" s="17">
        <f t="shared" si="3"/>
        <v>120.96774193548369</v>
      </c>
      <c r="O6" s="19">
        <f t="shared" si="4"/>
        <v>0</v>
      </c>
      <c r="P6" s="20">
        <f t="shared" si="5"/>
        <v>-4.0322580645163129</v>
      </c>
      <c r="Q6" s="322">
        <f t="shared" si="6"/>
        <v>0.96774193548386944</v>
      </c>
      <c r="R6" s="637"/>
      <c r="S6" s="40">
        <v>0.77013888888888893</v>
      </c>
      <c r="T6" s="40">
        <v>0.79166666666666674</v>
      </c>
      <c r="U6" s="323">
        <f t="shared" ref="U6:U8" si="10">IF(S6=TIME(17,0,0),"",(S6-T5)*24*60)</f>
        <v>6.9999999999999751</v>
      </c>
      <c r="V6" s="334">
        <f t="shared" si="7"/>
        <v>31.00000000000005</v>
      </c>
      <c r="W6" s="23"/>
      <c r="X6" s="23"/>
      <c r="Y6" s="23"/>
      <c r="Z6" s="23"/>
      <c r="AA6" s="632"/>
      <c r="AB6" s="632"/>
      <c r="AC6" s="135"/>
      <c r="AD6" s="25"/>
      <c r="AE6" s="19">
        <f t="shared" si="8"/>
        <v>-64.516129032261006</v>
      </c>
      <c r="AF6" s="322">
        <f t="shared" si="9"/>
        <v>0.96774193548386944</v>
      </c>
      <c r="AG6" s="637"/>
    </row>
    <row r="7" spans="1:33">
      <c r="A7" s="665" t="s">
        <v>1652</v>
      </c>
      <c r="B7" s="42" t="s">
        <v>92</v>
      </c>
      <c r="C7" s="660" t="s">
        <v>109</v>
      </c>
      <c r="D7" s="661"/>
      <c r="E7" s="42">
        <v>50.49</v>
      </c>
      <c r="F7" s="335">
        <v>2224</v>
      </c>
      <c r="G7" s="323">
        <f t="shared" si="0"/>
        <v>112289.76000000001</v>
      </c>
      <c r="H7" s="37" t="s">
        <v>91</v>
      </c>
      <c r="I7" s="333">
        <v>15</v>
      </c>
      <c r="J7" s="39">
        <v>2000</v>
      </c>
      <c r="K7" s="17">
        <f t="shared" si="1"/>
        <v>133.33333333333334</v>
      </c>
      <c r="L7" s="333">
        <v>15</v>
      </c>
      <c r="M7" s="18">
        <f t="shared" si="2"/>
        <v>1906.2857142857124</v>
      </c>
      <c r="N7" s="17">
        <f t="shared" si="3"/>
        <v>127.08571428571416</v>
      </c>
      <c r="O7" s="19">
        <f t="shared" si="4"/>
        <v>0</v>
      </c>
      <c r="P7" s="20">
        <f t="shared" si="5"/>
        <v>-6.2476190476191817</v>
      </c>
      <c r="Q7" s="322">
        <f t="shared" si="6"/>
        <v>0.95314285714285618</v>
      </c>
      <c r="R7" s="637"/>
      <c r="S7" s="40">
        <v>0.79583333333333339</v>
      </c>
      <c r="T7" s="40">
        <v>0.84444444444444455</v>
      </c>
      <c r="U7" s="323">
        <f t="shared" si="10"/>
        <v>5.9999999999999787</v>
      </c>
      <c r="V7" s="334">
        <f t="shared" si="7"/>
        <v>70.000000000000071</v>
      </c>
      <c r="W7" s="23">
        <f>T7</f>
        <v>0.84444444444444455</v>
      </c>
      <c r="X7" s="23">
        <f>S8</f>
        <v>0.88680555555555562</v>
      </c>
      <c r="Y7" s="26"/>
      <c r="Z7" s="26"/>
      <c r="AA7" s="627"/>
      <c r="AB7" s="628"/>
      <c r="AC7" s="135"/>
      <c r="AD7" s="27"/>
      <c r="AE7" s="19">
        <f t="shared" si="8"/>
        <v>-93.714285714287598</v>
      </c>
      <c r="AF7" s="322">
        <f t="shared" si="9"/>
        <v>0.95314285714285618</v>
      </c>
      <c r="AG7" s="637"/>
    </row>
    <row r="8" spans="1:33">
      <c r="A8" s="665" t="s">
        <v>1651</v>
      </c>
      <c r="B8" s="42" t="s">
        <v>92</v>
      </c>
      <c r="C8" s="660" t="s">
        <v>94</v>
      </c>
      <c r="D8" s="661"/>
      <c r="E8" s="42">
        <v>50.98</v>
      </c>
      <c r="F8" s="335">
        <v>1753</v>
      </c>
      <c r="G8" s="323">
        <f t="shared" si="0"/>
        <v>89367.939999999988</v>
      </c>
      <c r="H8" s="37" t="s">
        <v>91</v>
      </c>
      <c r="I8" s="333">
        <v>16</v>
      </c>
      <c r="J8" s="39">
        <v>2000</v>
      </c>
      <c r="K8" s="17">
        <f t="shared" si="1"/>
        <v>125</v>
      </c>
      <c r="L8" s="333">
        <v>16</v>
      </c>
      <c r="M8" s="18">
        <f t="shared" si="2"/>
        <v>1912.3636363636376</v>
      </c>
      <c r="N8" s="17">
        <f t="shared" si="3"/>
        <v>119.52272727272735</v>
      </c>
      <c r="O8" s="19">
        <f t="shared" si="4"/>
        <v>0</v>
      </c>
      <c r="P8" s="20">
        <f t="shared" si="5"/>
        <v>-5.4772727272726485</v>
      </c>
      <c r="Q8" s="322">
        <f t="shared" si="6"/>
        <v>0.9561818181818188</v>
      </c>
      <c r="R8" s="637"/>
      <c r="S8" s="40">
        <v>0.88680555555555562</v>
      </c>
      <c r="T8" s="40">
        <v>0.92500000000000004</v>
      </c>
      <c r="U8" s="323">
        <f t="shared" si="10"/>
        <v>60.999999999999943</v>
      </c>
      <c r="V8" s="334">
        <f t="shared" si="7"/>
        <v>54.999999999999964</v>
      </c>
      <c r="W8" s="28"/>
      <c r="X8" s="28"/>
      <c r="Y8" s="136"/>
      <c r="Z8" s="136"/>
      <c r="AA8" s="627"/>
      <c r="AB8" s="628"/>
      <c r="AC8" s="135"/>
      <c r="AD8" s="27"/>
      <c r="AE8" s="19">
        <f t="shared" si="8"/>
        <v>-87.636363636362375</v>
      </c>
      <c r="AF8" s="322">
        <f t="shared" si="9"/>
        <v>0.9561818181818188</v>
      </c>
      <c r="AG8" s="637"/>
    </row>
    <row r="9" spans="1:33">
      <c r="A9" s="665" t="s">
        <v>1651</v>
      </c>
      <c r="B9" s="42" t="s">
        <v>1653</v>
      </c>
      <c r="C9" s="638"/>
      <c r="D9" s="638"/>
      <c r="E9" s="324"/>
      <c r="F9" s="44"/>
      <c r="G9" s="17"/>
      <c r="H9" s="335"/>
      <c r="I9" s="29">
        <v>15.5</v>
      </c>
      <c r="J9" s="39">
        <v>2000</v>
      </c>
      <c r="K9" s="17">
        <f t="shared" si="1"/>
        <v>129.03225806451613</v>
      </c>
      <c r="L9" s="29">
        <v>15.5</v>
      </c>
      <c r="M9" s="18">
        <f>AVERAGE(M5:M8)</f>
        <v>1916.3381834530528</v>
      </c>
      <c r="N9" s="17">
        <f t="shared" si="3"/>
        <v>123.63472151310017</v>
      </c>
      <c r="O9" s="19">
        <f t="shared" si="4"/>
        <v>0</v>
      </c>
      <c r="P9" s="20">
        <f t="shared" si="5"/>
        <v>-5.3975365514159535</v>
      </c>
      <c r="Q9" s="322">
        <f t="shared" si="6"/>
        <v>0.95816909172652631</v>
      </c>
      <c r="R9" s="637"/>
      <c r="S9" s="40"/>
      <c r="T9" s="40"/>
      <c r="U9" s="323"/>
      <c r="V9" s="334"/>
      <c r="W9" s="17"/>
      <c r="X9" s="17"/>
      <c r="Y9" s="30">
        <f>SUM(Y5:Y8)</f>
        <v>0</v>
      </c>
      <c r="Z9" s="30">
        <f>SUM(Z5:Z8)</f>
        <v>0</v>
      </c>
      <c r="AA9" s="631"/>
      <c r="AB9" s="631"/>
      <c r="AC9" s="30">
        <v>4</v>
      </c>
      <c r="AD9" s="30">
        <f>SUM(AD5:AD8)</f>
        <v>0</v>
      </c>
      <c r="AE9" s="19">
        <f t="shared" si="8"/>
        <v>-83.661816546947193</v>
      </c>
      <c r="AF9" s="322">
        <f t="shared" si="9"/>
        <v>0.95816909172652642</v>
      </c>
      <c r="AG9" s="637"/>
    </row>
    <row r="10" spans="1:33" ht="15.75" customHeight="1">
      <c r="A10" s="659" t="s">
        <v>1654</v>
      </c>
      <c r="B10" s="42" t="s">
        <v>96</v>
      </c>
      <c r="C10" s="660" t="s">
        <v>100</v>
      </c>
      <c r="D10" s="661"/>
      <c r="E10" s="42">
        <v>39.619999999999997</v>
      </c>
      <c r="F10" s="335">
        <v>5407</v>
      </c>
      <c r="G10" s="323">
        <f t="shared" ref="G10:G11" si="11">E10*F10</f>
        <v>214225.34</v>
      </c>
      <c r="H10" s="37" t="s">
        <v>91</v>
      </c>
      <c r="I10" s="333">
        <v>19</v>
      </c>
      <c r="J10" s="39">
        <v>1500</v>
      </c>
      <c r="K10" s="17">
        <f t="shared" si="1"/>
        <v>78.94736842105263</v>
      </c>
      <c r="L10" s="333">
        <v>19</v>
      </c>
      <c r="M10" s="18">
        <f t="shared" ref="M10:M11" si="12">F10/V10*60</f>
        <v>1429.1629955947137</v>
      </c>
      <c r="N10" s="17">
        <f t="shared" si="3"/>
        <v>75.219105031300728</v>
      </c>
      <c r="O10" s="19">
        <f t="shared" si="4"/>
        <v>0</v>
      </c>
      <c r="P10" s="20">
        <f t="shared" si="5"/>
        <v>-3.728263389751902</v>
      </c>
      <c r="Q10" s="322">
        <f t="shared" si="6"/>
        <v>0.95277533039647588</v>
      </c>
      <c r="R10" s="637">
        <f>Q12</f>
        <v>0.95193662662257039</v>
      </c>
      <c r="S10" s="40">
        <v>8.3333333333333329E-2</v>
      </c>
      <c r="T10" s="40">
        <v>0.2409722222222222</v>
      </c>
      <c r="U10" s="323"/>
      <c r="V10" s="334">
        <f t="shared" ref="V10:V11" si="13">(T10-S10)*24*60</f>
        <v>227</v>
      </c>
      <c r="W10" s="23">
        <f>T10</f>
        <v>0.2409722222222222</v>
      </c>
      <c r="X10" s="23">
        <f>S11</f>
        <v>0.26111111111111107</v>
      </c>
      <c r="Y10" s="23"/>
      <c r="Z10" s="23"/>
      <c r="AA10" s="632"/>
      <c r="AB10" s="632"/>
      <c r="AC10" s="135">
        <v>2</v>
      </c>
      <c r="AD10" s="25"/>
      <c r="AE10" s="19">
        <f t="shared" si="8"/>
        <v>-70.83700440528628</v>
      </c>
      <c r="AF10" s="322">
        <f t="shared" si="9"/>
        <v>0.95277533039647577</v>
      </c>
      <c r="AG10" s="637">
        <f>AF12</f>
        <v>0.95193662662257039</v>
      </c>
    </row>
    <row r="11" spans="1:33" ht="15.75" customHeight="1">
      <c r="A11" s="659" t="s">
        <v>1655</v>
      </c>
      <c r="B11" s="42" t="s">
        <v>96</v>
      </c>
      <c r="C11" s="660" t="s">
        <v>97</v>
      </c>
      <c r="D11" s="661"/>
      <c r="E11" s="42">
        <v>39.799999999999997</v>
      </c>
      <c r="F11" s="335">
        <v>8013</v>
      </c>
      <c r="G11" s="323">
        <f t="shared" si="11"/>
        <v>318917.39999999997</v>
      </c>
      <c r="H11" s="37" t="s">
        <v>91</v>
      </c>
      <c r="I11" s="333">
        <v>17</v>
      </c>
      <c r="J11" s="39">
        <v>1500</v>
      </c>
      <c r="K11" s="17">
        <f t="shared" si="1"/>
        <v>88.235294117647058</v>
      </c>
      <c r="L11" s="333">
        <v>17</v>
      </c>
      <c r="M11" s="18">
        <f t="shared" si="12"/>
        <v>1426.6468842729973</v>
      </c>
      <c r="N11" s="17">
        <f t="shared" si="3"/>
        <v>83.920404957235135</v>
      </c>
      <c r="O11" s="19">
        <f t="shared" si="4"/>
        <v>0</v>
      </c>
      <c r="P11" s="20">
        <f t="shared" si="5"/>
        <v>-4.3148891604119228</v>
      </c>
      <c r="Q11" s="322">
        <f t="shared" si="6"/>
        <v>0.9510979228486649</v>
      </c>
      <c r="R11" s="637"/>
      <c r="S11" s="40">
        <v>0.26111111111111107</v>
      </c>
      <c r="T11" s="40">
        <v>0.4951388888888888</v>
      </c>
      <c r="U11" s="323">
        <f t="shared" ref="U11" si="14">IF(S11=TIME(17,0,0),"",(S11-T10)*24*60)</f>
        <v>28.999999999999979</v>
      </c>
      <c r="V11" s="334">
        <f t="shared" si="13"/>
        <v>336.99999999999994</v>
      </c>
      <c r="W11" s="23"/>
      <c r="X11" s="23"/>
      <c r="Y11" s="23"/>
      <c r="Z11" s="23"/>
      <c r="AA11" s="632"/>
      <c r="AB11" s="632"/>
      <c r="AC11" s="135"/>
      <c r="AD11" s="25"/>
      <c r="AE11" s="19">
        <f t="shared" si="8"/>
        <v>-73.35311572700266</v>
      </c>
      <c r="AF11" s="322">
        <f t="shared" si="9"/>
        <v>0.9510979228486649</v>
      </c>
      <c r="AG11" s="637"/>
    </row>
    <row r="12" spans="1:33" ht="16.5" customHeight="1">
      <c r="A12" s="659" t="s">
        <v>1655</v>
      </c>
      <c r="B12" s="42" t="s">
        <v>1656</v>
      </c>
      <c r="C12" s="638"/>
      <c r="D12" s="638"/>
      <c r="E12" s="324"/>
      <c r="F12" s="39"/>
      <c r="G12" s="18"/>
      <c r="H12" s="335"/>
      <c r="I12" s="29">
        <v>18</v>
      </c>
      <c r="J12" s="39">
        <v>1500</v>
      </c>
      <c r="K12" s="17">
        <f t="shared" si="1"/>
        <v>83.333333333333329</v>
      </c>
      <c r="L12" s="29">
        <v>18</v>
      </c>
      <c r="M12" s="18">
        <f>AVERAGE(M10:M11)</f>
        <v>1427.9049399338555</v>
      </c>
      <c r="N12" s="17">
        <f t="shared" si="3"/>
        <v>79.328052218547526</v>
      </c>
      <c r="O12" s="19">
        <f t="shared" si="4"/>
        <v>0</v>
      </c>
      <c r="P12" s="20">
        <f t="shared" si="5"/>
        <v>-4.0052811147858023</v>
      </c>
      <c r="Q12" s="322">
        <f t="shared" si="6"/>
        <v>0.95193662662257039</v>
      </c>
      <c r="R12" s="637"/>
      <c r="S12" s="40"/>
      <c r="T12" s="40"/>
      <c r="U12" s="17"/>
      <c r="V12" s="334"/>
      <c r="W12" s="17"/>
      <c r="X12" s="17"/>
      <c r="Y12" s="30">
        <f>SUM(Y10:Y11)</f>
        <v>0</v>
      </c>
      <c r="Z12" s="30">
        <f>SUM(Z10:Z11)</f>
        <v>0</v>
      </c>
      <c r="AA12" s="631"/>
      <c r="AB12" s="631"/>
      <c r="AC12" s="30">
        <v>2</v>
      </c>
      <c r="AD12" s="30">
        <f>SUM(AD10:AD11)</f>
        <v>0</v>
      </c>
      <c r="AE12" s="19">
        <f t="shared" si="8"/>
        <v>-72.09506006614447</v>
      </c>
      <c r="AF12" s="322">
        <f t="shared" si="9"/>
        <v>0.95193662662257039</v>
      </c>
      <c r="AG12" s="637"/>
    </row>
    <row r="13" spans="1:33" ht="16.5" customHeight="1">
      <c r="A13" s="657" t="s">
        <v>1657</v>
      </c>
      <c r="B13" s="335" t="s">
        <v>101</v>
      </c>
      <c r="C13" s="653" t="s">
        <v>102</v>
      </c>
      <c r="D13" s="653"/>
      <c r="E13" s="42">
        <v>31.11</v>
      </c>
      <c r="F13" s="335">
        <v>3835</v>
      </c>
      <c r="G13" s="323">
        <f t="shared" ref="G13:G19" si="15">E13*F13</f>
        <v>119306.84999999999</v>
      </c>
      <c r="H13" s="37" t="s">
        <v>91</v>
      </c>
      <c r="I13" s="333">
        <v>14</v>
      </c>
      <c r="J13" s="39">
        <v>2000</v>
      </c>
      <c r="K13" s="17">
        <f t="shared" si="1"/>
        <v>142.85714285714286</v>
      </c>
      <c r="L13" s="333">
        <v>14</v>
      </c>
      <c r="M13" s="18">
        <f t="shared" ref="M13:M19" si="16">F13/V13*60</f>
        <v>1901.6528925619834</v>
      </c>
      <c r="N13" s="17">
        <f t="shared" si="3"/>
        <v>135.83234946871309</v>
      </c>
      <c r="O13" s="19">
        <f t="shared" si="4"/>
        <v>0</v>
      </c>
      <c r="P13" s="20">
        <f t="shared" si="5"/>
        <v>-7.0247933884297709</v>
      </c>
      <c r="Q13" s="322">
        <f t="shared" si="6"/>
        <v>0.95082644628099156</v>
      </c>
      <c r="R13" s="637">
        <f>Q20</f>
        <v>0.95719423677573767</v>
      </c>
      <c r="S13" s="40">
        <v>0.20833333333333334</v>
      </c>
      <c r="T13" s="40">
        <v>0.29236111111111113</v>
      </c>
      <c r="U13" s="323"/>
      <c r="V13" s="334">
        <f t="shared" ref="V13:V19" si="17">(T13-S13)*24*60</f>
        <v>121</v>
      </c>
      <c r="W13" s="23"/>
      <c r="X13" s="23"/>
      <c r="Y13" s="28"/>
      <c r="Z13" s="28"/>
      <c r="AA13" s="632"/>
      <c r="AB13" s="632"/>
      <c r="AC13" s="135">
        <v>7</v>
      </c>
      <c r="AD13" s="25"/>
      <c r="AE13" s="19">
        <f t="shared" si="8"/>
        <v>-98.347107438016565</v>
      </c>
      <c r="AF13" s="322">
        <f t="shared" si="9"/>
        <v>0.95082644628099167</v>
      </c>
      <c r="AG13" s="637">
        <f>AF20</f>
        <v>0.95719423677573778</v>
      </c>
    </row>
    <row r="14" spans="1:33" ht="16.5" customHeight="1">
      <c r="A14" s="658" t="s">
        <v>1657</v>
      </c>
      <c r="B14" s="335" t="s">
        <v>103</v>
      </c>
      <c r="C14" s="653" t="s">
        <v>105</v>
      </c>
      <c r="D14" s="653"/>
      <c r="E14" s="42">
        <v>41</v>
      </c>
      <c r="F14" s="335">
        <v>1977</v>
      </c>
      <c r="G14" s="323">
        <f t="shared" si="15"/>
        <v>81057</v>
      </c>
      <c r="H14" s="37" t="s">
        <v>91</v>
      </c>
      <c r="I14" s="333">
        <v>26</v>
      </c>
      <c r="J14" s="39">
        <v>1500</v>
      </c>
      <c r="K14" s="17">
        <f t="shared" si="1"/>
        <v>57.692307692307693</v>
      </c>
      <c r="L14" s="333">
        <v>26</v>
      </c>
      <c r="M14" s="18">
        <f t="shared" si="16"/>
        <v>1429.1566265060237</v>
      </c>
      <c r="N14" s="17">
        <f t="shared" si="3"/>
        <v>54.967562557923991</v>
      </c>
      <c r="O14" s="19">
        <f t="shared" si="4"/>
        <v>0</v>
      </c>
      <c r="P14" s="20">
        <f t="shared" si="5"/>
        <v>-2.7247451343837028</v>
      </c>
      <c r="Q14" s="322">
        <f t="shared" si="6"/>
        <v>0.95277108433734914</v>
      </c>
      <c r="R14" s="637"/>
      <c r="S14" s="40">
        <v>0.29583333333333334</v>
      </c>
      <c r="T14" s="40">
        <v>0.35347222222222224</v>
      </c>
      <c r="U14" s="323">
        <f t="shared" ref="U14:U19" si="18">IF(S14=TIME(17,0,0),"",(S14-T13)*24*60)</f>
        <v>4.9999999999999822</v>
      </c>
      <c r="V14" s="334">
        <f t="shared" si="17"/>
        <v>83.000000000000028</v>
      </c>
      <c r="W14" s="23"/>
      <c r="X14" s="23"/>
      <c r="Y14" s="23"/>
      <c r="Z14" s="23"/>
      <c r="AA14" s="632"/>
      <c r="AB14" s="632"/>
      <c r="AC14" s="135"/>
      <c r="AD14" s="25"/>
      <c r="AE14" s="19">
        <f t="shared" si="8"/>
        <v>-70.843373493976287</v>
      </c>
      <c r="AF14" s="322">
        <f t="shared" si="9"/>
        <v>0.95277108433734914</v>
      </c>
      <c r="AG14" s="637"/>
    </row>
    <row r="15" spans="1:33" ht="16.5" customHeight="1">
      <c r="A15" s="658" t="s">
        <v>1657</v>
      </c>
      <c r="B15" s="335" t="s">
        <v>96</v>
      </c>
      <c r="C15" s="653" t="s">
        <v>99</v>
      </c>
      <c r="D15" s="653"/>
      <c r="E15" s="42">
        <v>39.520000000000003</v>
      </c>
      <c r="F15" s="335">
        <v>2440</v>
      </c>
      <c r="G15" s="323">
        <f t="shared" si="15"/>
        <v>96428.800000000003</v>
      </c>
      <c r="H15" s="37" t="s">
        <v>91</v>
      </c>
      <c r="I15" s="333">
        <v>19</v>
      </c>
      <c r="J15" s="39">
        <v>1500</v>
      </c>
      <c r="K15" s="17">
        <f t="shared" si="1"/>
        <v>78.94736842105263</v>
      </c>
      <c r="L15" s="333">
        <v>19</v>
      </c>
      <c r="M15" s="18">
        <f t="shared" si="16"/>
        <v>1435.2941176470581</v>
      </c>
      <c r="N15" s="17">
        <f t="shared" si="3"/>
        <v>75.541795665634638</v>
      </c>
      <c r="O15" s="19">
        <f t="shared" si="4"/>
        <v>0</v>
      </c>
      <c r="P15" s="20">
        <f t="shared" si="5"/>
        <v>-3.4055727554179924</v>
      </c>
      <c r="Q15" s="322">
        <f t="shared" si="6"/>
        <v>0.95686274509803881</v>
      </c>
      <c r="R15" s="637"/>
      <c r="S15" s="40">
        <v>0.35694444444444445</v>
      </c>
      <c r="T15" s="40">
        <v>0.42777777777777781</v>
      </c>
      <c r="U15" s="323">
        <f t="shared" si="18"/>
        <v>4.9999999999999822</v>
      </c>
      <c r="V15" s="334">
        <f t="shared" si="17"/>
        <v>102.00000000000004</v>
      </c>
      <c r="W15" s="23"/>
      <c r="X15" s="23"/>
      <c r="Y15" s="23"/>
      <c r="Z15" s="23"/>
      <c r="AA15" s="632"/>
      <c r="AB15" s="632"/>
      <c r="AC15" s="135"/>
      <c r="AD15" s="25"/>
      <c r="AE15" s="19">
        <f t="shared" si="8"/>
        <v>-64.705882352941899</v>
      </c>
      <c r="AF15" s="322">
        <f t="shared" si="9"/>
        <v>0.9568627450980387</v>
      </c>
      <c r="AG15" s="637"/>
    </row>
    <row r="16" spans="1:33" ht="16.5" customHeight="1">
      <c r="A16" s="658" t="s">
        <v>1657</v>
      </c>
      <c r="B16" s="335" t="s">
        <v>96</v>
      </c>
      <c r="C16" s="653" t="s">
        <v>98</v>
      </c>
      <c r="D16" s="653"/>
      <c r="E16" s="42">
        <v>39.46</v>
      </c>
      <c r="F16" s="335">
        <v>2843</v>
      </c>
      <c r="G16" s="323">
        <f t="shared" si="15"/>
        <v>112184.78</v>
      </c>
      <c r="H16" s="37" t="s">
        <v>91</v>
      </c>
      <c r="I16" s="333">
        <v>15</v>
      </c>
      <c r="J16" s="39">
        <v>1500</v>
      </c>
      <c r="K16" s="17">
        <f t="shared" si="1"/>
        <v>100</v>
      </c>
      <c r="L16" s="333">
        <v>15</v>
      </c>
      <c r="M16" s="18">
        <f t="shared" si="16"/>
        <v>1433.4453781512598</v>
      </c>
      <c r="N16" s="17">
        <f t="shared" si="3"/>
        <v>95.563025210083978</v>
      </c>
      <c r="O16" s="19">
        <f t="shared" si="4"/>
        <v>0</v>
      </c>
      <c r="P16" s="20">
        <f t="shared" si="5"/>
        <v>-4.4369747899160217</v>
      </c>
      <c r="Q16" s="322">
        <f t="shared" si="6"/>
        <v>0.95563025210083974</v>
      </c>
      <c r="R16" s="637"/>
      <c r="S16" s="40">
        <v>0.43333333333333335</v>
      </c>
      <c r="T16" s="40">
        <v>0.51597222222222228</v>
      </c>
      <c r="U16" s="323">
        <f t="shared" si="18"/>
        <v>7.9999999999999716</v>
      </c>
      <c r="V16" s="334">
        <f t="shared" si="17"/>
        <v>119.00000000000006</v>
      </c>
      <c r="W16" s="23"/>
      <c r="X16" s="23"/>
      <c r="Y16" s="23"/>
      <c r="Z16" s="23"/>
      <c r="AA16" s="632"/>
      <c r="AB16" s="632"/>
      <c r="AC16" s="135"/>
      <c r="AD16" s="25"/>
      <c r="AE16" s="19">
        <f t="shared" si="8"/>
        <v>-66.554621848740226</v>
      </c>
      <c r="AF16" s="322">
        <f t="shared" si="9"/>
        <v>0.95563025210083985</v>
      </c>
      <c r="AG16" s="637"/>
    </row>
    <row r="17" spans="1:33" ht="16.5" customHeight="1">
      <c r="A17" s="658" t="s">
        <v>1657</v>
      </c>
      <c r="B17" s="335" t="s">
        <v>92</v>
      </c>
      <c r="C17" s="653" t="s">
        <v>108</v>
      </c>
      <c r="D17" s="653"/>
      <c r="E17" s="42">
        <v>54.5</v>
      </c>
      <c r="F17" s="335">
        <v>1691</v>
      </c>
      <c r="G17" s="323">
        <f t="shared" si="15"/>
        <v>92159.5</v>
      </c>
      <c r="H17" s="37" t="s">
        <v>91</v>
      </c>
      <c r="I17" s="333">
        <v>19</v>
      </c>
      <c r="J17" s="39">
        <v>1500</v>
      </c>
      <c r="K17" s="17">
        <f t="shared" si="1"/>
        <v>78.94736842105263</v>
      </c>
      <c r="L17" s="333">
        <v>19</v>
      </c>
      <c r="M17" s="18">
        <f t="shared" si="16"/>
        <v>1429.0140845070407</v>
      </c>
      <c r="N17" s="17">
        <f t="shared" si="3"/>
        <v>75.211267605633722</v>
      </c>
      <c r="O17" s="19">
        <f t="shared" si="4"/>
        <v>0</v>
      </c>
      <c r="P17" s="20">
        <f t="shared" si="5"/>
        <v>-3.7361008154189079</v>
      </c>
      <c r="Q17" s="322">
        <f t="shared" si="6"/>
        <v>0.95267605633802721</v>
      </c>
      <c r="R17" s="637"/>
      <c r="S17" s="40">
        <v>0.70833333333333337</v>
      </c>
      <c r="T17" s="40">
        <v>0.75763888888888897</v>
      </c>
      <c r="U17" s="323" t="str">
        <f t="shared" si="18"/>
        <v/>
      </c>
      <c r="V17" s="334">
        <f t="shared" si="17"/>
        <v>71.000000000000071</v>
      </c>
      <c r="W17" s="23"/>
      <c r="X17" s="23"/>
      <c r="Y17" s="23"/>
      <c r="Z17" s="23"/>
      <c r="AA17" s="632"/>
      <c r="AB17" s="632"/>
      <c r="AC17" s="135"/>
      <c r="AD17" s="25"/>
      <c r="AE17" s="19">
        <f t="shared" si="8"/>
        <v>-70.985915492959293</v>
      </c>
      <c r="AF17" s="322">
        <f t="shared" si="9"/>
        <v>0.9526760563380271</v>
      </c>
      <c r="AG17" s="637"/>
    </row>
    <row r="18" spans="1:33" ht="16.5" customHeight="1">
      <c r="A18" s="658" t="s">
        <v>1657</v>
      </c>
      <c r="B18" s="335" t="s">
        <v>92</v>
      </c>
      <c r="C18" s="331" t="s">
        <v>107</v>
      </c>
      <c r="D18" s="332"/>
      <c r="E18" s="42">
        <v>50.67</v>
      </c>
      <c r="F18" s="335">
        <v>1985</v>
      </c>
      <c r="G18" s="323">
        <f t="shared" si="15"/>
        <v>100579.95</v>
      </c>
      <c r="H18" s="37" t="s">
        <v>91</v>
      </c>
      <c r="I18" s="333">
        <v>17</v>
      </c>
      <c r="J18" s="39">
        <v>2000</v>
      </c>
      <c r="K18" s="17">
        <f t="shared" si="1"/>
        <v>117.64705882352941</v>
      </c>
      <c r="L18" s="333">
        <v>17</v>
      </c>
      <c r="M18" s="18">
        <f t="shared" si="16"/>
        <v>1920.9677419354855</v>
      </c>
      <c r="N18" s="17">
        <f t="shared" si="3"/>
        <v>112.99810246679327</v>
      </c>
      <c r="O18" s="19">
        <f t="shared" si="4"/>
        <v>0</v>
      </c>
      <c r="P18" s="20">
        <f t="shared" si="5"/>
        <v>-4.6489563567361358</v>
      </c>
      <c r="Q18" s="322">
        <f t="shared" si="6"/>
        <v>0.96048387096774279</v>
      </c>
      <c r="R18" s="637"/>
      <c r="S18" s="40">
        <v>0.76250000000000007</v>
      </c>
      <c r="T18" s="40">
        <v>0.80555555555555558</v>
      </c>
      <c r="U18" s="323">
        <f t="shared" si="18"/>
        <v>6.9999999999999751</v>
      </c>
      <c r="V18" s="334">
        <f t="shared" si="17"/>
        <v>61.999999999999943</v>
      </c>
      <c r="W18" s="23"/>
      <c r="X18" s="23"/>
      <c r="Y18" s="26"/>
      <c r="Z18" s="26"/>
      <c r="AA18" s="329"/>
      <c r="AB18" s="330"/>
      <c r="AC18" s="135"/>
      <c r="AD18" s="25"/>
      <c r="AE18" s="19">
        <f t="shared" si="8"/>
        <v>-79.032258064514508</v>
      </c>
      <c r="AF18" s="322">
        <f t="shared" si="9"/>
        <v>0.96048387096774279</v>
      </c>
      <c r="AG18" s="637"/>
    </row>
    <row r="19" spans="1:33" ht="16.5" customHeight="1">
      <c r="A19" s="658" t="s">
        <v>1657</v>
      </c>
      <c r="B19" s="335" t="s">
        <v>92</v>
      </c>
      <c r="C19" s="331" t="s">
        <v>95</v>
      </c>
      <c r="D19" s="332"/>
      <c r="E19" s="42">
        <v>50.67</v>
      </c>
      <c r="F19" s="335">
        <v>1614</v>
      </c>
      <c r="G19" s="323">
        <f t="shared" si="15"/>
        <v>81781.38</v>
      </c>
      <c r="H19" s="37" t="s">
        <v>91</v>
      </c>
      <c r="I19" s="333">
        <v>15</v>
      </c>
      <c r="J19" s="39">
        <v>2000</v>
      </c>
      <c r="K19" s="17">
        <f t="shared" si="1"/>
        <v>133.33333333333334</v>
      </c>
      <c r="L19" s="333">
        <v>15</v>
      </c>
      <c r="M19" s="18">
        <f t="shared" si="16"/>
        <v>1936.8000000000004</v>
      </c>
      <c r="N19" s="17">
        <f t="shared" si="3"/>
        <v>129.12000000000003</v>
      </c>
      <c r="O19" s="19">
        <f t="shared" si="4"/>
        <v>0</v>
      </c>
      <c r="P19" s="20">
        <f t="shared" si="5"/>
        <v>-4.2133333333333098</v>
      </c>
      <c r="Q19" s="322">
        <f t="shared" si="6"/>
        <v>0.96840000000000015</v>
      </c>
      <c r="R19" s="637"/>
      <c r="S19" s="40">
        <v>0.81111111111111112</v>
      </c>
      <c r="T19" s="40">
        <v>0.84583333333333333</v>
      </c>
      <c r="U19" s="323">
        <f t="shared" si="18"/>
        <v>7.9999999999999716</v>
      </c>
      <c r="V19" s="334">
        <f t="shared" si="17"/>
        <v>49.999999999999986</v>
      </c>
      <c r="W19" s="23"/>
      <c r="X19" s="23"/>
      <c r="Y19" s="26"/>
      <c r="Z19" s="26"/>
      <c r="AA19" s="329"/>
      <c r="AB19" s="330"/>
      <c r="AC19" s="135"/>
      <c r="AD19" s="25"/>
      <c r="AE19" s="19">
        <f t="shared" si="8"/>
        <v>-63.199999999999591</v>
      </c>
      <c r="AF19" s="322">
        <f t="shared" si="9"/>
        <v>0.96840000000000015</v>
      </c>
      <c r="AG19" s="637"/>
    </row>
    <row r="20" spans="1:33" ht="16.5" customHeight="1">
      <c r="A20" s="658" t="s">
        <v>1657</v>
      </c>
      <c r="B20" s="42" t="s">
        <v>1656</v>
      </c>
      <c r="C20" s="638"/>
      <c r="D20" s="638"/>
      <c r="E20" s="324"/>
      <c r="F20" s="44"/>
      <c r="G20" s="17"/>
      <c r="H20" s="335"/>
      <c r="I20" s="29">
        <v>17.857142857142858</v>
      </c>
      <c r="J20" s="39">
        <v>1714.2857142857142</v>
      </c>
      <c r="K20" s="17">
        <f t="shared" si="1"/>
        <v>96</v>
      </c>
      <c r="L20" s="29">
        <v>17.857142857142858</v>
      </c>
      <c r="M20" s="18">
        <f>AVERAGE(M13:M19)</f>
        <v>1640.9044059012647</v>
      </c>
      <c r="N20" s="17">
        <f t="shared" si="3"/>
        <v>91.89064673047082</v>
      </c>
      <c r="O20" s="19">
        <f t="shared" si="4"/>
        <v>0</v>
      </c>
      <c r="P20" s="20">
        <f t="shared" si="5"/>
        <v>-4.1093532695291799</v>
      </c>
      <c r="Q20" s="322">
        <f t="shared" si="6"/>
        <v>0.95719423677573767</v>
      </c>
      <c r="R20" s="637"/>
      <c r="S20" s="40"/>
      <c r="T20" s="40"/>
      <c r="U20" s="323"/>
      <c r="V20" s="334"/>
      <c r="W20" s="17"/>
      <c r="X20" s="17"/>
      <c r="Y20" s="30">
        <f>SUM(Y13:Y19)</f>
        <v>0</v>
      </c>
      <c r="Z20" s="30">
        <f>SUM(Z13:Z19)</f>
        <v>0</v>
      </c>
      <c r="AA20" s="631"/>
      <c r="AB20" s="631"/>
      <c r="AC20" s="30">
        <v>7</v>
      </c>
      <c r="AD20" s="30">
        <f>SUM(AD13:AD19)</f>
        <v>0</v>
      </c>
      <c r="AE20" s="19">
        <f t="shared" si="8"/>
        <v>-73.38130838444954</v>
      </c>
      <c r="AF20" s="322">
        <f t="shared" si="9"/>
        <v>0.95719423677573778</v>
      </c>
      <c r="AG20" s="637"/>
    </row>
    <row r="21" spans="1:33" ht="15.75" customHeight="1">
      <c r="A21" s="655" t="s">
        <v>1658</v>
      </c>
      <c r="B21" s="42" t="s">
        <v>92</v>
      </c>
      <c r="C21" s="653" t="s">
        <v>110</v>
      </c>
      <c r="D21" s="653"/>
      <c r="E21" s="42">
        <v>50.67</v>
      </c>
      <c r="F21" s="335">
        <v>1949</v>
      </c>
      <c r="G21" s="323">
        <f t="shared" ref="G21:G27" si="19">E21*F21</f>
        <v>98755.83</v>
      </c>
      <c r="H21" s="37" t="s">
        <v>91</v>
      </c>
      <c r="I21" s="333">
        <v>17</v>
      </c>
      <c r="J21" s="39">
        <v>2000</v>
      </c>
      <c r="K21" s="17">
        <f t="shared" si="1"/>
        <v>117.64705882352941</v>
      </c>
      <c r="L21" s="333">
        <v>17</v>
      </c>
      <c r="M21" s="18">
        <f t="shared" ref="M21:M27" si="20">F21/V21*60</f>
        <v>1917.0491803278692</v>
      </c>
      <c r="N21" s="17">
        <f t="shared" si="3"/>
        <v>112.76759884281583</v>
      </c>
      <c r="O21" s="19">
        <f t="shared" si="4"/>
        <v>0</v>
      </c>
      <c r="P21" s="20">
        <f t="shared" si="5"/>
        <v>-4.8794599807135768</v>
      </c>
      <c r="Q21" s="322">
        <f t="shared" si="6"/>
        <v>0.95852459016393454</v>
      </c>
      <c r="R21" s="637">
        <f>Q28</f>
        <v>0.95720028892460773</v>
      </c>
      <c r="S21" s="40">
        <v>0.20833333333333334</v>
      </c>
      <c r="T21" s="40">
        <v>0.25069444444444444</v>
      </c>
      <c r="U21" s="323"/>
      <c r="V21" s="334">
        <f t="shared" ref="V21:V27" si="21">(T21-S21)*24*60</f>
        <v>60.999999999999986</v>
      </c>
      <c r="W21" s="23"/>
      <c r="X21" s="23"/>
      <c r="Y21" s="28"/>
      <c r="Z21" s="28"/>
      <c r="AA21" s="632"/>
      <c r="AB21" s="632"/>
      <c r="AC21" s="135">
        <v>7</v>
      </c>
      <c r="AD21" s="25"/>
      <c r="AE21" s="19">
        <f t="shared" si="8"/>
        <v>-82.95081967213082</v>
      </c>
      <c r="AF21" s="322">
        <f t="shared" si="9"/>
        <v>0.95852459016393454</v>
      </c>
      <c r="AG21" s="637">
        <f>AF28</f>
        <v>0.95720028892460773</v>
      </c>
    </row>
    <row r="22" spans="1:33" ht="15.75" customHeight="1">
      <c r="A22" s="656" t="s">
        <v>1658</v>
      </c>
      <c r="B22" s="42" t="s">
        <v>92</v>
      </c>
      <c r="C22" s="653" t="s">
        <v>111</v>
      </c>
      <c r="D22" s="653"/>
      <c r="E22" s="42">
        <v>57.73</v>
      </c>
      <c r="F22" s="335">
        <v>2886</v>
      </c>
      <c r="G22" s="323">
        <f t="shared" si="19"/>
        <v>166608.78</v>
      </c>
      <c r="H22" s="37" t="s">
        <v>91</v>
      </c>
      <c r="I22" s="333">
        <v>14</v>
      </c>
      <c r="J22" s="39">
        <v>2000</v>
      </c>
      <c r="K22" s="17">
        <f t="shared" si="1"/>
        <v>142.85714285714286</v>
      </c>
      <c r="L22" s="333">
        <v>14</v>
      </c>
      <c r="M22" s="18">
        <f t="shared" si="20"/>
        <v>1902.8571428571429</v>
      </c>
      <c r="N22" s="17">
        <f t="shared" si="3"/>
        <v>135.91836734693877</v>
      </c>
      <c r="O22" s="19">
        <f t="shared" si="4"/>
        <v>0</v>
      </c>
      <c r="P22" s="20">
        <f t="shared" si="5"/>
        <v>-6.9387755102040956</v>
      </c>
      <c r="Q22" s="322">
        <f t="shared" si="6"/>
        <v>0.95142857142857129</v>
      </c>
      <c r="R22" s="637"/>
      <c r="S22" s="40">
        <v>0.25486111111111109</v>
      </c>
      <c r="T22" s="40">
        <v>0.31805555555555554</v>
      </c>
      <c r="U22" s="323">
        <f t="shared" ref="U22:U27" si="22">IF(S22=TIME(17,0,0),"",(S22-T21)*24*60)</f>
        <v>5.9999999999999787</v>
      </c>
      <c r="V22" s="334">
        <f t="shared" si="21"/>
        <v>91</v>
      </c>
      <c r="W22" s="23"/>
      <c r="X22" s="323"/>
      <c r="Y22" s="323"/>
      <c r="Z22" s="323"/>
      <c r="AA22" s="632"/>
      <c r="AB22" s="632"/>
      <c r="AC22" s="135"/>
      <c r="AD22" s="25"/>
      <c r="AE22" s="19">
        <f t="shared" si="8"/>
        <v>-97.14285714285711</v>
      </c>
      <c r="AF22" s="322">
        <f t="shared" si="9"/>
        <v>0.9514285714285714</v>
      </c>
      <c r="AG22" s="637"/>
    </row>
    <row r="23" spans="1:33" ht="15.75" customHeight="1">
      <c r="A23" s="656" t="s">
        <v>1658</v>
      </c>
      <c r="B23" s="42" t="s">
        <v>92</v>
      </c>
      <c r="C23" s="653" t="s">
        <v>112</v>
      </c>
      <c r="D23" s="653"/>
      <c r="E23" s="42">
        <v>53.27</v>
      </c>
      <c r="F23" s="335">
        <v>1537</v>
      </c>
      <c r="G23" s="323">
        <f t="shared" si="19"/>
        <v>81875.990000000005</v>
      </c>
      <c r="H23" s="37" t="s">
        <v>91</v>
      </c>
      <c r="I23" s="333">
        <v>16</v>
      </c>
      <c r="J23" s="39">
        <v>2000</v>
      </c>
      <c r="K23" s="17">
        <f t="shared" si="1"/>
        <v>125</v>
      </c>
      <c r="L23" s="333">
        <v>16</v>
      </c>
      <c r="M23" s="18">
        <f t="shared" si="20"/>
        <v>1921.2500000000005</v>
      </c>
      <c r="N23" s="17">
        <f t="shared" si="3"/>
        <v>120.07812500000003</v>
      </c>
      <c r="O23" s="19">
        <f t="shared" si="4"/>
        <v>0</v>
      </c>
      <c r="P23" s="20">
        <f t="shared" si="5"/>
        <v>-4.9218749999999716</v>
      </c>
      <c r="Q23" s="322">
        <f t="shared" si="6"/>
        <v>0.96062500000000017</v>
      </c>
      <c r="R23" s="637"/>
      <c r="S23" s="40">
        <v>0.32152777777777775</v>
      </c>
      <c r="T23" s="40">
        <v>0.35486111111111107</v>
      </c>
      <c r="U23" s="323">
        <f t="shared" si="22"/>
        <v>4.9999999999999822</v>
      </c>
      <c r="V23" s="334">
        <f t="shared" si="21"/>
        <v>47.999999999999986</v>
      </c>
      <c r="W23" s="23"/>
      <c r="X23" s="323"/>
      <c r="Y23" s="323"/>
      <c r="Z23" s="323"/>
      <c r="AA23" s="632"/>
      <c r="AB23" s="632"/>
      <c r="AC23" s="135"/>
      <c r="AD23" s="25"/>
      <c r="AE23" s="19">
        <f t="shared" si="8"/>
        <v>-78.749999999999545</v>
      </c>
      <c r="AF23" s="322">
        <f t="shared" si="9"/>
        <v>0.96062500000000017</v>
      </c>
      <c r="AG23" s="637"/>
    </row>
    <row r="24" spans="1:33" ht="15.75" customHeight="1">
      <c r="A24" s="656" t="s">
        <v>1658</v>
      </c>
      <c r="B24" s="42" t="s">
        <v>92</v>
      </c>
      <c r="C24" s="653" t="s">
        <v>113</v>
      </c>
      <c r="D24" s="653"/>
      <c r="E24" s="42">
        <v>56.43</v>
      </c>
      <c r="F24" s="335">
        <v>1653</v>
      </c>
      <c r="G24" s="323">
        <f t="shared" si="19"/>
        <v>93278.79</v>
      </c>
      <c r="H24" s="37" t="s">
        <v>91</v>
      </c>
      <c r="I24" s="333">
        <v>13</v>
      </c>
      <c r="J24" s="39">
        <v>2000</v>
      </c>
      <c r="K24" s="17">
        <f t="shared" si="1"/>
        <v>153.84615384615384</v>
      </c>
      <c r="L24" s="333">
        <v>13</v>
      </c>
      <c r="M24" s="18">
        <f t="shared" si="20"/>
        <v>1907.3076923076933</v>
      </c>
      <c r="N24" s="17">
        <f t="shared" si="3"/>
        <v>146.71597633136102</v>
      </c>
      <c r="O24" s="19">
        <f t="shared" si="4"/>
        <v>0</v>
      </c>
      <c r="P24" s="20">
        <f t="shared" si="5"/>
        <v>-7.1301775147928197</v>
      </c>
      <c r="Q24" s="322">
        <f t="shared" si="6"/>
        <v>0.95365384615384663</v>
      </c>
      <c r="R24" s="637"/>
      <c r="S24" s="40">
        <v>0.70833333333333337</v>
      </c>
      <c r="T24" s="40">
        <v>0.74444444444444446</v>
      </c>
      <c r="U24" s="323" t="str">
        <f t="shared" si="22"/>
        <v/>
      </c>
      <c r="V24" s="334">
        <f t="shared" si="21"/>
        <v>51.999999999999972</v>
      </c>
      <c r="W24" s="23"/>
      <c r="X24" s="323"/>
      <c r="Y24" s="323"/>
      <c r="Z24" s="323"/>
      <c r="AA24" s="632"/>
      <c r="AB24" s="632"/>
      <c r="AC24" s="135"/>
      <c r="AD24" s="25"/>
      <c r="AE24" s="19">
        <f t="shared" si="8"/>
        <v>-92.692307692306713</v>
      </c>
      <c r="AF24" s="322">
        <f t="shared" si="9"/>
        <v>0.95365384615384663</v>
      </c>
      <c r="AG24" s="637"/>
    </row>
    <row r="25" spans="1:33" ht="15.75" customHeight="1">
      <c r="A25" s="656" t="s">
        <v>1658</v>
      </c>
      <c r="B25" s="42" t="s">
        <v>92</v>
      </c>
      <c r="C25" s="653" t="s">
        <v>140</v>
      </c>
      <c r="D25" s="653"/>
      <c r="E25" s="42">
        <v>51.06</v>
      </c>
      <c r="F25" s="335">
        <v>1000</v>
      </c>
      <c r="G25" s="323">
        <f t="shared" si="19"/>
        <v>51060</v>
      </c>
      <c r="H25" s="37">
        <v>2</v>
      </c>
      <c r="I25" s="333">
        <v>13</v>
      </c>
      <c r="J25" s="39">
        <v>2000</v>
      </c>
      <c r="K25" s="17">
        <f t="shared" si="1"/>
        <v>153.84615384615384</v>
      </c>
      <c r="L25" s="333">
        <v>13</v>
      </c>
      <c r="M25" s="18">
        <f t="shared" si="20"/>
        <v>1935.483870967739</v>
      </c>
      <c r="N25" s="17">
        <f t="shared" si="3"/>
        <v>148.88337468982607</v>
      </c>
      <c r="O25" s="19">
        <f t="shared" si="4"/>
        <v>0</v>
      </c>
      <c r="P25" s="20">
        <f t="shared" si="5"/>
        <v>-4.9627791563277697</v>
      </c>
      <c r="Q25" s="322">
        <f t="shared" si="6"/>
        <v>0.96774193548386944</v>
      </c>
      <c r="R25" s="637"/>
      <c r="S25" s="40">
        <v>0.75</v>
      </c>
      <c r="T25" s="40">
        <v>0.77152777777777781</v>
      </c>
      <c r="U25" s="323">
        <f t="shared" si="22"/>
        <v>7.9999999999999716</v>
      </c>
      <c r="V25" s="334">
        <f t="shared" si="21"/>
        <v>31.00000000000005</v>
      </c>
      <c r="W25" s="23"/>
      <c r="X25" s="23"/>
      <c r="Y25" s="323"/>
      <c r="Z25" s="323"/>
      <c r="AA25" s="632"/>
      <c r="AB25" s="632"/>
      <c r="AC25" s="135"/>
      <c r="AD25" s="25"/>
      <c r="AE25" s="19">
        <f t="shared" si="8"/>
        <v>-64.516129032261006</v>
      </c>
      <c r="AF25" s="322">
        <f t="shared" si="9"/>
        <v>0.96774193548386944</v>
      </c>
      <c r="AG25" s="637"/>
    </row>
    <row r="26" spans="1:33" ht="15.75" customHeight="1">
      <c r="A26" s="656" t="s">
        <v>1658</v>
      </c>
      <c r="B26" s="42" t="s">
        <v>92</v>
      </c>
      <c r="C26" s="653" t="s">
        <v>114</v>
      </c>
      <c r="D26" s="653"/>
      <c r="E26" s="42">
        <v>54.09</v>
      </c>
      <c r="F26" s="335">
        <v>2739</v>
      </c>
      <c r="G26" s="323">
        <f t="shared" si="19"/>
        <v>148152.51</v>
      </c>
      <c r="H26" s="37" t="s">
        <v>91</v>
      </c>
      <c r="I26" s="333">
        <v>18</v>
      </c>
      <c r="J26" s="39">
        <v>2000</v>
      </c>
      <c r="K26" s="17">
        <f t="shared" si="1"/>
        <v>111.11111111111111</v>
      </c>
      <c r="L26" s="333">
        <v>18</v>
      </c>
      <c r="M26" s="18">
        <f t="shared" si="20"/>
        <v>1910.9302325581393</v>
      </c>
      <c r="N26" s="17">
        <f t="shared" si="3"/>
        <v>106.16279069767441</v>
      </c>
      <c r="O26" s="19">
        <f t="shared" si="4"/>
        <v>0</v>
      </c>
      <c r="P26" s="20">
        <f t="shared" si="5"/>
        <v>-4.9483204134367043</v>
      </c>
      <c r="Q26" s="322">
        <f t="shared" si="6"/>
        <v>0.95546511627906971</v>
      </c>
      <c r="R26" s="637"/>
      <c r="S26" s="40">
        <v>0.77708333333333335</v>
      </c>
      <c r="T26" s="40">
        <v>0.83680555555555558</v>
      </c>
      <c r="U26" s="323">
        <f t="shared" si="22"/>
        <v>7.9999999999999716</v>
      </c>
      <c r="V26" s="334">
        <f t="shared" si="21"/>
        <v>86.000000000000014</v>
      </c>
      <c r="W26" s="23">
        <f>T26</f>
        <v>0.83680555555555558</v>
      </c>
      <c r="X26" s="23">
        <f>S27</f>
        <v>0.87569444444444444</v>
      </c>
      <c r="Y26" s="28"/>
      <c r="Z26" s="28"/>
      <c r="AA26" s="632"/>
      <c r="AB26" s="632"/>
      <c r="AC26" s="135"/>
      <c r="AD26" s="25"/>
      <c r="AE26" s="19">
        <f t="shared" si="8"/>
        <v>-89.069767441860677</v>
      </c>
      <c r="AF26" s="322">
        <f t="shared" si="9"/>
        <v>0.95546511627906971</v>
      </c>
      <c r="AG26" s="637"/>
    </row>
    <row r="27" spans="1:33" ht="15.75" customHeight="1">
      <c r="A27" s="656" t="s">
        <v>1658</v>
      </c>
      <c r="B27" s="42" t="s">
        <v>92</v>
      </c>
      <c r="C27" s="679" t="s">
        <v>140</v>
      </c>
      <c r="D27" s="680"/>
      <c r="E27" s="42">
        <v>51.06</v>
      </c>
      <c r="F27" s="335">
        <v>2573</v>
      </c>
      <c r="G27" s="323">
        <f t="shared" si="19"/>
        <v>131377.38</v>
      </c>
      <c r="H27" s="37" t="s">
        <v>91</v>
      </c>
      <c r="I27" s="333">
        <v>13</v>
      </c>
      <c r="J27" s="39">
        <v>2000</v>
      </c>
      <c r="K27" s="17">
        <f t="shared" si="1"/>
        <v>153.84615384615384</v>
      </c>
      <c r="L27" s="333">
        <v>13</v>
      </c>
      <c r="M27" s="18">
        <f t="shared" si="20"/>
        <v>1905.9259259259252</v>
      </c>
      <c r="N27" s="17">
        <f t="shared" si="3"/>
        <v>146.60968660968655</v>
      </c>
      <c r="O27" s="19">
        <f t="shared" si="4"/>
        <v>0</v>
      </c>
      <c r="P27" s="20">
        <f t="shared" si="5"/>
        <v>-7.2364672364672913</v>
      </c>
      <c r="Q27" s="322">
        <f t="shared" si="6"/>
        <v>0.95296296296296257</v>
      </c>
      <c r="R27" s="637"/>
      <c r="S27" s="40">
        <v>0.87569444444444444</v>
      </c>
      <c r="T27" s="40">
        <v>0.93194444444444446</v>
      </c>
      <c r="U27" s="323">
        <f t="shared" si="22"/>
        <v>55.999999999999957</v>
      </c>
      <c r="V27" s="334">
        <f t="shared" si="21"/>
        <v>81.000000000000028</v>
      </c>
      <c r="W27" s="23"/>
      <c r="X27" s="28"/>
      <c r="Y27" s="136"/>
      <c r="Z27" s="136"/>
      <c r="AA27" s="627"/>
      <c r="AB27" s="628"/>
      <c r="AC27" s="135"/>
      <c r="AD27" s="25"/>
      <c r="AE27" s="19">
        <f t="shared" si="8"/>
        <v>-94.074074074074815</v>
      </c>
      <c r="AF27" s="322">
        <f t="shared" si="9"/>
        <v>0.95296296296296257</v>
      </c>
      <c r="AG27" s="637"/>
    </row>
    <row r="28" spans="1:33" ht="15.75" customHeight="1">
      <c r="A28" s="656" t="s">
        <v>1658</v>
      </c>
      <c r="B28" s="42" t="s">
        <v>1656</v>
      </c>
      <c r="C28" s="638"/>
      <c r="D28" s="638"/>
      <c r="E28" s="324"/>
      <c r="F28" s="335"/>
      <c r="G28" s="323"/>
      <c r="H28" s="335"/>
      <c r="I28" s="29">
        <v>14.857142857142858</v>
      </c>
      <c r="J28" s="39">
        <v>2000</v>
      </c>
      <c r="K28" s="17">
        <f t="shared" si="1"/>
        <v>134.61538461538461</v>
      </c>
      <c r="L28" s="29">
        <v>14.857142857142858</v>
      </c>
      <c r="M28" s="18">
        <f>AVERAGE(M21:M27)</f>
        <v>1914.4005778492156</v>
      </c>
      <c r="N28" s="17">
        <f t="shared" si="3"/>
        <v>128.85388504754334</v>
      </c>
      <c r="O28" s="19">
        <f t="shared" si="4"/>
        <v>0</v>
      </c>
      <c r="P28" s="20">
        <f t="shared" si="5"/>
        <v>-5.7614995678412697</v>
      </c>
      <c r="Q28" s="322">
        <f t="shared" si="6"/>
        <v>0.95720028892460773</v>
      </c>
      <c r="R28" s="637"/>
      <c r="S28" s="40"/>
      <c r="T28" s="40"/>
      <c r="U28" s="17"/>
      <c r="V28" s="334"/>
      <c r="W28" s="17"/>
      <c r="X28" s="17"/>
      <c r="Y28" s="30">
        <f>SUM(Y21:Y27)</f>
        <v>0</v>
      </c>
      <c r="Z28" s="30">
        <f>SUM(Z21:Z27)</f>
        <v>0</v>
      </c>
      <c r="AA28" s="631"/>
      <c r="AB28" s="631"/>
      <c r="AC28" s="30">
        <v>7</v>
      </c>
      <c r="AD28" s="30">
        <f>SUM(AD21:AD27)</f>
        <v>0</v>
      </c>
      <c r="AE28" s="19">
        <f t="shared" si="8"/>
        <v>-85.599422150784449</v>
      </c>
      <c r="AF28" s="322">
        <f t="shared" si="9"/>
        <v>0.95720028892460773</v>
      </c>
      <c r="AG28" s="637"/>
    </row>
    <row r="29" spans="1:33" ht="15.75" customHeight="1">
      <c r="A29" s="654" t="s">
        <v>1659</v>
      </c>
      <c r="B29" s="42" t="s">
        <v>116</v>
      </c>
      <c r="C29" s="653" t="s">
        <v>117</v>
      </c>
      <c r="D29" s="653"/>
      <c r="E29" s="42">
        <v>31.29</v>
      </c>
      <c r="F29" s="335">
        <v>5800</v>
      </c>
      <c r="G29" s="323">
        <f t="shared" ref="G29:G35" si="23">E29*F29</f>
        <v>181482</v>
      </c>
      <c r="H29" s="37">
        <v>2</v>
      </c>
      <c r="I29" s="333">
        <v>18</v>
      </c>
      <c r="J29" s="39">
        <v>2400</v>
      </c>
      <c r="K29" s="17">
        <f t="shared" si="1"/>
        <v>133.33333333333334</v>
      </c>
      <c r="L29" s="333">
        <v>18</v>
      </c>
      <c r="M29" s="18">
        <f t="shared" ref="M29:M35" si="24">F29/V29*60</f>
        <v>2289.4736842105262</v>
      </c>
      <c r="N29" s="17">
        <f t="shared" si="3"/>
        <v>127.19298245614034</v>
      </c>
      <c r="O29" s="19">
        <f t="shared" si="4"/>
        <v>0</v>
      </c>
      <c r="P29" s="20">
        <f t="shared" si="5"/>
        <v>-6.1403508771930007</v>
      </c>
      <c r="Q29" s="322">
        <f t="shared" si="6"/>
        <v>0.95394736842105254</v>
      </c>
      <c r="R29" s="637">
        <f>Q36</f>
        <v>0.95544278742023436</v>
      </c>
      <c r="S29" s="40">
        <v>8.3333333333333329E-2</v>
      </c>
      <c r="T29" s="40">
        <v>0.18888888888888888</v>
      </c>
      <c r="U29" s="323"/>
      <c r="V29" s="334">
        <f t="shared" ref="V29:V35" si="25">(T29-S29)*24*60</f>
        <v>152</v>
      </c>
      <c r="W29" s="23">
        <f>T29</f>
        <v>0.18888888888888888</v>
      </c>
      <c r="X29" s="23">
        <f>S30</f>
        <v>0.20833333333333334</v>
      </c>
      <c r="Y29" s="23"/>
      <c r="Z29" s="23"/>
      <c r="AA29" s="632"/>
      <c r="AB29" s="632"/>
      <c r="AC29" s="135">
        <v>7</v>
      </c>
      <c r="AD29" s="25"/>
      <c r="AE29" s="19">
        <f t="shared" si="8"/>
        <v>-110.52631578947376</v>
      </c>
      <c r="AF29" s="322">
        <f t="shared" si="9"/>
        <v>0.95394736842105265</v>
      </c>
      <c r="AG29" s="637">
        <f>AF36</f>
        <v>0.95544278742023436</v>
      </c>
    </row>
    <row r="30" spans="1:33" ht="15.75" customHeight="1">
      <c r="A30" s="654" t="s">
        <v>1659</v>
      </c>
      <c r="B30" s="42" t="s">
        <v>116</v>
      </c>
      <c r="C30" s="653" t="s">
        <v>118</v>
      </c>
      <c r="D30" s="653"/>
      <c r="E30" s="42">
        <v>26.37</v>
      </c>
      <c r="F30" s="335">
        <v>7305</v>
      </c>
      <c r="G30" s="323">
        <f t="shared" si="23"/>
        <v>192632.85</v>
      </c>
      <c r="H30" s="37" t="s">
        <v>91</v>
      </c>
      <c r="I30" s="333">
        <v>18</v>
      </c>
      <c r="J30" s="39">
        <v>2400</v>
      </c>
      <c r="K30" s="17">
        <f t="shared" si="1"/>
        <v>133.33333333333334</v>
      </c>
      <c r="L30" s="333">
        <v>18</v>
      </c>
      <c r="M30" s="18">
        <f t="shared" si="24"/>
        <v>2294.7643979057589</v>
      </c>
      <c r="N30" s="17">
        <f t="shared" si="3"/>
        <v>127.48691099476439</v>
      </c>
      <c r="O30" s="19">
        <f t="shared" si="4"/>
        <v>0</v>
      </c>
      <c r="P30" s="20">
        <f t="shared" si="5"/>
        <v>-5.8464223385689564</v>
      </c>
      <c r="Q30" s="322">
        <f t="shared" si="6"/>
        <v>0.95615183246073288</v>
      </c>
      <c r="R30" s="637"/>
      <c r="S30" s="40">
        <v>0.20833333333333334</v>
      </c>
      <c r="T30" s="40">
        <v>0.34097222222222223</v>
      </c>
      <c r="U30" s="323">
        <f t="shared" ref="U30:U35" si="26">(S30-T29)*24*60</f>
        <v>28.000000000000021</v>
      </c>
      <c r="V30" s="334">
        <f t="shared" si="25"/>
        <v>191</v>
      </c>
      <c r="W30" s="23"/>
      <c r="X30" s="23"/>
      <c r="Y30" s="23"/>
      <c r="Z30" s="23"/>
      <c r="AA30" s="632"/>
      <c r="AB30" s="632"/>
      <c r="AC30" s="135"/>
      <c r="AD30" s="25"/>
      <c r="AE30" s="19">
        <f t="shared" si="8"/>
        <v>-105.23560209424113</v>
      </c>
      <c r="AF30" s="322">
        <f t="shared" si="9"/>
        <v>0.95615183246073288</v>
      </c>
      <c r="AG30" s="637"/>
    </row>
    <row r="31" spans="1:33" ht="15.75" customHeight="1">
      <c r="A31" s="654" t="s">
        <v>1659</v>
      </c>
      <c r="B31" s="42" t="s">
        <v>116</v>
      </c>
      <c r="C31" s="653" t="s">
        <v>124</v>
      </c>
      <c r="D31" s="653"/>
      <c r="E31" s="42">
        <v>24.43</v>
      </c>
      <c r="F31" s="335">
        <v>4400</v>
      </c>
      <c r="G31" s="323">
        <f t="shared" si="23"/>
        <v>107492</v>
      </c>
      <c r="H31" s="37">
        <v>2</v>
      </c>
      <c r="I31" s="333">
        <v>14</v>
      </c>
      <c r="J31" s="39">
        <v>2400</v>
      </c>
      <c r="K31" s="17">
        <f t="shared" si="1"/>
        <v>171.42857142857142</v>
      </c>
      <c r="L31" s="333">
        <v>14</v>
      </c>
      <c r="M31" s="18">
        <f t="shared" si="24"/>
        <v>2295.652173913044</v>
      </c>
      <c r="N31" s="17">
        <f t="shared" si="3"/>
        <v>163.97515527950313</v>
      </c>
      <c r="O31" s="19">
        <f t="shared" si="4"/>
        <v>0</v>
      </c>
      <c r="P31" s="20">
        <f t="shared" si="5"/>
        <v>-7.4534161490682891</v>
      </c>
      <c r="Q31" s="322">
        <f t="shared" si="6"/>
        <v>0.95652173913043492</v>
      </c>
      <c r="R31" s="637"/>
      <c r="S31" s="40">
        <v>0.34652777777777777</v>
      </c>
      <c r="T31" s="40">
        <v>0.42638888888888887</v>
      </c>
      <c r="U31" s="323">
        <f t="shared" si="26"/>
        <v>7.9999999999999716</v>
      </c>
      <c r="V31" s="334">
        <f t="shared" si="25"/>
        <v>114.99999999999999</v>
      </c>
      <c r="W31" s="23"/>
      <c r="X31" s="23"/>
      <c r="Y31" s="23"/>
      <c r="Z31" s="23"/>
      <c r="AA31" s="632"/>
      <c r="AB31" s="632"/>
      <c r="AC31" s="135"/>
      <c r="AD31" s="25"/>
      <c r="AE31" s="19">
        <f t="shared" si="8"/>
        <v>-104.34782608695605</v>
      </c>
      <c r="AF31" s="322">
        <f t="shared" si="9"/>
        <v>0.95652173913043503</v>
      </c>
      <c r="AG31" s="637"/>
    </row>
    <row r="32" spans="1:33" ht="15.75" customHeight="1">
      <c r="A32" s="654" t="s">
        <v>1659</v>
      </c>
      <c r="B32" s="42" t="s">
        <v>116</v>
      </c>
      <c r="C32" s="653" t="s">
        <v>125</v>
      </c>
      <c r="D32" s="653"/>
      <c r="E32" s="42">
        <v>25.98</v>
      </c>
      <c r="F32" s="335">
        <v>3596</v>
      </c>
      <c r="G32" s="323">
        <f t="shared" si="23"/>
        <v>93424.08</v>
      </c>
      <c r="H32" s="37" t="s">
        <v>91</v>
      </c>
      <c r="I32" s="333">
        <v>20</v>
      </c>
      <c r="J32" s="39">
        <v>2400</v>
      </c>
      <c r="K32" s="17">
        <f t="shared" si="1"/>
        <v>120</v>
      </c>
      <c r="L32" s="333">
        <v>20</v>
      </c>
      <c r="M32" s="18">
        <f t="shared" si="24"/>
        <v>2295.3191489361702</v>
      </c>
      <c r="N32" s="17">
        <f t="shared" si="3"/>
        <v>114.76595744680851</v>
      </c>
      <c r="O32" s="19">
        <f t="shared" si="4"/>
        <v>0</v>
      </c>
      <c r="P32" s="20">
        <f t="shared" si="5"/>
        <v>-5.234042553191486</v>
      </c>
      <c r="Q32" s="322">
        <f t="shared" si="6"/>
        <v>0.95638297872340428</v>
      </c>
      <c r="R32" s="637"/>
      <c r="S32" s="40">
        <v>0.43055555555555552</v>
      </c>
      <c r="T32" s="40">
        <v>0.49583333333333329</v>
      </c>
      <c r="U32" s="323">
        <f t="shared" si="26"/>
        <v>5.9999999999999787</v>
      </c>
      <c r="V32" s="334">
        <f t="shared" si="25"/>
        <v>93.999999999999986</v>
      </c>
      <c r="W32" s="23">
        <f>T32</f>
        <v>0.49583333333333329</v>
      </c>
      <c r="X32" s="23">
        <f>S33</f>
        <v>0.53611111111111109</v>
      </c>
      <c r="Y32" s="23"/>
      <c r="Z32" s="23"/>
      <c r="AA32" s="632"/>
      <c r="AB32" s="632"/>
      <c r="AC32" s="135"/>
      <c r="AD32" s="25"/>
      <c r="AE32" s="19">
        <f t="shared" si="8"/>
        <v>-104.68085106382978</v>
      </c>
      <c r="AF32" s="322">
        <f t="shared" si="9"/>
        <v>0.95638297872340428</v>
      </c>
      <c r="AG32" s="637"/>
    </row>
    <row r="33" spans="1:33" ht="15.75" customHeight="1">
      <c r="A33" s="654" t="s">
        <v>1659</v>
      </c>
      <c r="B33" s="42" t="s">
        <v>116</v>
      </c>
      <c r="C33" s="653" t="s">
        <v>123</v>
      </c>
      <c r="D33" s="653"/>
      <c r="E33" s="42">
        <v>26.18</v>
      </c>
      <c r="F33" s="335">
        <v>3058</v>
      </c>
      <c r="G33" s="323">
        <f t="shared" si="23"/>
        <v>80058.44</v>
      </c>
      <c r="H33" s="37" t="s">
        <v>91</v>
      </c>
      <c r="I33" s="333">
        <v>20</v>
      </c>
      <c r="J33" s="39">
        <v>2400</v>
      </c>
      <c r="K33" s="17">
        <f t="shared" si="1"/>
        <v>120</v>
      </c>
      <c r="L33" s="333">
        <v>20</v>
      </c>
      <c r="M33" s="18">
        <f t="shared" si="24"/>
        <v>2293.4999999999991</v>
      </c>
      <c r="N33" s="17">
        <f t="shared" si="3"/>
        <v>114.67499999999995</v>
      </c>
      <c r="O33" s="19">
        <f t="shared" si="4"/>
        <v>0</v>
      </c>
      <c r="P33" s="20">
        <f t="shared" si="5"/>
        <v>-5.3250000000000455</v>
      </c>
      <c r="Q33" s="322">
        <f t="shared" si="6"/>
        <v>0.95562499999999961</v>
      </c>
      <c r="R33" s="637"/>
      <c r="S33" s="40">
        <v>0.53611111111111109</v>
      </c>
      <c r="T33" s="40">
        <v>0.59166666666666667</v>
      </c>
      <c r="U33" s="323">
        <f t="shared" si="26"/>
        <v>58.000000000000036</v>
      </c>
      <c r="V33" s="334">
        <f t="shared" si="25"/>
        <v>80.000000000000028</v>
      </c>
      <c r="W33" s="23"/>
      <c r="X33" s="23"/>
      <c r="Y33" s="23"/>
      <c r="Z33" s="23"/>
      <c r="AA33" s="632"/>
      <c r="AB33" s="632"/>
      <c r="AC33" s="135"/>
      <c r="AD33" s="25"/>
      <c r="AE33" s="19">
        <f t="shared" si="8"/>
        <v>-106.50000000000091</v>
      </c>
      <c r="AF33" s="322">
        <f t="shared" si="9"/>
        <v>0.95562499999999961</v>
      </c>
      <c r="AG33" s="637"/>
    </row>
    <row r="34" spans="1:33" ht="15.75" customHeight="1">
      <c r="A34" s="654" t="s">
        <v>1659</v>
      </c>
      <c r="B34" s="42" t="s">
        <v>116</v>
      </c>
      <c r="C34" s="653" t="s">
        <v>124</v>
      </c>
      <c r="D34" s="653"/>
      <c r="E34" s="42">
        <v>24.43</v>
      </c>
      <c r="F34" s="335">
        <v>3714</v>
      </c>
      <c r="G34" s="323">
        <f t="shared" si="23"/>
        <v>90733.02</v>
      </c>
      <c r="H34" s="37" t="s">
        <v>91</v>
      </c>
      <c r="I34" s="333">
        <v>14</v>
      </c>
      <c r="J34" s="39">
        <v>2400</v>
      </c>
      <c r="K34" s="17">
        <f t="shared" si="1"/>
        <v>171.42857142857142</v>
      </c>
      <c r="L34" s="333">
        <v>14</v>
      </c>
      <c r="M34" s="18">
        <f t="shared" si="24"/>
        <v>2297.3195876288669</v>
      </c>
      <c r="N34" s="17">
        <f t="shared" si="3"/>
        <v>164.09425625920477</v>
      </c>
      <c r="O34" s="19">
        <f t="shared" si="4"/>
        <v>0</v>
      </c>
      <c r="P34" s="20">
        <f t="shared" si="5"/>
        <v>-7.3343151693666471</v>
      </c>
      <c r="Q34" s="322">
        <f t="shared" si="6"/>
        <v>0.9572164948453612</v>
      </c>
      <c r="R34" s="637"/>
      <c r="S34" s="40">
        <v>0.59513888888888888</v>
      </c>
      <c r="T34" s="40">
        <v>0.66249999999999998</v>
      </c>
      <c r="U34" s="323">
        <f t="shared" si="26"/>
        <v>4.9999999999999822</v>
      </c>
      <c r="V34" s="334">
        <f t="shared" si="25"/>
        <v>96.999999999999972</v>
      </c>
      <c r="W34" s="23"/>
      <c r="X34" s="23"/>
      <c r="Y34" s="23"/>
      <c r="Z34" s="23"/>
      <c r="AA34" s="632"/>
      <c r="AB34" s="632"/>
      <c r="AC34" s="135"/>
      <c r="AD34" s="25"/>
      <c r="AE34" s="19">
        <f t="shared" si="8"/>
        <v>-102.68041237113312</v>
      </c>
      <c r="AF34" s="322">
        <f t="shared" si="9"/>
        <v>0.9572164948453612</v>
      </c>
      <c r="AG34" s="637"/>
    </row>
    <row r="35" spans="1:33" ht="15.75" customHeight="1">
      <c r="A35" s="654" t="s">
        <v>1659</v>
      </c>
      <c r="B35" s="42" t="s">
        <v>116</v>
      </c>
      <c r="C35" s="653" t="s">
        <v>117</v>
      </c>
      <c r="D35" s="653"/>
      <c r="E35" s="42">
        <v>31.29</v>
      </c>
      <c r="F35" s="335">
        <v>4647</v>
      </c>
      <c r="G35" s="323">
        <f t="shared" si="23"/>
        <v>145404.63</v>
      </c>
      <c r="H35" s="37" t="s">
        <v>91</v>
      </c>
      <c r="I35" s="333">
        <v>18</v>
      </c>
      <c r="J35" s="39">
        <v>2400</v>
      </c>
      <c r="K35" s="17">
        <f t="shared" si="1"/>
        <v>133.33333333333334</v>
      </c>
      <c r="L35" s="333">
        <v>18</v>
      </c>
      <c r="M35" s="18">
        <f t="shared" si="24"/>
        <v>2285.409836065573</v>
      </c>
      <c r="N35" s="17">
        <f t="shared" si="3"/>
        <v>126.96721311475406</v>
      </c>
      <c r="O35" s="19">
        <f t="shared" si="4"/>
        <v>0</v>
      </c>
      <c r="P35" s="20">
        <f t="shared" si="5"/>
        <v>-6.3661202185792831</v>
      </c>
      <c r="Q35" s="322">
        <f t="shared" si="6"/>
        <v>0.95225409836065533</v>
      </c>
      <c r="R35" s="637"/>
      <c r="S35" s="40">
        <v>0.66597222222222219</v>
      </c>
      <c r="T35" s="40">
        <v>0.75069444444444444</v>
      </c>
      <c r="U35" s="323">
        <f t="shared" si="26"/>
        <v>4.9999999999999822</v>
      </c>
      <c r="V35" s="334">
        <f t="shared" si="25"/>
        <v>122.00000000000004</v>
      </c>
      <c r="W35" s="23"/>
      <c r="X35" s="23"/>
      <c r="Y35" s="23"/>
      <c r="Z35" s="23"/>
      <c r="AA35" s="632"/>
      <c r="AB35" s="632"/>
      <c r="AC35" s="135"/>
      <c r="AD35" s="25"/>
      <c r="AE35" s="19">
        <f t="shared" si="8"/>
        <v>-114.59016393442698</v>
      </c>
      <c r="AF35" s="322">
        <f t="shared" si="9"/>
        <v>0.95225409836065544</v>
      </c>
      <c r="AG35" s="637"/>
    </row>
    <row r="36" spans="1:33" ht="15.75" customHeight="1">
      <c r="A36" s="654" t="s">
        <v>1659</v>
      </c>
      <c r="B36" s="42" t="s">
        <v>1656</v>
      </c>
      <c r="C36" s="638"/>
      <c r="D36" s="638"/>
      <c r="E36" s="324"/>
      <c r="F36" s="335"/>
      <c r="G36" s="323"/>
      <c r="H36" s="335"/>
      <c r="I36" s="29">
        <v>17.428571428571427</v>
      </c>
      <c r="J36" s="39">
        <v>2400</v>
      </c>
      <c r="K36" s="17">
        <f t="shared" si="1"/>
        <v>137.70491803278691</v>
      </c>
      <c r="L36" s="29">
        <v>17.428571428571427</v>
      </c>
      <c r="M36" s="18">
        <f>AVERAGE(M29:M35)</f>
        <v>2293.0626898085625</v>
      </c>
      <c r="N36" s="17">
        <f t="shared" si="3"/>
        <v>131.56917072672081</v>
      </c>
      <c r="O36" s="19">
        <f t="shared" si="4"/>
        <v>0</v>
      </c>
      <c r="P36" s="20">
        <f t="shared" si="5"/>
        <v>-6.1357473060660936</v>
      </c>
      <c r="Q36" s="322">
        <f t="shared" si="6"/>
        <v>0.95544278742023436</v>
      </c>
      <c r="R36" s="637"/>
      <c r="S36" s="40"/>
      <c r="T36" s="40"/>
      <c r="U36" s="323"/>
      <c r="V36" s="334"/>
      <c r="W36" s="323"/>
      <c r="X36" s="323"/>
      <c r="Y36" s="30">
        <f>SUM(Y29:Y35)</f>
        <v>0</v>
      </c>
      <c r="Z36" s="30">
        <f>SUM(Z29:Z35)</f>
        <v>0</v>
      </c>
      <c r="AA36" s="631"/>
      <c r="AB36" s="631"/>
      <c r="AC36" s="30">
        <v>7</v>
      </c>
      <c r="AD36" s="30">
        <f>SUM(AD29:AD35)</f>
        <v>0</v>
      </c>
      <c r="AE36" s="19">
        <f t="shared" si="8"/>
        <v>-106.93731019143752</v>
      </c>
      <c r="AF36" s="322">
        <f t="shared" si="9"/>
        <v>0.95544278742023436</v>
      </c>
      <c r="AG36" s="637"/>
    </row>
    <row r="37" spans="1:33" ht="15.75" customHeight="1">
      <c r="A37" s="651" t="s">
        <v>1660</v>
      </c>
      <c r="B37" s="42" t="s">
        <v>116</v>
      </c>
      <c r="C37" s="633" t="s">
        <v>123</v>
      </c>
      <c r="D37" s="633"/>
      <c r="E37" s="42">
        <v>26.18</v>
      </c>
      <c r="F37" s="335">
        <v>3900</v>
      </c>
      <c r="G37" s="323">
        <f t="shared" ref="G37:G43" si="27">E37*F37</f>
        <v>102102</v>
      </c>
      <c r="H37" s="37">
        <v>2</v>
      </c>
      <c r="I37" s="333">
        <v>20</v>
      </c>
      <c r="J37" s="39">
        <v>2400</v>
      </c>
      <c r="K37" s="17">
        <f t="shared" si="1"/>
        <v>120</v>
      </c>
      <c r="L37" s="333">
        <v>20</v>
      </c>
      <c r="M37" s="18">
        <f t="shared" ref="M37:M43" si="28">F37/V37*60</f>
        <v>2294.117647058823</v>
      </c>
      <c r="N37" s="17">
        <f t="shared" si="3"/>
        <v>114.70588235294115</v>
      </c>
      <c r="O37" s="19">
        <f t="shared" si="4"/>
        <v>0</v>
      </c>
      <c r="P37" s="20">
        <f t="shared" si="5"/>
        <v>-5.2941176470588545</v>
      </c>
      <c r="Q37" s="322">
        <f t="shared" si="6"/>
        <v>0.95588235294117618</v>
      </c>
      <c r="R37" s="637">
        <f>Q44</f>
        <v>0.95611656448534943</v>
      </c>
      <c r="S37" s="40">
        <v>8.3333333333333329E-2</v>
      </c>
      <c r="T37" s="40">
        <v>0.15416666666666667</v>
      </c>
      <c r="U37" s="323"/>
      <c r="V37" s="334">
        <f t="shared" ref="V37:V43" si="29">(T37-S37)*24*60</f>
        <v>102.00000000000001</v>
      </c>
      <c r="W37" s="28">
        <f>T37</f>
        <v>0.15416666666666667</v>
      </c>
      <c r="X37" s="28">
        <f>S38</f>
        <v>0.17500000000000002</v>
      </c>
      <c r="Y37" s="28"/>
      <c r="Z37" s="28"/>
      <c r="AA37" s="632"/>
      <c r="AB37" s="632"/>
      <c r="AC37" s="135">
        <v>7</v>
      </c>
      <c r="AD37" s="25"/>
      <c r="AE37" s="19">
        <f t="shared" si="8"/>
        <v>-105.88235294117703</v>
      </c>
      <c r="AF37" s="322">
        <f t="shared" si="9"/>
        <v>0.95588235294117618</v>
      </c>
      <c r="AG37" s="637">
        <f>AF44</f>
        <v>0.95611656448534943</v>
      </c>
    </row>
    <row r="38" spans="1:33" ht="15.75" customHeight="1">
      <c r="A38" s="651" t="s">
        <v>1660</v>
      </c>
      <c r="B38" s="42" t="s">
        <v>116</v>
      </c>
      <c r="C38" s="633" t="s">
        <v>147</v>
      </c>
      <c r="D38" s="633"/>
      <c r="E38" s="42">
        <v>25.98</v>
      </c>
      <c r="F38" s="335">
        <v>3003</v>
      </c>
      <c r="G38" s="323">
        <f t="shared" si="27"/>
        <v>78017.94</v>
      </c>
      <c r="H38" s="37" t="s">
        <v>91</v>
      </c>
      <c r="I38" s="333">
        <v>17</v>
      </c>
      <c r="J38" s="39">
        <v>2400</v>
      </c>
      <c r="K38" s="17">
        <f t="shared" si="1"/>
        <v>141.1764705882353</v>
      </c>
      <c r="L38" s="333">
        <v>17</v>
      </c>
      <c r="M38" s="18">
        <f t="shared" si="28"/>
        <v>2310</v>
      </c>
      <c r="N38" s="17">
        <f t="shared" si="3"/>
        <v>135.88235294117646</v>
      </c>
      <c r="O38" s="19">
        <f t="shared" si="4"/>
        <v>0</v>
      </c>
      <c r="P38" s="20">
        <f t="shared" si="5"/>
        <v>-5.2941176470588402</v>
      </c>
      <c r="Q38" s="322">
        <f t="shared" si="6"/>
        <v>0.96249999999999991</v>
      </c>
      <c r="R38" s="637"/>
      <c r="S38" s="40">
        <v>0.17500000000000002</v>
      </c>
      <c r="T38" s="40">
        <v>0.22916666666666669</v>
      </c>
      <c r="U38" s="323">
        <f t="shared" ref="U38:U43" si="30">(S38-T37)*24*60</f>
        <v>30.000000000000014</v>
      </c>
      <c r="V38" s="334">
        <f t="shared" si="29"/>
        <v>78</v>
      </c>
      <c r="W38" s="323"/>
      <c r="X38" s="323"/>
      <c r="Y38" s="323"/>
      <c r="Z38" s="323"/>
      <c r="AA38" s="632"/>
      <c r="AB38" s="632"/>
      <c r="AC38" s="135"/>
      <c r="AD38" s="25"/>
      <c r="AE38" s="19">
        <f t="shared" si="8"/>
        <v>-90</v>
      </c>
      <c r="AF38" s="322">
        <f t="shared" si="9"/>
        <v>0.96250000000000002</v>
      </c>
      <c r="AG38" s="637"/>
    </row>
    <row r="39" spans="1:33">
      <c r="A39" s="652" t="s">
        <v>1660</v>
      </c>
      <c r="B39" s="42" t="s">
        <v>116</v>
      </c>
      <c r="C39" s="633" t="s">
        <v>119</v>
      </c>
      <c r="D39" s="633"/>
      <c r="E39" s="42">
        <v>26.18</v>
      </c>
      <c r="F39" s="335">
        <v>5200</v>
      </c>
      <c r="G39" s="323">
        <f t="shared" si="27"/>
        <v>136136</v>
      </c>
      <c r="H39" s="37">
        <v>2</v>
      </c>
      <c r="I39" s="333">
        <v>18</v>
      </c>
      <c r="J39" s="39">
        <v>2400</v>
      </c>
      <c r="K39" s="17">
        <f t="shared" si="1"/>
        <v>133.33333333333334</v>
      </c>
      <c r="L39" s="333">
        <v>18</v>
      </c>
      <c r="M39" s="18">
        <f t="shared" si="28"/>
        <v>2294.1176470588225</v>
      </c>
      <c r="N39" s="17">
        <f t="shared" si="3"/>
        <v>127.45098039215681</v>
      </c>
      <c r="O39" s="19">
        <f t="shared" si="4"/>
        <v>0</v>
      </c>
      <c r="P39" s="20">
        <f t="shared" si="5"/>
        <v>-5.882352941176535</v>
      </c>
      <c r="Q39" s="322">
        <f t="shared" si="6"/>
        <v>0.95588235294117596</v>
      </c>
      <c r="R39" s="637"/>
      <c r="S39" s="40">
        <v>0.23402777777777781</v>
      </c>
      <c r="T39" s="40">
        <v>0.32847222222222228</v>
      </c>
      <c r="U39" s="323">
        <f t="shared" si="30"/>
        <v>7.0000000000000151</v>
      </c>
      <c r="V39" s="334">
        <f t="shared" si="29"/>
        <v>136.00000000000006</v>
      </c>
      <c r="W39" s="323"/>
      <c r="X39" s="323"/>
      <c r="Y39" s="323"/>
      <c r="Z39" s="323"/>
      <c r="AA39" s="632"/>
      <c r="AB39" s="632"/>
      <c r="AC39" s="135"/>
      <c r="AD39" s="25"/>
      <c r="AE39" s="19">
        <f t="shared" si="8"/>
        <v>-105.88235294117749</v>
      </c>
      <c r="AF39" s="322">
        <f t="shared" si="9"/>
        <v>0.95588235294117607</v>
      </c>
      <c r="AG39" s="637"/>
    </row>
    <row r="40" spans="1:33">
      <c r="A40" s="652" t="s">
        <v>1660</v>
      </c>
      <c r="B40" s="42" t="s">
        <v>116</v>
      </c>
      <c r="C40" s="633" t="s">
        <v>121</v>
      </c>
      <c r="D40" s="633"/>
      <c r="E40" s="42">
        <v>25.99</v>
      </c>
      <c r="F40" s="335">
        <v>4460</v>
      </c>
      <c r="G40" s="323">
        <f t="shared" si="27"/>
        <v>115915.4</v>
      </c>
      <c r="H40" s="37" t="s">
        <v>91</v>
      </c>
      <c r="I40" s="333">
        <v>14</v>
      </c>
      <c r="J40" s="39">
        <v>2400</v>
      </c>
      <c r="K40" s="17">
        <f t="shared" si="1"/>
        <v>171.42857142857142</v>
      </c>
      <c r="L40" s="333">
        <v>14</v>
      </c>
      <c r="M40" s="18">
        <f t="shared" si="28"/>
        <v>2287.1794871794878</v>
      </c>
      <c r="N40" s="17">
        <f t="shared" si="3"/>
        <v>163.36996336996341</v>
      </c>
      <c r="O40" s="19">
        <f t="shared" si="4"/>
        <v>0</v>
      </c>
      <c r="P40" s="20">
        <f t="shared" si="5"/>
        <v>-8.0586080586080016</v>
      </c>
      <c r="Q40" s="322">
        <f t="shared" si="6"/>
        <v>0.95299145299145327</v>
      </c>
      <c r="R40" s="637"/>
      <c r="S40" s="40">
        <v>0.33263888888888893</v>
      </c>
      <c r="T40" s="40">
        <v>0.41388888888888892</v>
      </c>
      <c r="U40" s="323">
        <f t="shared" si="30"/>
        <v>5.9999999999999787</v>
      </c>
      <c r="V40" s="334">
        <f t="shared" si="29"/>
        <v>116.99999999999999</v>
      </c>
      <c r="W40" s="23"/>
      <c r="X40" s="23"/>
      <c r="Y40" s="23"/>
      <c r="Z40" s="23"/>
      <c r="AA40" s="632"/>
      <c r="AB40" s="632"/>
      <c r="AC40" s="135"/>
      <c r="AD40" s="25"/>
      <c r="AE40" s="19">
        <f t="shared" si="8"/>
        <v>-112.82051282051225</v>
      </c>
      <c r="AF40" s="322">
        <f t="shared" si="9"/>
        <v>0.95299145299145327</v>
      </c>
      <c r="AG40" s="637"/>
    </row>
    <row r="41" spans="1:33">
      <c r="A41" s="652" t="s">
        <v>1660</v>
      </c>
      <c r="B41" s="42" t="s">
        <v>116</v>
      </c>
      <c r="C41" s="633" t="s">
        <v>126</v>
      </c>
      <c r="D41" s="633"/>
      <c r="E41" s="42">
        <v>34.1</v>
      </c>
      <c r="F41" s="335">
        <v>3600</v>
      </c>
      <c r="G41" s="323">
        <f t="shared" si="27"/>
        <v>122760</v>
      </c>
      <c r="H41" s="37">
        <v>2</v>
      </c>
      <c r="I41" s="333">
        <v>17</v>
      </c>
      <c r="J41" s="39">
        <v>1600</v>
      </c>
      <c r="K41" s="17">
        <f t="shared" si="1"/>
        <v>94.117647058823536</v>
      </c>
      <c r="L41" s="333">
        <v>17</v>
      </c>
      <c r="M41" s="18">
        <f t="shared" si="28"/>
        <v>1531.9148936170207</v>
      </c>
      <c r="N41" s="17">
        <f t="shared" si="3"/>
        <v>90.11264080100122</v>
      </c>
      <c r="O41" s="19">
        <f t="shared" si="4"/>
        <v>0</v>
      </c>
      <c r="P41" s="20">
        <f t="shared" si="5"/>
        <v>-4.0050062578223162</v>
      </c>
      <c r="Q41" s="322">
        <f t="shared" si="6"/>
        <v>0.9574468085106379</v>
      </c>
      <c r="R41" s="637"/>
      <c r="S41" s="40">
        <v>0.41736111111111113</v>
      </c>
      <c r="T41" s="40">
        <v>0.51527777777777783</v>
      </c>
      <c r="U41" s="323">
        <f t="shared" si="30"/>
        <v>4.9999999999999822</v>
      </c>
      <c r="V41" s="334">
        <f t="shared" si="29"/>
        <v>141.00000000000006</v>
      </c>
      <c r="W41" s="23">
        <f>T41</f>
        <v>0.51527777777777783</v>
      </c>
      <c r="X41" s="23">
        <f>S42</f>
        <v>0.55486111111111114</v>
      </c>
      <c r="Y41" s="23"/>
      <c r="Z41" s="23"/>
      <c r="AA41" s="632"/>
      <c r="AB41" s="632"/>
      <c r="AC41" s="135"/>
      <c r="AD41" s="25"/>
      <c r="AE41" s="19">
        <f t="shared" si="8"/>
        <v>-68.085106382979347</v>
      </c>
      <c r="AF41" s="322">
        <f t="shared" si="9"/>
        <v>0.9574468085106379</v>
      </c>
      <c r="AG41" s="637"/>
    </row>
    <row r="42" spans="1:33">
      <c r="A42" s="652" t="s">
        <v>1660</v>
      </c>
      <c r="B42" s="42" t="s">
        <v>116</v>
      </c>
      <c r="C42" s="633" t="s">
        <v>126</v>
      </c>
      <c r="D42" s="633"/>
      <c r="E42" s="42">
        <v>34.1</v>
      </c>
      <c r="F42" s="335">
        <v>3822</v>
      </c>
      <c r="G42" s="323">
        <f t="shared" si="27"/>
        <v>130330.20000000001</v>
      </c>
      <c r="H42" s="37" t="s">
        <v>91</v>
      </c>
      <c r="I42" s="333">
        <v>17</v>
      </c>
      <c r="J42" s="39">
        <v>1600</v>
      </c>
      <c r="K42" s="17">
        <f t="shared" si="1"/>
        <v>94.117647058823536</v>
      </c>
      <c r="L42" s="333">
        <v>17</v>
      </c>
      <c r="M42" s="18">
        <f t="shared" si="28"/>
        <v>1528.8000000000006</v>
      </c>
      <c r="N42" s="17">
        <f t="shared" si="3"/>
        <v>89.929411764705918</v>
      </c>
      <c r="O42" s="19">
        <f t="shared" si="4"/>
        <v>0</v>
      </c>
      <c r="P42" s="20">
        <f t="shared" si="5"/>
        <v>-4.188235294117618</v>
      </c>
      <c r="Q42" s="322">
        <f t="shared" si="6"/>
        <v>0.95550000000000035</v>
      </c>
      <c r="R42" s="637"/>
      <c r="S42" s="40">
        <v>0.55486111111111114</v>
      </c>
      <c r="T42" s="40">
        <v>0.65902777777777777</v>
      </c>
      <c r="U42" s="323">
        <f t="shared" si="30"/>
        <v>56.999999999999957</v>
      </c>
      <c r="V42" s="334">
        <f t="shared" si="29"/>
        <v>149.99999999999994</v>
      </c>
      <c r="W42" s="23"/>
      <c r="X42" s="23"/>
      <c r="Y42" s="23"/>
      <c r="Z42" s="23"/>
      <c r="AA42" s="632"/>
      <c r="AB42" s="632"/>
      <c r="AC42" s="135"/>
      <c r="AD42" s="25"/>
      <c r="AE42" s="19">
        <f t="shared" si="8"/>
        <v>-71.199999999999363</v>
      </c>
      <c r="AF42" s="322">
        <f t="shared" si="9"/>
        <v>0.95550000000000035</v>
      </c>
      <c r="AG42" s="637"/>
    </row>
    <row r="43" spans="1:33">
      <c r="A43" s="652" t="s">
        <v>1660</v>
      </c>
      <c r="B43" s="42" t="s">
        <v>116</v>
      </c>
      <c r="C43" s="633" t="s">
        <v>119</v>
      </c>
      <c r="D43" s="633"/>
      <c r="E43" s="42">
        <v>26.18</v>
      </c>
      <c r="F43" s="335">
        <v>4345</v>
      </c>
      <c r="G43" s="323">
        <f t="shared" si="27"/>
        <v>113752.1</v>
      </c>
      <c r="H43" s="37" t="s">
        <v>91</v>
      </c>
      <c r="I43" s="333">
        <v>18</v>
      </c>
      <c r="J43" s="39">
        <v>2400</v>
      </c>
      <c r="K43" s="17">
        <f t="shared" si="1"/>
        <v>133.33333333333334</v>
      </c>
      <c r="L43" s="333">
        <v>18</v>
      </c>
      <c r="M43" s="18">
        <f t="shared" si="28"/>
        <v>2286.8421052631566</v>
      </c>
      <c r="N43" s="17">
        <f t="shared" si="3"/>
        <v>127.04678362573092</v>
      </c>
      <c r="O43" s="19">
        <f t="shared" si="4"/>
        <v>0</v>
      </c>
      <c r="P43" s="20">
        <f t="shared" si="5"/>
        <v>-6.2865497076024184</v>
      </c>
      <c r="Q43" s="322">
        <f t="shared" si="6"/>
        <v>0.95285087719298189</v>
      </c>
      <c r="R43" s="637"/>
      <c r="S43" s="40">
        <v>0.66249999999999998</v>
      </c>
      <c r="T43" s="40">
        <v>0.7416666666666667</v>
      </c>
      <c r="U43" s="323">
        <f t="shared" si="30"/>
        <v>4.9999999999999822</v>
      </c>
      <c r="V43" s="334">
        <f t="shared" si="29"/>
        <v>114.00000000000007</v>
      </c>
      <c r="W43" s="23"/>
      <c r="X43" s="23"/>
      <c r="Y43" s="26"/>
      <c r="Z43" s="26"/>
      <c r="AA43" s="627"/>
      <c r="AB43" s="628"/>
      <c r="AC43" s="135"/>
      <c r="AD43" s="25"/>
      <c r="AE43" s="19">
        <f t="shared" si="8"/>
        <v>-113.15789473684345</v>
      </c>
      <c r="AF43" s="322">
        <f t="shared" si="9"/>
        <v>0.95285087719298189</v>
      </c>
      <c r="AG43" s="637"/>
    </row>
    <row r="44" spans="1:33">
      <c r="A44" s="652" t="s">
        <v>1660</v>
      </c>
      <c r="B44" s="44" t="s">
        <v>1656</v>
      </c>
      <c r="C44" s="638"/>
      <c r="D44" s="638"/>
      <c r="E44" s="324"/>
      <c r="F44" s="44"/>
      <c r="G44" s="17"/>
      <c r="H44" s="335"/>
      <c r="I44" s="29">
        <v>17.285714285714285</v>
      </c>
      <c r="J44" s="39">
        <v>2171.4285714285716</v>
      </c>
      <c r="K44" s="17">
        <f t="shared" si="1"/>
        <v>125.61983471074382</v>
      </c>
      <c r="L44" s="29">
        <v>17.285714285714285</v>
      </c>
      <c r="M44" s="18">
        <f>AVERAGE(M37:M43)</f>
        <v>2076.1388257396161</v>
      </c>
      <c r="N44" s="17">
        <f t="shared" si="3"/>
        <v>120.10720479485383</v>
      </c>
      <c r="O44" s="19">
        <f t="shared" si="4"/>
        <v>0</v>
      </c>
      <c r="P44" s="20">
        <f t="shared" si="5"/>
        <v>-5.5126299158899883</v>
      </c>
      <c r="Q44" s="322">
        <f t="shared" si="6"/>
        <v>0.95611656448534943</v>
      </c>
      <c r="R44" s="637"/>
      <c r="S44" s="40"/>
      <c r="T44" s="40"/>
      <c r="U44" s="17"/>
      <c r="V44" s="334"/>
      <c r="W44" s="17"/>
      <c r="X44" s="17"/>
      <c r="Y44" s="30">
        <f>SUM(Y37:Y43)</f>
        <v>0</v>
      </c>
      <c r="Z44" s="30">
        <f>SUM(Z37:Z43)</f>
        <v>0</v>
      </c>
      <c r="AA44" s="631"/>
      <c r="AB44" s="631"/>
      <c r="AC44" s="30">
        <v>7</v>
      </c>
      <c r="AD44" s="30">
        <f>SUM(AD37:AD43)</f>
        <v>0</v>
      </c>
      <c r="AE44" s="19">
        <f t="shared" si="8"/>
        <v>-95.289745688955463</v>
      </c>
      <c r="AF44" s="322">
        <f t="shared" si="9"/>
        <v>0.95611656448534943</v>
      </c>
      <c r="AG44" s="637"/>
    </row>
    <row r="45" spans="1:33" ht="15.75" customHeight="1">
      <c r="A45" s="648" t="s">
        <v>1661</v>
      </c>
      <c r="B45" s="42" t="s">
        <v>127</v>
      </c>
      <c r="C45" s="625" t="s">
        <v>128</v>
      </c>
      <c r="D45" s="626"/>
      <c r="E45" s="42">
        <v>21.13</v>
      </c>
      <c r="F45" s="335">
        <v>6421</v>
      </c>
      <c r="G45" s="323">
        <f t="shared" ref="G45:G48" si="31">E45*F45</f>
        <v>135675.72999999998</v>
      </c>
      <c r="H45" s="37" t="s">
        <v>91</v>
      </c>
      <c r="I45" s="333">
        <v>10</v>
      </c>
      <c r="J45" s="39">
        <v>3000</v>
      </c>
      <c r="K45" s="17">
        <f t="shared" si="1"/>
        <v>300</v>
      </c>
      <c r="L45" s="333">
        <v>10</v>
      </c>
      <c r="M45" s="18">
        <f t="shared" ref="M45:M48" si="32">F45/V45*60</f>
        <v>2875.0746268656703</v>
      </c>
      <c r="N45" s="18">
        <f t="shared" si="3"/>
        <v>287.50746268656701</v>
      </c>
      <c r="O45" s="19">
        <f t="shared" si="4"/>
        <v>0</v>
      </c>
      <c r="P45" s="20">
        <f t="shared" si="5"/>
        <v>-12.49253731343299</v>
      </c>
      <c r="Q45" s="322">
        <f t="shared" si="6"/>
        <v>0.95835820895522339</v>
      </c>
      <c r="R45" s="643">
        <f>Q49</f>
        <v>0.96211443911663319</v>
      </c>
      <c r="S45" s="40">
        <v>0.20833333333333334</v>
      </c>
      <c r="T45" s="40">
        <v>0.30138888888888893</v>
      </c>
      <c r="U45" s="28"/>
      <c r="V45" s="334">
        <f t="shared" ref="V45:V48" si="33">(T45-S45)*24*60</f>
        <v>134.00000000000006</v>
      </c>
      <c r="W45" s="23"/>
      <c r="X45" s="23"/>
      <c r="Y45" s="26"/>
      <c r="Z45" s="26"/>
      <c r="AA45" s="627"/>
      <c r="AB45" s="628"/>
      <c r="AC45" s="135">
        <v>4</v>
      </c>
      <c r="AD45" s="25"/>
      <c r="AE45" s="19">
        <f t="shared" si="8"/>
        <v>-124.92537313432967</v>
      </c>
      <c r="AF45" s="322">
        <f t="shared" si="9"/>
        <v>0.95835820895522339</v>
      </c>
      <c r="AG45" s="643">
        <f>AF49</f>
        <v>0.96211443911663308</v>
      </c>
    </row>
    <row r="46" spans="1:33" ht="15.75" customHeight="1">
      <c r="A46" s="649" t="s">
        <v>1661</v>
      </c>
      <c r="B46" s="42" t="s">
        <v>127</v>
      </c>
      <c r="C46" s="625" t="s">
        <v>129</v>
      </c>
      <c r="D46" s="626"/>
      <c r="E46" s="42">
        <v>27.17</v>
      </c>
      <c r="F46" s="335">
        <v>5668</v>
      </c>
      <c r="G46" s="323">
        <f t="shared" si="31"/>
        <v>153999.56</v>
      </c>
      <c r="H46" s="37" t="s">
        <v>91</v>
      </c>
      <c r="I46" s="333">
        <v>10</v>
      </c>
      <c r="J46" s="39">
        <v>3000</v>
      </c>
      <c r="K46" s="17">
        <f t="shared" si="1"/>
        <v>300</v>
      </c>
      <c r="L46" s="333">
        <v>10</v>
      </c>
      <c r="M46" s="18">
        <f t="shared" si="32"/>
        <v>2857.8151260504205</v>
      </c>
      <c r="N46" s="18">
        <f t="shared" si="3"/>
        <v>285.78151260504205</v>
      </c>
      <c r="O46" s="19">
        <f t="shared" si="4"/>
        <v>0</v>
      </c>
      <c r="P46" s="20">
        <f t="shared" si="5"/>
        <v>-14.218487394957947</v>
      </c>
      <c r="Q46" s="322">
        <f t="shared" si="6"/>
        <v>0.95260504201680685</v>
      </c>
      <c r="R46" s="644"/>
      <c r="S46" s="40">
        <v>0.30694444444444446</v>
      </c>
      <c r="T46" s="40">
        <v>0.38958333333333334</v>
      </c>
      <c r="U46" s="323">
        <f t="shared" ref="U46:U48" si="34">(S46-T45)*24*60</f>
        <v>7.9999999999999716</v>
      </c>
      <c r="V46" s="334">
        <f t="shared" si="33"/>
        <v>118.99999999999997</v>
      </c>
      <c r="W46" s="23"/>
      <c r="X46" s="23"/>
      <c r="Y46" s="26"/>
      <c r="Z46" s="26"/>
      <c r="AA46" s="627"/>
      <c r="AB46" s="628"/>
      <c r="AC46" s="135"/>
      <c r="AD46" s="25"/>
      <c r="AE46" s="19">
        <f t="shared" si="8"/>
        <v>-142.18487394957947</v>
      </c>
      <c r="AF46" s="322">
        <f t="shared" si="9"/>
        <v>0.95260504201680685</v>
      </c>
      <c r="AG46" s="644"/>
    </row>
    <row r="47" spans="1:33" ht="15.75" customHeight="1">
      <c r="A47" s="649" t="s">
        <v>1661</v>
      </c>
      <c r="B47" s="42" t="s">
        <v>127</v>
      </c>
      <c r="C47" s="625" t="s">
        <v>130</v>
      </c>
      <c r="D47" s="626"/>
      <c r="E47" s="42">
        <v>35.869999999999997</v>
      </c>
      <c r="F47" s="335">
        <v>1681</v>
      </c>
      <c r="G47" s="323">
        <f t="shared" si="31"/>
        <v>60297.469999999994</v>
      </c>
      <c r="H47" s="37" t="s">
        <v>91</v>
      </c>
      <c r="I47" s="333">
        <v>9</v>
      </c>
      <c r="J47" s="39">
        <v>3000</v>
      </c>
      <c r="K47" s="17">
        <f t="shared" si="1"/>
        <v>333.33333333333331</v>
      </c>
      <c r="L47" s="333">
        <v>9</v>
      </c>
      <c r="M47" s="18">
        <f t="shared" si="32"/>
        <v>2881.7142857142831</v>
      </c>
      <c r="N47" s="18">
        <f t="shared" si="3"/>
        <v>320.19047619047592</v>
      </c>
      <c r="O47" s="19">
        <f t="shared" si="4"/>
        <v>0</v>
      </c>
      <c r="P47" s="20">
        <f t="shared" si="5"/>
        <v>-13.142857142857395</v>
      </c>
      <c r="Q47" s="322">
        <f t="shared" si="6"/>
        <v>0.96057142857142785</v>
      </c>
      <c r="R47" s="644"/>
      <c r="S47" s="40">
        <v>0.39513888888888887</v>
      </c>
      <c r="T47" s="40">
        <v>0.41944444444444445</v>
      </c>
      <c r="U47" s="323">
        <f t="shared" si="34"/>
        <v>7.9999999999999716</v>
      </c>
      <c r="V47" s="334">
        <f t="shared" si="33"/>
        <v>35.000000000000036</v>
      </c>
      <c r="W47" s="23"/>
      <c r="X47" s="23"/>
      <c r="Y47" s="26"/>
      <c r="Z47" s="26"/>
      <c r="AA47" s="627"/>
      <c r="AB47" s="628"/>
      <c r="AC47" s="135"/>
      <c r="AD47" s="25"/>
      <c r="AE47" s="19">
        <f t="shared" si="8"/>
        <v>-118.28571428571695</v>
      </c>
      <c r="AF47" s="322">
        <f t="shared" si="9"/>
        <v>0.96057142857142763</v>
      </c>
      <c r="AG47" s="644"/>
    </row>
    <row r="48" spans="1:33" ht="15.75" customHeight="1">
      <c r="A48" s="649" t="s">
        <v>1661</v>
      </c>
      <c r="B48" s="42" t="s">
        <v>127</v>
      </c>
      <c r="C48" s="625" t="s">
        <v>131</v>
      </c>
      <c r="D48" s="626"/>
      <c r="E48" s="42">
        <v>34.35</v>
      </c>
      <c r="F48" s="335">
        <v>635</v>
      </c>
      <c r="G48" s="323">
        <f t="shared" si="31"/>
        <v>21812.25</v>
      </c>
      <c r="H48" s="37" t="s">
        <v>91</v>
      </c>
      <c r="I48" s="333">
        <v>8</v>
      </c>
      <c r="J48" s="39">
        <v>3000</v>
      </c>
      <c r="K48" s="17">
        <f t="shared" si="1"/>
        <v>375</v>
      </c>
      <c r="L48" s="333">
        <v>8</v>
      </c>
      <c r="M48" s="18">
        <f t="shared" si="32"/>
        <v>2930.7692307692232</v>
      </c>
      <c r="N48" s="18">
        <f t="shared" si="3"/>
        <v>366.3461538461529</v>
      </c>
      <c r="O48" s="19">
        <f t="shared" si="4"/>
        <v>0</v>
      </c>
      <c r="P48" s="20">
        <f t="shared" si="5"/>
        <v>-8.6538461538470983</v>
      </c>
      <c r="Q48" s="322">
        <f t="shared" si="6"/>
        <v>0.97692307692307445</v>
      </c>
      <c r="R48" s="644"/>
      <c r="S48" s="40">
        <v>0.42499999999999999</v>
      </c>
      <c r="T48" s="40">
        <v>0.43402777777777779</v>
      </c>
      <c r="U48" s="323">
        <f t="shared" si="34"/>
        <v>7.9999999999999716</v>
      </c>
      <c r="V48" s="334">
        <f t="shared" si="33"/>
        <v>13.000000000000034</v>
      </c>
      <c r="W48" s="23"/>
      <c r="X48" s="23"/>
      <c r="Y48" s="26"/>
      <c r="Z48" s="26"/>
      <c r="AA48" s="627"/>
      <c r="AB48" s="628"/>
      <c r="AC48" s="135"/>
      <c r="AD48" s="25"/>
      <c r="AE48" s="19">
        <f t="shared" si="8"/>
        <v>-69.230769230776787</v>
      </c>
      <c r="AF48" s="322">
        <f t="shared" si="9"/>
        <v>0.97692307692307445</v>
      </c>
      <c r="AG48" s="644"/>
    </row>
    <row r="49" spans="1:33" ht="15.75" customHeight="1">
      <c r="A49" s="650" t="s">
        <v>1661</v>
      </c>
      <c r="B49" s="42" t="s">
        <v>1656</v>
      </c>
      <c r="C49" s="629"/>
      <c r="D49" s="630"/>
      <c r="E49" s="326"/>
      <c r="F49" s="335"/>
      <c r="G49" s="323"/>
      <c r="H49" s="335"/>
      <c r="I49" s="29">
        <v>9.25</v>
      </c>
      <c r="J49" s="39">
        <v>3000</v>
      </c>
      <c r="K49" s="17">
        <f t="shared" si="1"/>
        <v>324.32432432432432</v>
      </c>
      <c r="L49" s="29">
        <v>9.25</v>
      </c>
      <c r="M49" s="18">
        <f>AVERAGE(M45:M48)</f>
        <v>2886.3433173498993</v>
      </c>
      <c r="N49" s="17">
        <f t="shared" si="3"/>
        <v>312.03711538917833</v>
      </c>
      <c r="O49" s="19">
        <f t="shared" si="4"/>
        <v>0</v>
      </c>
      <c r="P49" s="20">
        <f t="shared" si="5"/>
        <v>-12.287208935145998</v>
      </c>
      <c r="Q49" s="322">
        <f t="shared" si="6"/>
        <v>0.96211443911663319</v>
      </c>
      <c r="R49" s="645"/>
      <c r="S49" s="40"/>
      <c r="T49" s="40"/>
      <c r="U49" s="323"/>
      <c r="V49" s="334"/>
      <c r="W49" s="23"/>
      <c r="X49" s="23"/>
      <c r="Y49" s="30">
        <f>SUM(Y45:Y48)</f>
        <v>0</v>
      </c>
      <c r="Z49" s="30">
        <f>SUM(Z45:Z48)</f>
        <v>0</v>
      </c>
      <c r="AA49" s="646"/>
      <c r="AB49" s="647"/>
      <c r="AC49" s="30">
        <v>4</v>
      </c>
      <c r="AD49" s="30">
        <f>SUM(AD45:AD48)</f>
        <v>0</v>
      </c>
      <c r="AE49" s="19">
        <f t="shared" si="8"/>
        <v>-113.65668265010072</v>
      </c>
      <c r="AF49" s="322">
        <f t="shared" si="9"/>
        <v>0.96211443911663308</v>
      </c>
      <c r="AG49" s="645"/>
    </row>
    <row r="50" spans="1:33" ht="15.75" customHeight="1">
      <c r="A50" s="641" t="s">
        <v>1662</v>
      </c>
      <c r="B50" s="42" t="s">
        <v>92</v>
      </c>
      <c r="C50" s="633" t="s">
        <v>133</v>
      </c>
      <c r="D50" s="633"/>
      <c r="E50" s="42">
        <v>59.04</v>
      </c>
      <c r="F50" s="48">
        <v>1471</v>
      </c>
      <c r="G50" s="323">
        <f t="shared" ref="G50:G56" si="35">E50*F50</f>
        <v>86847.84</v>
      </c>
      <c r="H50" s="37" t="s">
        <v>91</v>
      </c>
      <c r="I50" s="333">
        <v>19</v>
      </c>
      <c r="J50" s="39">
        <v>2000</v>
      </c>
      <c r="K50" s="17">
        <f t="shared" si="1"/>
        <v>105.26315789473684</v>
      </c>
      <c r="L50" s="333">
        <v>19</v>
      </c>
      <c r="M50" s="18">
        <f t="shared" ref="M50" si="36">F50/V50*60</f>
        <v>1918.695652173913</v>
      </c>
      <c r="N50" s="18">
        <f t="shared" si="3"/>
        <v>100.98398169336384</v>
      </c>
      <c r="O50" s="19">
        <f t="shared" si="4"/>
        <v>0</v>
      </c>
      <c r="P50" s="20">
        <f t="shared" si="5"/>
        <v>-4.2791762013729908</v>
      </c>
      <c r="Q50" s="322">
        <f t="shared" si="6"/>
        <v>0.95934782608695657</v>
      </c>
      <c r="R50" s="637">
        <f>Q57</f>
        <v>0.95816972180018067</v>
      </c>
      <c r="S50" s="40">
        <v>0.20833333333333334</v>
      </c>
      <c r="T50" s="40">
        <v>0.24027777777777778</v>
      </c>
      <c r="U50" s="28"/>
      <c r="V50" s="334">
        <f t="shared" ref="V50:V56" si="37">(T50-S50)*24*60</f>
        <v>46</v>
      </c>
      <c r="W50" s="23"/>
      <c r="X50" s="23"/>
      <c r="Y50" s="28"/>
      <c r="Z50" s="28"/>
      <c r="AA50" s="632"/>
      <c r="AB50" s="632"/>
      <c r="AC50" s="135">
        <v>7</v>
      </c>
      <c r="AD50" s="25"/>
      <c r="AE50" s="19">
        <f t="shared" si="8"/>
        <v>-81.304347826086996</v>
      </c>
      <c r="AF50" s="322">
        <f t="shared" si="9"/>
        <v>0.95934782608695646</v>
      </c>
      <c r="AG50" s="637">
        <f>AF57</f>
        <v>0.95816972180018078</v>
      </c>
    </row>
    <row r="51" spans="1:33" ht="15.75" customHeight="1">
      <c r="A51" s="641" t="s">
        <v>1662</v>
      </c>
      <c r="B51" s="42" t="s">
        <v>103</v>
      </c>
      <c r="C51" s="633" t="s">
        <v>132</v>
      </c>
      <c r="D51" s="633"/>
      <c r="E51" s="42">
        <v>51.44</v>
      </c>
      <c r="F51" s="48">
        <v>4923</v>
      </c>
      <c r="G51" s="323">
        <f t="shared" si="35"/>
        <v>253239.12</v>
      </c>
      <c r="H51" s="37" t="s">
        <v>91</v>
      </c>
      <c r="I51" s="333">
        <v>18</v>
      </c>
      <c r="J51" s="39">
        <v>2000</v>
      </c>
      <c r="K51" s="17">
        <f t="shared" si="1"/>
        <v>111.11111111111111</v>
      </c>
      <c r="L51" s="333">
        <v>18</v>
      </c>
      <c r="M51" s="18">
        <f>F51/V51*60</f>
        <v>1905.6774193548388</v>
      </c>
      <c r="N51" s="18">
        <f t="shared" si="3"/>
        <v>105.87096774193549</v>
      </c>
      <c r="O51" s="19">
        <f t="shared" si="4"/>
        <v>0</v>
      </c>
      <c r="P51" s="20">
        <f t="shared" si="5"/>
        <v>-5.2401433691756267</v>
      </c>
      <c r="Q51" s="322">
        <f t="shared" si="6"/>
        <v>0.95283870967741935</v>
      </c>
      <c r="R51" s="637"/>
      <c r="S51" s="40">
        <v>0.24513888888888891</v>
      </c>
      <c r="T51" s="40">
        <v>0.3527777777777778</v>
      </c>
      <c r="U51" s="323">
        <f t="shared" ref="U51:U56" si="38">IF(S51=TIME(17,0,0),"",(S51-T50)*24*60)</f>
        <v>7.0000000000000151</v>
      </c>
      <c r="V51" s="334">
        <f t="shared" si="37"/>
        <v>155</v>
      </c>
      <c r="W51" s="23"/>
      <c r="X51" s="23"/>
      <c r="Y51" s="23"/>
      <c r="Z51" s="23"/>
      <c r="AA51" s="632"/>
      <c r="AB51" s="632"/>
      <c r="AC51" s="135"/>
      <c r="AD51" s="25"/>
      <c r="AE51" s="19">
        <f t="shared" si="8"/>
        <v>-94.322580645161224</v>
      </c>
      <c r="AF51" s="322">
        <f t="shared" si="9"/>
        <v>0.95283870967741935</v>
      </c>
      <c r="AG51" s="637"/>
    </row>
    <row r="52" spans="1:33" ht="15.75" customHeight="1">
      <c r="A52" s="641" t="s">
        <v>1662</v>
      </c>
      <c r="B52" s="42" t="s">
        <v>92</v>
      </c>
      <c r="C52" s="625" t="s">
        <v>135</v>
      </c>
      <c r="D52" s="626"/>
      <c r="E52" s="42">
        <v>51.44</v>
      </c>
      <c r="F52" s="48">
        <v>1864</v>
      </c>
      <c r="G52" s="323">
        <f t="shared" si="35"/>
        <v>95884.159999999989</v>
      </c>
      <c r="H52" s="37" t="s">
        <v>91</v>
      </c>
      <c r="I52" s="333">
        <v>25</v>
      </c>
      <c r="J52" s="39">
        <v>2000</v>
      </c>
      <c r="K52" s="17">
        <f t="shared" si="1"/>
        <v>80</v>
      </c>
      <c r="L52" s="333">
        <v>25</v>
      </c>
      <c r="M52" s="18">
        <f t="shared" ref="M52:M56" si="39">F52/V52*60</f>
        <v>1928.2758620689644</v>
      </c>
      <c r="N52" s="18">
        <f t="shared" si="3"/>
        <v>77.131034482758579</v>
      </c>
      <c r="O52" s="19">
        <f t="shared" si="4"/>
        <v>0</v>
      </c>
      <c r="P52" s="20">
        <f t="shared" si="5"/>
        <v>-2.8689655172414206</v>
      </c>
      <c r="Q52" s="322">
        <f t="shared" si="6"/>
        <v>0.9641379310344822</v>
      </c>
      <c r="R52" s="637"/>
      <c r="S52" s="40">
        <v>0.35694444444444445</v>
      </c>
      <c r="T52" s="40">
        <v>0.39722222222222225</v>
      </c>
      <c r="U52" s="323">
        <f t="shared" si="38"/>
        <v>5.9999999999999787</v>
      </c>
      <c r="V52" s="334">
        <f t="shared" si="37"/>
        <v>58.000000000000036</v>
      </c>
      <c r="W52" s="23"/>
      <c r="X52" s="23"/>
      <c r="Y52" s="26"/>
      <c r="Z52" s="26"/>
      <c r="AA52" s="632"/>
      <c r="AB52" s="632"/>
      <c r="AC52" s="135"/>
      <c r="AD52" s="25"/>
      <c r="AE52" s="19">
        <f t="shared" si="8"/>
        <v>-71.724137931035557</v>
      </c>
      <c r="AF52" s="322">
        <f t="shared" si="9"/>
        <v>0.9641379310344822</v>
      </c>
      <c r="AG52" s="637"/>
    </row>
    <row r="53" spans="1:33" ht="15.75" customHeight="1">
      <c r="A53" s="641" t="s">
        <v>1662</v>
      </c>
      <c r="B53" s="42" t="s">
        <v>96</v>
      </c>
      <c r="C53" s="327" t="s">
        <v>136</v>
      </c>
      <c r="D53" s="328"/>
      <c r="E53" s="42">
        <v>46</v>
      </c>
      <c r="F53" s="48">
        <v>1750</v>
      </c>
      <c r="G53" s="323">
        <f t="shared" si="35"/>
        <v>80500</v>
      </c>
      <c r="H53" s="37" t="s">
        <v>91</v>
      </c>
      <c r="I53" s="333">
        <v>16</v>
      </c>
      <c r="J53" s="39">
        <v>2000</v>
      </c>
      <c r="K53" s="17">
        <f t="shared" si="1"/>
        <v>125</v>
      </c>
      <c r="L53" s="333">
        <v>16</v>
      </c>
      <c r="M53" s="18">
        <f t="shared" si="39"/>
        <v>1909.0909090909104</v>
      </c>
      <c r="N53" s="18">
        <f t="shared" si="3"/>
        <v>119.3181818181819</v>
      </c>
      <c r="O53" s="19">
        <f t="shared" si="4"/>
        <v>0</v>
      </c>
      <c r="P53" s="20">
        <f t="shared" si="5"/>
        <v>-5.6818181818181017</v>
      </c>
      <c r="Q53" s="322">
        <f t="shared" si="6"/>
        <v>0.95454545454545514</v>
      </c>
      <c r="R53" s="637"/>
      <c r="S53" s="40">
        <v>0.40208333333333335</v>
      </c>
      <c r="T53" s="40">
        <v>0.44027777777777777</v>
      </c>
      <c r="U53" s="323">
        <f t="shared" si="38"/>
        <v>6.9999999999999751</v>
      </c>
      <c r="V53" s="334">
        <f t="shared" si="37"/>
        <v>54.999999999999964</v>
      </c>
      <c r="W53" s="23"/>
      <c r="X53" s="23"/>
      <c r="Y53" s="26"/>
      <c r="Z53" s="26"/>
      <c r="AA53" s="632"/>
      <c r="AB53" s="632"/>
      <c r="AC53" s="135"/>
      <c r="AD53" s="25"/>
      <c r="AE53" s="19">
        <f t="shared" si="8"/>
        <v>-90.909090909089628</v>
      </c>
      <c r="AF53" s="322">
        <f t="shared" si="9"/>
        <v>0.95454545454545514</v>
      </c>
      <c r="AG53" s="637"/>
    </row>
    <row r="54" spans="1:33" ht="15.75" customHeight="1">
      <c r="A54" s="641" t="s">
        <v>1662</v>
      </c>
      <c r="B54" s="42" t="s">
        <v>96</v>
      </c>
      <c r="C54" s="327" t="s">
        <v>137</v>
      </c>
      <c r="D54" s="328"/>
      <c r="E54" s="42">
        <v>46</v>
      </c>
      <c r="F54" s="48">
        <v>1852</v>
      </c>
      <c r="G54" s="323">
        <f t="shared" si="35"/>
        <v>85192</v>
      </c>
      <c r="H54" s="37" t="s">
        <v>91</v>
      </c>
      <c r="I54" s="333">
        <v>17</v>
      </c>
      <c r="J54" s="39">
        <v>2000</v>
      </c>
      <c r="K54" s="17">
        <f t="shared" si="1"/>
        <v>117.64705882352941</v>
      </c>
      <c r="L54" s="333">
        <v>17</v>
      </c>
      <c r="M54" s="18">
        <f t="shared" si="39"/>
        <v>1915.8620689655161</v>
      </c>
      <c r="N54" s="18">
        <f t="shared" si="3"/>
        <v>112.69776876267741</v>
      </c>
      <c r="O54" s="19">
        <f t="shared" si="4"/>
        <v>0</v>
      </c>
      <c r="P54" s="20">
        <f t="shared" si="5"/>
        <v>-4.9492900608519932</v>
      </c>
      <c r="Q54" s="322">
        <f t="shared" si="6"/>
        <v>0.95793103448275807</v>
      </c>
      <c r="R54" s="637"/>
      <c r="S54" s="40">
        <v>0.4458333333333333</v>
      </c>
      <c r="T54" s="40">
        <v>0.4861111111111111</v>
      </c>
      <c r="U54" s="323">
        <f t="shared" si="38"/>
        <v>7.9999999999999716</v>
      </c>
      <c r="V54" s="334">
        <f t="shared" si="37"/>
        <v>58.000000000000036</v>
      </c>
      <c r="W54" s="23"/>
      <c r="X54" s="23"/>
      <c r="Y54" s="26"/>
      <c r="Z54" s="26"/>
      <c r="AA54" s="632"/>
      <c r="AB54" s="632"/>
      <c r="AC54" s="135"/>
      <c r="AD54" s="25"/>
      <c r="AE54" s="19">
        <f t="shared" si="8"/>
        <v>-84.137931034483927</v>
      </c>
      <c r="AF54" s="322">
        <f t="shared" si="9"/>
        <v>0.95793103448275807</v>
      </c>
      <c r="AG54" s="637"/>
    </row>
    <row r="55" spans="1:33" ht="15.75" customHeight="1">
      <c r="A55" s="641" t="s">
        <v>1662</v>
      </c>
      <c r="B55" s="42" t="s">
        <v>92</v>
      </c>
      <c r="C55" s="625" t="s">
        <v>138</v>
      </c>
      <c r="D55" s="626"/>
      <c r="E55" s="42">
        <v>55.56</v>
      </c>
      <c r="F55" s="48">
        <v>2971</v>
      </c>
      <c r="G55" s="323">
        <f t="shared" si="35"/>
        <v>165068.76</v>
      </c>
      <c r="H55" s="37" t="s">
        <v>91</v>
      </c>
      <c r="I55" s="333">
        <v>17</v>
      </c>
      <c r="J55" s="39">
        <v>2000</v>
      </c>
      <c r="K55" s="17">
        <f t="shared" si="1"/>
        <v>117.64705882352941</v>
      </c>
      <c r="L55" s="333">
        <v>17</v>
      </c>
      <c r="M55" s="18">
        <f t="shared" si="39"/>
        <v>1916.7741935483875</v>
      </c>
      <c r="N55" s="18">
        <f t="shared" si="3"/>
        <v>112.75142314990515</v>
      </c>
      <c r="O55" s="19">
        <f t="shared" si="4"/>
        <v>0</v>
      </c>
      <c r="P55" s="20">
        <f t="shared" si="5"/>
        <v>-4.8956356736242554</v>
      </c>
      <c r="Q55" s="322">
        <f t="shared" si="6"/>
        <v>0.95838709677419387</v>
      </c>
      <c r="R55" s="637"/>
      <c r="S55" s="40">
        <v>0.70833333333333337</v>
      </c>
      <c r="T55" s="40">
        <v>0.7729166666666667</v>
      </c>
      <c r="U55" s="323" t="str">
        <f t="shared" si="38"/>
        <v/>
      </c>
      <c r="V55" s="334">
        <f t="shared" si="37"/>
        <v>92.999999999999986</v>
      </c>
      <c r="W55" s="23"/>
      <c r="X55" s="23"/>
      <c r="Y55" s="26"/>
      <c r="Z55" s="26"/>
      <c r="AA55" s="627"/>
      <c r="AB55" s="628"/>
      <c r="AC55" s="135"/>
      <c r="AD55" s="25"/>
      <c r="AE55" s="19">
        <f t="shared" si="8"/>
        <v>-83.22580645161247</v>
      </c>
      <c r="AF55" s="322">
        <f t="shared" si="9"/>
        <v>0.95838709677419376</v>
      </c>
      <c r="AG55" s="637"/>
    </row>
    <row r="56" spans="1:33" ht="15.75" customHeight="1">
      <c r="A56" s="641" t="s">
        <v>1662</v>
      </c>
      <c r="B56" s="42" t="s">
        <v>92</v>
      </c>
      <c r="C56" s="625" t="s">
        <v>420</v>
      </c>
      <c r="D56" s="626"/>
      <c r="E56" s="42">
        <v>58.17</v>
      </c>
      <c r="F56" s="48">
        <v>3168</v>
      </c>
      <c r="G56" s="323">
        <f t="shared" si="35"/>
        <v>184282.56</v>
      </c>
      <c r="H56" s="37" t="s">
        <v>91</v>
      </c>
      <c r="I56" s="333">
        <v>13</v>
      </c>
      <c r="J56" s="39">
        <v>2000</v>
      </c>
      <c r="K56" s="17">
        <f t="shared" si="1"/>
        <v>153.84615384615384</v>
      </c>
      <c r="L56" s="333">
        <v>13</v>
      </c>
      <c r="M56" s="18">
        <f t="shared" si="39"/>
        <v>1920.0000000000005</v>
      </c>
      <c r="N56" s="18">
        <f t="shared" si="3"/>
        <v>147.69230769230774</v>
      </c>
      <c r="O56" s="19">
        <f t="shared" si="4"/>
        <v>0</v>
      </c>
      <c r="P56" s="20">
        <f t="shared" si="5"/>
        <v>-6.1538461538461036</v>
      </c>
      <c r="Q56" s="322">
        <f t="shared" si="6"/>
        <v>0.9600000000000003</v>
      </c>
      <c r="R56" s="637"/>
      <c r="S56" s="40">
        <v>0.77708333333333335</v>
      </c>
      <c r="T56" s="40">
        <v>0.84583333333333333</v>
      </c>
      <c r="U56" s="323">
        <f t="shared" si="38"/>
        <v>5.9999999999999787</v>
      </c>
      <c r="V56" s="334">
        <f t="shared" si="37"/>
        <v>98.999999999999972</v>
      </c>
      <c r="W56" s="23"/>
      <c r="X56" s="23"/>
      <c r="Y56" s="26"/>
      <c r="Z56" s="26"/>
      <c r="AA56" s="627"/>
      <c r="AB56" s="628"/>
      <c r="AC56" s="135"/>
      <c r="AD56" s="25"/>
      <c r="AE56" s="19">
        <f t="shared" si="8"/>
        <v>-79.999999999999545</v>
      </c>
      <c r="AF56" s="322">
        <f t="shared" si="9"/>
        <v>0.96000000000000019</v>
      </c>
      <c r="AG56" s="637"/>
    </row>
    <row r="57" spans="1:33">
      <c r="A57" s="642" t="s">
        <v>1662</v>
      </c>
      <c r="B57" s="42" t="s">
        <v>1656</v>
      </c>
      <c r="C57" s="638"/>
      <c r="D57" s="638"/>
      <c r="E57" s="324"/>
      <c r="F57" s="44"/>
      <c r="G57" s="17"/>
      <c r="H57" s="335"/>
      <c r="I57" s="29">
        <v>17.857142857142858</v>
      </c>
      <c r="J57" s="39">
        <v>2000</v>
      </c>
      <c r="K57" s="17">
        <f t="shared" si="1"/>
        <v>112</v>
      </c>
      <c r="L57" s="29">
        <v>17.857142857142858</v>
      </c>
      <c r="M57" s="18">
        <f>AVERAGE(M50:M56)</f>
        <v>1916.3394436003616</v>
      </c>
      <c r="N57" s="17">
        <f t="shared" si="3"/>
        <v>107.31500884162024</v>
      </c>
      <c r="O57" s="19">
        <f t="shared" si="4"/>
        <v>0</v>
      </c>
      <c r="P57" s="20">
        <f t="shared" si="5"/>
        <v>-4.6849911583797592</v>
      </c>
      <c r="Q57" s="322">
        <f t="shared" si="6"/>
        <v>0.95816972180018067</v>
      </c>
      <c r="R57" s="637"/>
      <c r="S57" s="40"/>
      <c r="T57" s="40"/>
      <c r="U57" s="323"/>
      <c r="V57" s="334"/>
      <c r="W57" s="17"/>
      <c r="X57" s="17"/>
      <c r="Y57" s="30">
        <f>SUM(Y50:Y56)</f>
        <v>0</v>
      </c>
      <c r="Z57" s="30">
        <f>SUM(Z50:Z56)</f>
        <v>0</v>
      </c>
      <c r="AA57" s="631"/>
      <c r="AB57" s="631"/>
      <c r="AC57" s="30">
        <v>7</v>
      </c>
      <c r="AD57" s="30">
        <f>SUM(AD50:AD56)</f>
        <v>0</v>
      </c>
      <c r="AE57" s="19">
        <f>M57-J57</f>
        <v>-83.660556399638381</v>
      </c>
      <c r="AF57" s="322">
        <f t="shared" si="9"/>
        <v>0.95816972180018078</v>
      </c>
      <c r="AG57" s="637"/>
    </row>
    <row r="58" spans="1:33" ht="15.75" customHeight="1">
      <c r="A58" s="639" t="s">
        <v>1663</v>
      </c>
      <c r="B58" s="335" t="s">
        <v>127</v>
      </c>
      <c r="C58" s="633" t="s">
        <v>141</v>
      </c>
      <c r="D58" s="633"/>
      <c r="E58" s="42">
        <v>35.119999999999997</v>
      </c>
      <c r="F58" s="48">
        <v>4727</v>
      </c>
      <c r="G58" s="323">
        <f t="shared" ref="G58:G61" si="40">E58*F58</f>
        <v>166012.24</v>
      </c>
      <c r="H58" s="37" t="s">
        <v>91</v>
      </c>
      <c r="I58" s="333">
        <v>10</v>
      </c>
      <c r="J58" s="39">
        <v>3000</v>
      </c>
      <c r="K58" s="17">
        <f t="shared" si="1"/>
        <v>300</v>
      </c>
      <c r="L58" s="333">
        <v>10</v>
      </c>
      <c r="M58" s="18">
        <f t="shared" ref="M58:M61" si="41">F58/V58*60</f>
        <v>2864.8484848484845</v>
      </c>
      <c r="N58" s="17">
        <f t="shared" si="3"/>
        <v>286.48484848484844</v>
      </c>
      <c r="O58" s="19">
        <f t="shared" si="4"/>
        <v>0</v>
      </c>
      <c r="P58" s="20">
        <f t="shared" si="5"/>
        <v>-13.515151515151558</v>
      </c>
      <c r="Q58" s="322">
        <f t="shared" si="6"/>
        <v>0.95494949494949477</v>
      </c>
      <c r="R58" s="637">
        <f>Q62</f>
        <v>0.96098127617639828</v>
      </c>
      <c r="S58" s="40">
        <v>0.20833333333333334</v>
      </c>
      <c r="T58" s="40">
        <v>0.27708333333333335</v>
      </c>
      <c r="U58" s="323"/>
      <c r="V58" s="334">
        <f t="shared" ref="V58:V61" si="42">(T58-S58)*24*60</f>
        <v>99.000000000000014</v>
      </c>
      <c r="W58" s="23"/>
      <c r="X58" s="23"/>
      <c r="Y58" s="28"/>
      <c r="Z58" s="28"/>
      <c r="AA58" s="632"/>
      <c r="AB58" s="632"/>
      <c r="AC58" s="135">
        <v>4</v>
      </c>
      <c r="AD58" s="25"/>
      <c r="AE58" s="19">
        <f t="shared" ref="AE58:AE71" si="43">M58-J58</f>
        <v>-135.15151515151547</v>
      </c>
      <c r="AF58" s="322">
        <f t="shared" si="9"/>
        <v>0.95494949494949488</v>
      </c>
      <c r="AG58" s="637">
        <f>AF62</f>
        <v>0.96098127617639828</v>
      </c>
    </row>
    <row r="59" spans="1:33" ht="15.75" customHeight="1">
      <c r="A59" s="639" t="s">
        <v>1663</v>
      </c>
      <c r="B59" s="335" t="s">
        <v>127</v>
      </c>
      <c r="C59" s="633" t="s">
        <v>142</v>
      </c>
      <c r="D59" s="633"/>
      <c r="E59" s="42">
        <v>26.78</v>
      </c>
      <c r="F59" s="48">
        <v>2736</v>
      </c>
      <c r="G59" s="323">
        <f t="shared" si="40"/>
        <v>73270.080000000002</v>
      </c>
      <c r="H59" s="37" t="s">
        <v>91</v>
      </c>
      <c r="I59" s="333">
        <v>10</v>
      </c>
      <c r="J59" s="39">
        <v>3000</v>
      </c>
      <c r="K59" s="17">
        <f t="shared" si="1"/>
        <v>300</v>
      </c>
      <c r="L59" s="333">
        <v>10</v>
      </c>
      <c r="M59" s="18">
        <f t="shared" si="41"/>
        <v>2880.0000000000023</v>
      </c>
      <c r="N59" s="17">
        <f t="shared" si="3"/>
        <v>288.00000000000023</v>
      </c>
      <c r="O59" s="19">
        <f t="shared" si="4"/>
        <v>0</v>
      </c>
      <c r="P59" s="20">
        <f t="shared" si="5"/>
        <v>-11.999999999999773</v>
      </c>
      <c r="Q59" s="322">
        <f t="shared" si="6"/>
        <v>0.96000000000000074</v>
      </c>
      <c r="R59" s="637"/>
      <c r="S59" s="40">
        <v>0.28055555555555556</v>
      </c>
      <c r="T59" s="40">
        <v>0.32013888888888886</v>
      </c>
      <c r="U59" s="323">
        <f t="shared" ref="U59:U61" si="44">(S59-T58)*24*60</f>
        <v>4.9999999999999822</v>
      </c>
      <c r="V59" s="334">
        <f t="shared" si="42"/>
        <v>56.999999999999957</v>
      </c>
      <c r="W59" s="323"/>
      <c r="X59" s="323"/>
      <c r="Y59" s="323"/>
      <c r="Z59" s="323"/>
      <c r="AA59" s="632"/>
      <c r="AB59" s="632"/>
      <c r="AC59" s="135"/>
      <c r="AD59" s="25"/>
      <c r="AE59" s="19">
        <f t="shared" si="43"/>
        <v>-119.99999999999773</v>
      </c>
      <c r="AF59" s="322">
        <f t="shared" si="9"/>
        <v>0.96000000000000074</v>
      </c>
      <c r="AG59" s="637"/>
    </row>
    <row r="60" spans="1:33" ht="15.75" customHeight="1">
      <c r="A60" s="639" t="s">
        <v>1663</v>
      </c>
      <c r="B60" s="335" t="s">
        <v>127</v>
      </c>
      <c r="C60" s="633" t="s">
        <v>143</v>
      </c>
      <c r="D60" s="633"/>
      <c r="E60" s="42">
        <v>36.14</v>
      </c>
      <c r="F60" s="48">
        <v>1210</v>
      </c>
      <c r="G60" s="323">
        <f t="shared" si="40"/>
        <v>43729.4</v>
      </c>
      <c r="H60" s="37" t="s">
        <v>91</v>
      </c>
      <c r="I60" s="333">
        <v>11</v>
      </c>
      <c r="J60" s="39">
        <v>3000</v>
      </c>
      <c r="K60" s="17">
        <f t="shared" si="1"/>
        <v>272.72727272727275</v>
      </c>
      <c r="L60" s="333">
        <v>11</v>
      </c>
      <c r="M60" s="18">
        <f t="shared" si="41"/>
        <v>2904.0000000000009</v>
      </c>
      <c r="N60" s="17">
        <f t="shared" si="3"/>
        <v>264.00000000000006</v>
      </c>
      <c r="O60" s="19">
        <f t="shared" si="4"/>
        <v>0</v>
      </c>
      <c r="P60" s="20">
        <f t="shared" si="5"/>
        <v>-8.7272727272726911</v>
      </c>
      <c r="Q60" s="322">
        <f t="shared" si="6"/>
        <v>0.96800000000000008</v>
      </c>
      <c r="R60" s="637"/>
      <c r="S60" s="40">
        <v>0.32430555555555551</v>
      </c>
      <c r="T60" s="40">
        <v>0.34166666666666662</v>
      </c>
      <c r="U60" s="323">
        <f t="shared" si="44"/>
        <v>5.9999999999999787</v>
      </c>
      <c r="V60" s="334">
        <f t="shared" si="42"/>
        <v>24.999999999999993</v>
      </c>
      <c r="W60" s="323"/>
      <c r="X60" s="323"/>
      <c r="Y60" s="323"/>
      <c r="Z60" s="323"/>
      <c r="AA60" s="632"/>
      <c r="AB60" s="632"/>
      <c r="AC60" s="135"/>
      <c r="AD60" s="25"/>
      <c r="AE60" s="19">
        <f t="shared" si="43"/>
        <v>-95.999999999999091</v>
      </c>
      <c r="AF60" s="322">
        <f t="shared" si="9"/>
        <v>0.9680000000000003</v>
      </c>
      <c r="AG60" s="637"/>
    </row>
    <row r="61" spans="1:33" ht="15.75" customHeight="1">
      <c r="A61" s="639" t="s">
        <v>1663</v>
      </c>
      <c r="B61" s="335" t="s">
        <v>127</v>
      </c>
      <c r="C61" s="633" t="s">
        <v>144</v>
      </c>
      <c r="D61" s="633"/>
      <c r="E61" s="42">
        <v>35.869999999999997</v>
      </c>
      <c r="F61" s="48">
        <v>3940</v>
      </c>
      <c r="G61" s="323">
        <f t="shared" si="40"/>
        <v>141327.79999999999</v>
      </c>
      <c r="H61" s="37" t="s">
        <v>91</v>
      </c>
      <c r="I61" s="333">
        <v>10</v>
      </c>
      <c r="J61" s="39">
        <v>3000</v>
      </c>
      <c r="K61" s="17">
        <f t="shared" si="1"/>
        <v>300</v>
      </c>
      <c r="L61" s="333">
        <v>10</v>
      </c>
      <c r="M61" s="18">
        <f t="shared" si="41"/>
        <v>2882.9268292682918</v>
      </c>
      <c r="N61" s="17">
        <f t="shared" si="3"/>
        <v>288.29268292682917</v>
      </c>
      <c r="O61" s="19">
        <f t="shared" si="4"/>
        <v>0</v>
      </c>
      <c r="P61" s="20">
        <f t="shared" si="5"/>
        <v>-11.707317073170827</v>
      </c>
      <c r="Q61" s="322">
        <f t="shared" si="6"/>
        <v>0.96097560975609719</v>
      </c>
      <c r="R61" s="637"/>
      <c r="S61" s="40">
        <v>0.34513888888888883</v>
      </c>
      <c r="T61" s="40">
        <v>0.40208333333333329</v>
      </c>
      <c r="U61" s="323">
        <f t="shared" si="44"/>
        <v>4.9999999999999822</v>
      </c>
      <c r="V61" s="334">
        <f t="shared" si="42"/>
        <v>82.000000000000028</v>
      </c>
      <c r="W61" s="323"/>
      <c r="X61" s="323"/>
      <c r="Y61" s="323"/>
      <c r="Z61" s="323"/>
      <c r="AA61" s="632"/>
      <c r="AB61" s="632"/>
      <c r="AC61" s="135"/>
      <c r="AD61" s="25"/>
      <c r="AE61" s="19">
        <f t="shared" si="43"/>
        <v>-117.07317073170816</v>
      </c>
      <c r="AF61" s="322">
        <f t="shared" si="9"/>
        <v>0.9609756097560973</v>
      </c>
      <c r="AG61" s="637"/>
    </row>
    <row r="62" spans="1:33">
      <c r="A62" s="640" t="s">
        <v>1663</v>
      </c>
      <c r="B62" s="42" t="s">
        <v>1656</v>
      </c>
      <c r="C62" s="638"/>
      <c r="D62" s="638"/>
      <c r="E62" s="324"/>
      <c r="F62" s="44"/>
      <c r="G62" s="17"/>
      <c r="H62" s="335"/>
      <c r="I62" s="29">
        <v>10.25</v>
      </c>
      <c r="J62" s="39">
        <v>3000</v>
      </c>
      <c r="K62" s="17">
        <f t="shared" si="1"/>
        <v>292.6829268292683</v>
      </c>
      <c r="L62" s="29">
        <v>10.25</v>
      </c>
      <c r="M62" s="18">
        <f>AVERAGE(M58:M61)</f>
        <v>2882.9438285291949</v>
      </c>
      <c r="N62" s="17">
        <f t="shared" si="3"/>
        <v>281.26281253943364</v>
      </c>
      <c r="O62" s="19">
        <f t="shared" si="4"/>
        <v>0</v>
      </c>
      <c r="P62" s="20">
        <f t="shared" si="5"/>
        <v>-11.420114289834657</v>
      </c>
      <c r="Q62" s="322">
        <f t="shared" si="6"/>
        <v>0.96098127617639828</v>
      </c>
      <c r="R62" s="637"/>
      <c r="S62" s="40"/>
      <c r="T62" s="40"/>
      <c r="U62" s="17"/>
      <c r="V62" s="334"/>
      <c r="W62" s="17"/>
      <c r="X62" s="17"/>
      <c r="Y62" s="30">
        <f>SUM(Y58:Y61)</f>
        <v>0</v>
      </c>
      <c r="Z62" s="30">
        <f>SUM(Z58:Z61)</f>
        <v>0</v>
      </c>
      <c r="AA62" s="631"/>
      <c r="AB62" s="631"/>
      <c r="AC62" s="30">
        <v>4</v>
      </c>
      <c r="AD62" s="30">
        <f>SUM(AD58:AD61)</f>
        <v>0</v>
      </c>
      <c r="AE62" s="19">
        <f t="shared" si="43"/>
        <v>-117.05617147080511</v>
      </c>
      <c r="AF62" s="322">
        <f t="shared" si="9"/>
        <v>0.96098127617639828</v>
      </c>
      <c r="AG62" s="637"/>
    </row>
    <row r="63" spans="1:33" ht="15.75" customHeight="1">
      <c r="A63" s="634" t="s">
        <v>1664</v>
      </c>
      <c r="B63" s="335" t="s">
        <v>116</v>
      </c>
      <c r="C63" s="633" t="s">
        <v>145</v>
      </c>
      <c r="D63" s="633"/>
      <c r="E63" s="42">
        <v>19.02</v>
      </c>
      <c r="F63" s="335">
        <v>6300</v>
      </c>
      <c r="G63" s="323">
        <f t="shared" ref="G63:G70" si="45">E63*F63</f>
        <v>119826</v>
      </c>
      <c r="H63" s="37">
        <v>2</v>
      </c>
      <c r="I63" s="333">
        <v>14</v>
      </c>
      <c r="J63" s="39">
        <v>2400</v>
      </c>
      <c r="K63" s="17">
        <f t="shared" si="1"/>
        <v>171.42857142857142</v>
      </c>
      <c r="L63" s="333">
        <v>14</v>
      </c>
      <c r="M63" s="18">
        <f t="shared" ref="M63:M70" si="46">F63/V63*60</f>
        <v>2290.909090909091</v>
      </c>
      <c r="N63" s="17">
        <f t="shared" si="3"/>
        <v>163.63636363636365</v>
      </c>
      <c r="O63" s="19">
        <f t="shared" si="4"/>
        <v>0</v>
      </c>
      <c r="P63" s="20">
        <f t="shared" si="5"/>
        <v>-7.7922077922077619</v>
      </c>
      <c r="Q63" s="322">
        <f t="shared" si="6"/>
        <v>0.9545454545454547</v>
      </c>
      <c r="R63" s="637">
        <f>Q71</f>
        <v>0.96006105633243011</v>
      </c>
      <c r="S63" s="40">
        <v>8.3333333333333329E-2</v>
      </c>
      <c r="T63" s="40">
        <v>0.19791666666666666</v>
      </c>
      <c r="U63" s="28"/>
      <c r="V63" s="334">
        <f t="shared" ref="V63:V70" si="47">(T63-S63)*24*60</f>
        <v>165</v>
      </c>
      <c r="W63" s="23">
        <f>T63</f>
        <v>0.19791666666666666</v>
      </c>
      <c r="X63" s="23">
        <f>S64</f>
        <v>0.21666666666666667</v>
      </c>
      <c r="Y63" s="23"/>
      <c r="Z63" s="23"/>
      <c r="AA63" s="632"/>
      <c r="AB63" s="632"/>
      <c r="AC63" s="135">
        <v>8</v>
      </c>
      <c r="AD63" s="25"/>
      <c r="AE63" s="19">
        <f t="shared" si="43"/>
        <v>-109.09090909090901</v>
      </c>
      <c r="AF63" s="322">
        <f t="shared" si="9"/>
        <v>0.95454545454545459</v>
      </c>
      <c r="AG63" s="637">
        <f>AF71</f>
        <v>0.96006105633243011</v>
      </c>
    </row>
    <row r="64" spans="1:33" ht="15.75" customHeight="1">
      <c r="A64" s="635" t="s">
        <v>1664</v>
      </c>
      <c r="B64" s="335" t="s">
        <v>116</v>
      </c>
      <c r="C64" s="633" t="s">
        <v>146</v>
      </c>
      <c r="D64" s="633"/>
      <c r="E64" s="42">
        <v>20.36</v>
      </c>
      <c r="F64" s="335">
        <v>2600</v>
      </c>
      <c r="G64" s="323">
        <f t="shared" si="45"/>
        <v>52936</v>
      </c>
      <c r="H64" s="37">
        <v>2</v>
      </c>
      <c r="I64" s="333">
        <v>17</v>
      </c>
      <c r="J64" s="39">
        <v>2400</v>
      </c>
      <c r="K64" s="17">
        <f t="shared" si="1"/>
        <v>141.1764705882353</v>
      </c>
      <c r="L64" s="333">
        <v>17</v>
      </c>
      <c r="M64" s="18">
        <f t="shared" si="46"/>
        <v>2294.1176470588234</v>
      </c>
      <c r="N64" s="17">
        <f t="shared" si="3"/>
        <v>134.94809688581313</v>
      </c>
      <c r="O64" s="19">
        <f t="shared" si="4"/>
        <v>0</v>
      </c>
      <c r="P64" s="20">
        <f t="shared" si="5"/>
        <v>-6.228373702422175</v>
      </c>
      <c r="Q64" s="322">
        <f t="shared" si="6"/>
        <v>0.95588235294117629</v>
      </c>
      <c r="R64" s="637"/>
      <c r="S64" s="40">
        <v>0.21666666666666667</v>
      </c>
      <c r="T64" s="40">
        <v>0.2638888888888889</v>
      </c>
      <c r="U64" s="323">
        <f t="shared" ref="U64:U70" si="48">(S64-T63)*24*60</f>
        <v>27.000000000000025</v>
      </c>
      <c r="V64" s="334">
        <f t="shared" si="47"/>
        <v>68</v>
      </c>
      <c r="W64" s="23"/>
      <c r="X64" s="23"/>
      <c r="Y64" s="23"/>
      <c r="Z64" s="23"/>
      <c r="AA64" s="632"/>
      <c r="AB64" s="632"/>
      <c r="AC64" s="135"/>
      <c r="AD64" s="25"/>
      <c r="AE64" s="19">
        <f t="shared" si="43"/>
        <v>-105.88235294117658</v>
      </c>
      <c r="AF64" s="322">
        <f t="shared" si="9"/>
        <v>0.95588235294117641</v>
      </c>
      <c r="AG64" s="637"/>
    </row>
    <row r="65" spans="1:33" ht="15.75" customHeight="1">
      <c r="A65" s="635" t="s">
        <v>1664</v>
      </c>
      <c r="B65" s="335" t="s">
        <v>116</v>
      </c>
      <c r="C65" s="633" t="s">
        <v>120</v>
      </c>
      <c r="D65" s="633"/>
      <c r="E65" s="42">
        <v>25.99</v>
      </c>
      <c r="F65" s="335">
        <v>1408</v>
      </c>
      <c r="G65" s="323">
        <f t="shared" si="45"/>
        <v>36593.919999999998</v>
      </c>
      <c r="H65" s="37" t="s">
        <v>91</v>
      </c>
      <c r="I65" s="333">
        <v>18</v>
      </c>
      <c r="J65" s="39">
        <v>2400</v>
      </c>
      <c r="K65" s="17">
        <f t="shared" si="1"/>
        <v>133.33333333333334</v>
      </c>
      <c r="L65" s="333">
        <v>18</v>
      </c>
      <c r="M65" s="18">
        <f t="shared" si="46"/>
        <v>2346.6666666666647</v>
      </c>
      <c r="N65" s="17">
        <f t="shared" si="3"/>
        <v>130.37037037037027</v>
      </c>
      <c r="O65" s="19">
        <f t="shared" si="4"/>
        <v>0</v>
      </c>
      <c r="P65" s="20">
        <f t="shared" si="5"/>
        <v>-2.9629629629630756</v>
      </c>
      <c r="Q65" s="322">
        <f t="shared" si="6"/>
        <v>0.97777777777777697</v>
      </c>
      <c r="R65" s="637"/>
      <c r="S65" s="40">
        <v>0.26874999999999999</v>
      </c>
      <c r="T65" s="40">
        <v>0.29375000000000001</v>
      </c>
      <c r="U65" s="323">
        <f t="shared" si="48"/>
        <v>6.9999999999999751</v>
      </c>
      <c r="V65" s="334">
        <f t="shared" si="47"/>
        <v>36.000000000000028</v>
      </c>
      <c r="W65" s="23"/>
      <c r="X65" s="23"/>
      <c r="Y65" s="23"/>
      <c r="Z65" s="23"/>
      <c r="AA65" s="632"/>
      <c r="AB65" s="632"/>
      <c r="AC65" s="135"/>
      <c r="AD65" s="25"/>
      <c r="AE65" s="19">
        <f t="shared" si="43"/>
        <v>-53.333333333335304</v>
      </c>
      <c r="AF65" s="322">
        <f t="shared" si="9"/>
        <v>0.97777777777777697</v>
      </c>
      <c r="AG65" s="637"/>
    </row>
    <row r="66" spans="1:33" ht="15.75" customHeight="1">
      <c r="A66" s="635" t="s">
        <v>1664</v>
      </c>
      <c r="B66" s="335" t="s">
        <v>116</v>
      </c>
      <c r="C66" s="633" t="s">
        <v>148</v>
      </c>
      <c r="D66" s="633"/>
      <c r="E66" s="42">
        <v>28.29</v>
      </c>
      <c r="F66" s="335">
        <v>4265</v>
      </c>
      <c r="G66" s="323">
        <f t="shared" si="45"/>
        <v>120656.84999999999</v>
      </c>
      <c r="H66" s="37" t="s">
        <v>91</v>
      </c>
      <c r="I66" s="333">
        <v>19</v>
      </c>
      <c r="J66" s="39">
        <v>2400</v>
      </c>
      <c r="K66" s="17">
        <f t="shared" si="1"/>
        <v>126.31578947368421</v>
      </c>
      <c r="L66" s="333">
        <v>19</v>
      </c>
      <c r="M66" s="18">
        <f t="shared" si="46"/>
        <v>2305.4054054054054</v>
      </c>
      <c r="N66" s="17">
        <f t="shared" si="3"/>
        <v>121.33712660028449</v>
      </c>
      <c r="O66" s="19">
        <f t="shared" si="4"/>
        <v>0</v>
      </c>
      <c r="P66" s="20">
        <f t="shared" si="5"/>
        <v>-4.9786628733997134</v>
      </c>
      <c r="Q66" s="322">
        <f t="shared" si="6"/>
        <v>0.9605855855855856</v>
      </c>
      <c r="R66" s="637"/>
      <c r="S66" s="40">
        <v>0.29791666666666666</v>
      </c>
      <c r="T66" s="40">
        <v>0.375</v>
      </c>
      <c r="U66" s="323">
        <f t="shared" si="48"/>
        <v>5.9999999999999787</v>
      </c>
      <c r="V66" s="334">
        <f t="shared" si="47"/>
        <v>111</v>
      </c>
      <c r="W66" s="23"/>
      <c r="X66" s="23"/>
      <c r="Y66" s="23"/>
      <c r="Z66" s="23"/>
      <c r="AA66" s="632"/>
      <c r="AB66" s="632"/>
      <c r="AC66" s="135"/>
      <c r="AD66" s="25"/>
      <c r="AE66" s="19">
        <f t="shared" si="43"/>
        <v>-94.594594594594582</v>
      </c>
      <c r="AF66" s="322">
        <f t="shared" si="9"/>
        <v>0.9605855855855856</v>
      </c>
      <c r="AG66" s="637"/>
    </row>
    <row r="67" spans="1:33" ht="15.75" customHeight="1">
      <c r="A67" s="635" t="s">
        <v>1664</v>
      </c>
      <c r="B67" s="335" t="s">
        <v>116</v>
      </c>
      <c r="C67" s="633" t="s">
        <v>149</v>
      </c>
      <c r="D67" s="633"/>
      <c r="E67" s="42">
        <v>24.25</v>
      </c>
      <c r="F67" s="335">
        <v>4011</v>
      </c>
      <c r="G67" s="323">
        <f t="shared" si="45"/>
        <v>97266.75</v>
      </c>
      <c r="H67" s="37" t="s">
        <v>91</v>
      </c>
      <c r="I67" s="333">
        <v>16</v>
      </c>
      <c r="J67" s="39">
        <v>2400</v>
      </c>
      <c r="K67" s="17">
        <f t="shared" si="1"/>
        <v>150</v>
      </c>
      <c r="L67" s="333">
        <v>16</v>
      </c>
      <c r="M67" s="18">
        <f t="shared" si="46"/>
        <v>2291.9999999999991</v>
      </c>
      <c r="N67" s="17">
        <f t="shared" si="3"/>
        <v>143.24999999999994</v>
      </c>
      <c r="O67" s="19">
        <f t="shared" si="4"/>
        <v>0</v>
      </c>
      <c r="P67" s="20">
        <f t="shared" si="5"/>
        <v>-6.7500000000000568</v>
      </c>
      <c r="Q67" s="322">
        <f t="shared" si="6"/>
        <v>0.95499999999999963</v>
      </c>
      <c r="R67" s="637"/>
      <c r="S67" s="40">
        <v>0.37986111111111109</v>
      </c>
      <c r="T67" s="40">
        <v>0.45277777777777778</v>
      </c>
      <c r="U67" s="323">
        <f t="shared" si="48"/>
        <v>6.9999999999999751</v>
      </c>
      <c r="V67" s="334">
        <f t="shared" si="47"/>
        <v>105.00000000000003</v>
      </c>
      <c r="W67" s="23"/>
      <c r="X67" s="23"/>
      <c r="Y67" s="23"/>
      <c r="Z67" s="23"/>
      <c r="AA67" s="632"/>
      <c r="AB67" s="632"/>
      <c r="AC67" s="135"/>
      <c r="AD67" s="25"/>
      <c r="AE67" s="19">
        <f t="shared" si="43"/>
        <v>-108.00000000000091</v>
      </c>
      <c r="AF67" s="322">
        <f t="shared" si="9"/>
        <v>0.95499999999999963</v>
      </c>
      <c r="AG67" s="637"/>
    </row>
    <row r="68" spans="1:33" ht="15.75" customHeight="1">
      <c r="A68" s="635" t="s">
        <v>1664</v>
      </c>
      <c r="B68" s="335" t="s">
        <v>116</v>
      </c>
      <c r="C68" s="633" t="s">
        <v>150</v>
      </c>
      <c r="D68" s="633"/>
      <c r="E68" s="42">
        <v>23.89</v>
      </c>
      <c r="F68" s="335">
        <v>3142</v>
      </c>
      <c r="G68" s="323">
        <f t="shared" si="45"/>
        <v>75062.38</v>
      </c>
      <c r="H68" s="37" t="s">
        <v>91</v>
      </c>
      <c r="I68" s="333">
        <v>13</v>
      </c>
      <c r="J68" s="39">
        <v>2400</v>
      </c>
      <c r="K68" s="17">
        <f t="shared" si="1"/>
        <v>184.61538461538461</v>
      </c>
      <c r="L68" s="333">
        <v>13</v>
      </c>
      <c r="M68" s="18">
        <f t="shared" si="46"/>
        <v>2299.0243902439038</v>
      </c>
      <c r="N68" s="17">
        <f t="shared" si="3"/>
        <v>176.84803001876182</v>
      </c>
      <c r="O68" s="19">
        <f t="shared" si="4"/>
        <v>0</v>
      </c>
      <c r="P68" s="20">
        <f t="shared" si="5"/>
        <v>-7.7673545966227948</v>
      </c>
      <c r="Q68" s="322">
        <f t="shared" si="6"/>
        <v>0.9579268292682932</v>
      </c>
      <c r="R68" s="637"/>
      <c r="S68" s="40">
        <v>0.45624999999999999</v>
      </c>
      <c r="T68" s="40">
        <v>0.5131944444444444</v>
      </c>
      <c r="U68" s="323">
        <f t="shared" si="48"/>
        <v>4.9999999999999822</v>
      </c>
      <c r="V68" s="334">
        <f t="shared" si="47"/>
        <v>81.999999999999943</v>
      </c>
      <c r="W68" s="23">
        <f>T68</f>
        <v>0.5131944444444444</v>
      </c>
      <c r="X68" s="23">
        <f>S69</f>
        <v>0.55486111111111103</v>
      </c>
      <c r="Y68" s="23"/>
      <c r="Z68" s="23"/>
      <c r="AA68" s="632"/>
      <c r="AB68" s="632"/>
      <c r="AC68" s="135"/>
      <c r="AD68" s="25"/>
      <c r="AE68" s="19">
        <f t="shared" si="43"/>
        <v>-100.97560975609622</v>
      </c>
      <c r="AF68" s="322">
        <f t="shared" si="9"/>
        <v>0.9579268292682932</v>
      </c>
      <c r="AG68" s="637"/>
    </row>
    <row r="69" spans="1:33" ht="15.75" customHeight="1">
      <c r="A69" s="635" t="s">
        <v>1664</v>
      </c>
      <c r="B69" s="335" t="s">
        <v>116</v>
      </c>
      <c r="C69" s="625" t="s">
        <v>146</v>
      </c>
      <c r="D69" s="626"/>
      <c r="E69" s="42">
        <v>20.36</v>
      </c>
      <c r="F69" s="335">
        <v>2234</v>
      </c>
      <c r="G69" s="323">
        <f t="shared" si="45"/>
        <v>45484.24</v>
      </c>
      <c r="H69" s="37" t="s">
        <v>91</v>
      </c>
      <c r="I69" s="333">
        <v>17</v>
      </c>
      <c r="J69" s="39">
        <v>2400</v>
      </c>
      <c r="K69" s="17">
        <f t="shared" ref="K69:K71" si="49">J69/I69</f>
        <v>141.1764705882353</v>
      </c>
      <c r="L69" s="333">
        <v>17</v>
      </c>
      <c r="M69" s="18">
        <f t="shared" si="46"/>
        <v>2311.0344827586223</v>
      </c>
      <c r="N69" s="17">
        <f t="shared" ref="N69:N71" si="50">M69/L69</f>
        <v>135.94320486815425</v>
      </c>
      <c r="O69" s="19">
        <f t="shared" ref="O69:O71" si="51">L69-I69</f>
        <v>0</v>
      </c>
      <c r="P69" s="20">
        <f t="shared" ref="P69:P71" si="52">N69-K69</f>
        <v>-5.2332657200810502</v>
      </c>
      <c r="Q69" s="322">
        <f t="shared" ref="Q69:Q71" si="53">N69/K69</f>
        <v>0.96293103448275918</v>
      </c>
      <c r="R69" s="637"/>
      <c r="S69" s="40">
        <v>0.55486111111111103</v>
      </c>
      <c r="T69" s="40">
        <v>0.59513888888888877</v>
      </c>
      <c r="U69" s="323">
        <f t="shared" si="48"/>
        <v>59.999999999999943</v>
      </c>
      <c r="V69" s="334">
        <f t="shared" si="47"/>
        <v>57.999999999999957</v>
      </c>
      <c r="W69" s="23"/>
      <c r="X69" s="23"/>
      <c r="Y69" s="26"/>
      <c r="Z69" s="26"/>
      <c r="AA69" s="627"/>
      <c r="AB69" s="628"/>
      <c r="AC69" s="135"/>
      <c r="AD69" s="25"/>
      <c r="AE69" s="19">
        <f t="shared" si="43"/>
        <v>-88.965517241377711</v>
      </c>
      <c r="AF69" s="322">
        <f t="shared" ref="AF69:AF71" si="54">M69/J69</f>
        <v>0.9629310344827593</v>
      </c>
      <c r="AG69" s="637"/>
    </row>
    <row r="70" spans="1:33" ht="15.75" customHeight="1">
      <c r="A70" s="635" t="s">
        <v>1664</v>
      </c>
      <c r="B70" s="335" t="s">
        <v>116</v>
      </c>
      <c r="C70" s="625" t="s">
        <v>145</v>
      </c>
      <c r="D70" s="626"/>
      <c r="E70" s="42">
        <v>19.02</v>
      </c>
      <c r="F70" s="335">
        <v>5238</v>
      </c>
      <c r="G70" s="323">
        <f t="shared" si="45"/>
        <v>99626.76</v>
      </c>
      <c r="H70" s="37" t="s">
        <v>91</v>
      </c>
      <c r="I70" s="333">
        <v>14</v>
      </c>
      <c r="J70" s="39">
        <v>2400</v>
      </c>
      <c r="K70" s="17">
        <f t="shared" si="49"/>
        <v>171.42857142857142</v>
      </c>
      <c r="L70" s="333">
        <v>14</v>
      </c>
      <c r="M70" s="18">
        <f t="shared" si="46"/>
        <v>2294.0145985401464</v>
      </c>
      <c r="N70" s="17">
        <f t="shared" si="50"/>
        <v>163.85818561001045</v>
      </c>
      <c r="O70" s="19">
        <f t="shared" si="51"/>
        <v>0</v>
      </c>
      <c r="P70" s="20">
        <f t="shared" si="52"/>
        <v>-7.5703858185609647</v>
      </c>
      <c r="Q70" s="322">
        <f t="shared" si="53"/>
        <v>0.9558394160583944</v>
      </c>
      <c r="R70" s="637"/>
      <c r="S70" s="40">
        <v>0.59930555555555542</v>
      </c>
      <c r="T70" s="40">
        <v>0.69444444444444431</v>
      </c>
      <c r="U70" s="323">
        <f t="shared" si="48"/>
        <v>5.9999999999999787</v>
      </c>
      <c r="V70" s="334">
        <f t="shared" si="47"/>
        <v>137</v>
      </c>
      <c r="W70" s="23"/>
      <c r="X70" s="23"/>
      <c r="Y70" s="26"/>
      <c r="Z70" s="26"/>
      <c r="AA70" s="627"/>
      <c r="AB70" s="628"/>
      <c r="AC70" s="135"/>
      <c r="AD70" s="25"/>
      <c r="AE70" s="19">
        <f t="shared" si="43"/>
        <v>-105.98540145985362</v>
      </c>
      <c r="AF70" s="322">
        <f t="shared" si="54"/>
        <v>0.95583941605839429</v>
      </c>
      <c r="AG70" s="637"/>
    </row>
    <row r="71" spans="1:33" ht="16.5" customHeight="1">
      <c r="A71" s="636" t="s">
        <v>1664</v>
      </c>
      <c r="B71" s="42" t="s">
        <v>1656</v>
      </c>
      <c r="C71" s="629"/>
      <c r="D71" s="630"/>
      <c r="E71" s="324"/>
      <c r="F71" s="44"/>
      <c r="G71" s="17"/>
      <c r="H71" s="335"/>
      <c r="I71" s="29">
        <v>16</v>
      </c>
      <c r="J71" s="39">
        <v>2400</v>
      </c>
      <c r="K71" s="17">
        <f t="shared" si="49"/>
        <v>150</v>
      </c>
      <c r="L71" s="29">
        <v>16</v>
      </c>
      <c r="M71" s="18">
        <f>AVERAGE(M63:M70)</f>
        <v>2304.1465351978322</v>
      </c>
      <c r="N71" s="17">
        <f t="shared" si="50"/>
        <v>144.00915844986451</v>
      </c>
      <c r="O71" s="19">
        <f t="shared" si="51"/>
        <v>0</v>
      </c>
      <c r="P71" s="20">
        <f t="shared" si="52"/>
        <v>-5.9908415501354852</v>
      </c>
      <c r="Q71" s="322">
        <f t="shared" si="53"/>
        <v>0.96006105633243011</v>
      </c>
      <c r="R71" s="637"/>
      <c r="S71" s="40"/>
      <c r="T71" s="40"/>
      <c r="U71" s="17"/>
      <c r="V71" s="334"/>
      <c r="W71" s="17"/>
      <c r="X71" s="17"/>
      <c r="Y71" s="30">
        <f>SUM(Y63:Y70)</f>
        <v>0</v>
      </c>
      <c r="Z71" s="30">
        <f>SUM(Z63:Z70)</f>
        <v>0</v>
      </c>
      <c r="AA71" s="631"/>
      <c r="AB71" s="631"/>
      <c r="AC71" s="30">
        <v>8</v>
      </c>
      <c r="AD71" s="30">
        <f>SUM(AD63:AD70)</f>
        <v>0</v>
      </c>
      <c r="AE71" s="19">
        <f t="shared" si="43"/>
        <v>-95.853464802167764</v>
      </c>
      <c r="AF71" s="322">
        <f t="shared" si="54"/>
        <v>0.96006105633243011</v>
      </c>
      <c r="AG71" s="637"/>
    </row>
    <row r="72" spans="1:33">
      <c r="D72" s="33"/>
      <c r="E72" s="33"/>
    </row>
  </sheetData>
  <mergeCells count="191">
    <mergeCell ref="AG63:AG71"/>
    <mergeCell ref="C64:D64"/>
    <mergeCell ref="AA64:AB64"/>
    <mergeCell ref="C65:D65"/>
    <mergeCell ref="AA65:AB65"/>
    <mergeCell ref="C66:D66"/>
    <mergeCell ref="AA66:AB66"/>
    <mergeCell ref="C67:D67"/>
    <mergeCell ref="AA67:AB67"/>
    <mergeCell ref="C68:D68"/>
    <mergeCell ref="A63:A71"/>
    <mergeCell ref="C63:D63"/>
    <mergeCell ref="R63:R71"/>
    <mergeCell ref="AA63:AB63"/>
    <mergeCell ref="AA68:AB68"/>
    <mergeCell ref="C69:D69"/>
    <mergeCell ref="AA69:AB69"/>
    <mergeCell ref="A58:A62"/>
    <mergeCell ref="C58:D58"/>
    <mergeCell ref="R58:R62"/>
    <mergeCell ref="AA58:AB58"/>
    <mergeCell ref="C70:D70"/>
    <mergeCell ref="AA70:AB70"/>
    <mergeCell ref="C71:D71"/>
    <mergeCell ref="AA71:AB71"/>
    <mergeCell ref="AG58:AG62"/>
    <mergeCell ref="C59:D59"/>
    <mergeCell ref="AA59:AB59"/>
    <mergeCell ref="C60:D60"/>
    <mergeCell ref="AA60:AB60"/>
    <mergeCell ref="C61:D61"/>
    <mergeCell ref="AA54:AB54"/>
    <mergeCell ref="C55:D55"/>
    <mergeCell ref="AA55:AB55"/>
    <mergeCell ref="C56:D56"/>
    <mergeCell ref="AA56:AB56"/>
    <mergeCell ref="C57:D57"/>
    <mergeCell ref="AA57:AB57"/>
    <mergeCell ref="AA61:AB61"/>
    <mergeCell ref="C62:D62"/>
    <mergeCell ref="AA62:AB62"/>
    <mergeCell ref="A50:A57"/>
    <mergeCell ref="C50:D50"/>
    <mergeCell ref="R50:R57"/>
    <mergeCell ref="AA50:AB50"/>
    <mergeCell ref="AG50:AG57"/>
    <mergeCell ref="C51:D51"/>
    <mergeCell ref="AA51:AB51"/>
    <mergeCell ref="C52:D52"/>
    <mergeCell ref="AA52:AB52"/>
    <mergeCell ref="AA53:AB53"/>
    <mergeCell ref="A45:A49"/>
    <mergeCell ref="C45:D45"/>
    <mergeCell ref="R45:R49"/>
    <mergeCell ref="AA45:AB45"/>
    <mergeCell ref="AG37:AG44"/>
    <mergeCell ref="C38:D38"/>
    <mergeCell ref="AA38:AB38"/>
    <mergeCell ref="C39:D39"/>
    <mergeCell ref="AA39:AB39"/>
    <mergeCell ref="C40:D40"/>
    <mergeCell ref="AA40:AB40"/>
    <mergeCell ref="C41:D41"/>
    <mergeCell ref="AA41:AB41"/>
    <mergeCell ref="C42:D42"/>
    <mergeCell ref="AG45:AG49"/>
    <mergeCell ref="C46:D46"/>
    <mergeCell ref="AA46:AB46"/>
    <mergeCell ref="C47:D47"/>
    <mergeCell ref="AA47:AB47"/>
    <mergeCell ref="C48:D48"/>
    <mergeCell ref="AA48:AB48"/>
    <mergeCell ref="C49:D49"/>
    <mergeCell ref="AA49:AB49"/>
    <mergeCell ref="A37:A44"/>
    <mergeCell ref="C37:D37"/>
    <mergeCell ref="R37:R44"/>
    <mergeCell ref="AA37:AB37"/>
    <mergeCell ref="AA42:AB42"/>
    <mergeCell ref="C43:D43"/>
    <mergeCell ref="AA43:AB43"/>
    <mergeCell ref="C44:D44"/>
    <mergeCell ref="AA44:AB44"/>
    <mergeCell ref="A29:A36"/>
    <mergeCell ref="C29:D29"/>
    <mergeCell ref="R29:R36"/>
    <mergeCell ref="AA29:AB29"/>
    <mergeCell ref="AA34:AB34"/>
    <mergeCell ref="C35:D35"/>
    <mergeCell ref="AG29:AG36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C34:D34"/>
    <mergeCell ref="AA35:AB35"/>
    <mergeCell ref="C36:D36"/>
    <mergeCell ref="AA36:AB36"/>
    <mergeCell ref="AG21:AG28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C27:D27"/>
    <mergeCell ref="AA27:AB27"/>
    <mergeCell ref="C28:D28"/>
    <mergeCell ref="AA28:AB28"/>
    <mergeCell ref="A21:A28"/>
    <mergeCell ref="C21:D21"/>
    <mergeCell ref="R21:R28"/>
    <mergeCell ref="AA21:AB21"/>
    <mergeCell ref="AA26:AB26"/>
    <mergeCell ref="A13:A20"/>
    <mergeCell ref="C13:D13"/>
    <mergeCell ref="R13:R20"/>
    <mergeCell ref="AA13:AB13"/>
    <mergeCell ref="AG13:AG20"/>
    <mergeCell ref="C14:D14"/>
    <mergeCell ref="AA14:AB14"/>
    <mergeCell ref="C15:D15"/>
    <mergeCell ref="AA15:AB15"/>
    <mergeCell ref="C16:D16"/>
    <mergeCell ref="A10:A12"/>
    <mergeCell ref="C10:D10"/>
    <mergeCell ref="R10:R12"/>
    <mergeCell ref="AA10:AB10"/>
    <mergeCell ref="AG10:AG12"/>
    <mergeCell ref="C11:D11"/>
    <mergeCell ref="AA11:AB11"/>
    <mergeCell ref="C12:D12"/>
    <mergeCell ref="AA12:AB12"/>
    <mergeCell ref="AA16:AB16"/>
    <mergeCell ref="C17:D17"/>
    <mergeCell ref="AA17:AB17"/>
    <mergeCell ref="C20:D20"/>
    <mergeCell ref="AA20:AB20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</mergeCells>
  <phoneticPr fontId="3" type="noConversion"/>
  <conditionalFormatting sqref="O61:O68 O57:O58 O71 O5:O10 O12:O14 O20:O55">
    <cfRule type="cellIs" dxfId="1232" priority="58" operator="greaterThan">
      <formula>0</formula>
    </cfRule>
  </conditionalFormatting>
  <conditionalFormatting sqref="P5:P8 P61 AE61 P63:P68 P29:P35 P58 P10 P12:P14 P21:P27 P50:P55 P37:P48 AE5:AE58 AE63:AE71">
    <cfRule type="cellIs" dxfId="1231" priority="62" operator="lessThan">
      <formula>0</formula>
    </cfRule>
  </conditionalFormatting>
  <conditionalFormatting sqref="AF61 Q61:Q68 Q57:Q58 Q71 Q5:Q10 Q12:Q14 Q20:Q55 AF5:AF58 AF63:AF71">
    <cfRule type="cellIs" dxfId="1230" priority="59" operator="greaterThan">
      <formula>1</formula>
    </cfRule>
    <cfRule type="cellIs" dxfId="1229" priority="60" operator="lessThan">
      <formula>0.8</formula>
    </cfRule>
  </conditionalFormatting>
  <conditionalFormatting sqref="AG13:AG14 R13:R14 AG61 R61:R68 R20:R26 AG20:AG26 AG57:AG58 R57:R58 R71 AG5:AG10 R5:R10 AG28:AG55 R28:R55">
    <cfRule type="cellIs" dxfId="1228" priority="64" operator="lessThan">
      <formula>0.8</formula>
    </cfRule>
  </conditionalFormatting>
  <conditionalFormatting sqref="AG45">
    <cfRule type="cellIs" dxfId="1227" priority="66" operator="lessThan">
      <formula>0.8</formula>
    </cfRule>
  </conditionalFormatting>
  <conditionalFormatting sqref="AG21:AG26">
    <cfRule type="cellIs" dxfId="1226" priority="63" operator="lessThan">
      <formula>0.8</formula>
    </cfRule>
  </conditionalFormatting>
  <conditionalFormatting sqref="AG29">
    <cfRule type="cellIs" dxfId="1225" priority="65" operator="lessThan">
      <formula>0.8</formula>
    </cfRule>
  </conditionalFormatting>
  <conditionalFormatting sqref="AG37:AG43">
    <cfRule type="cellIs" dxfId="1224" priority="61" operator="lessThan">
      <formula>0.8</formula>
    </cfRule>
  </conditionalFormatting>
  <conditionalFormatting sqref="AE62">
    <cfRule type="cellIs" dxfId="1223" priority="57" operator="lessThan">
      <formula>0</formula>
    </cfRule>
  </conditionalFormatting>
  <conditionalFormatting sqref="AF62">
    <cfRule type="cellIs" dxfId="1222" priority="55" operator="greaterThan">
      <formula>1</formula>
    </cfRule>
    <cfRule type="cellIs" dxfId="1221" priority="56" operator="lessThan">
      <formula>0.8</formula>
    </cfRule>
  </conditionalFormatting>
  <conditionalFormatting sqref="O15:O16">
    <cfRule type="cellIs" dxfId="1220" priority="50" operator="greaterThan">
      <formula>0</formula>
    </cfRule>
  </conditionalFormatting>
  <conditionalFormatting sqref="P15:P16">
    <cfRule type="cellIs" dxfId="1219" priority="53" operator="lessThan">
      <formula>0</formula>
    </cfRule>
  </conditionalFormatting>
  <conditionalFormatting sqref="Q15:Q16">
    <cfRule type="cellIs" dxfId="1218" priority="51" operator="greaterThan">
      <formula>1</formula>
    </cfRule>
    <cfRule type="cellIs" dxfId="1217" priority="52" operator="lessThan">
      <formula>0.8</formula>
    </cfRule>
  </conditionalFormatting>
  <conditionalFormatting sqref="R15:R16 AG15:AG16">
    <cfRule type="cellIs" dxfId="1216" priority="54" operator="lessThan">
      <formula>0.8</formula>
    </cfRule>
  </conditionalFormatting>
  <conditionalFormatting sqref="O11">
    <cfRule type="cellIs" dxfId="1215" priority="46" operator="greaterThan">
      <formula>0</formula>
    </cfRule>
  </conditionalFormatting>
  <conditionalFormatting sqref="P11">
    <cfRule type="cellIs" dxfId="1214" priority="49" operator="lessThan">
      <formula>0</formula>
    </cfRule>
  </conditionalFormatting>
  <conditionalFormatting sqref="Q11">
    <cfRule type="cellIs" dxfId="1213" priority="47" operator="greaterThan">
      <formula>1</formula>
    </cfRule>
    <cfRule type="cellIs" dxfId="1212" priority="48" operator="lessThan">
      <formula>0.8</formula>
    </cfRule>
  </conditionalFormatting>
  <conditionalFormatting sqref="O56">
    <cfRule type="cellIs" dxfId="1211" priority="41" operator="greaterThan">
      <formula>0</formula>
    </cfRule>
  </conditionalFormatting>
  <conditionalFormatting sqref="P56">
    <cfRule type="cellIs" dxfId="1210" priority="44" operator="lessThan">
      <formula>0</formula>
    </cfRule>
  </conditionalFormatting>
  <conditionalFormatting sqref="Q56">
    <cfRule type="cellIs" dxfId="1209" priority="42" operator="greaterThan">
      <formula>1</formula>
    </cfRule>
    <cfRule type="cellIs" dxfId="1208" priority="43" operator="lessThan">
      <formula>0.8</formula>
    </cfRule>
  </conditionalFormatting>
  <conditionalFormatting sqref="R56 AG56">
    <cfRule type="cellIs" dxfId="1207" priority="45" operator="lessThan">
      <formula>0.8</formula>
    </cfRule>
  </conditionalFormatting>
  <conditionalFormatting sqref="O60">
    <cfRule type="cellIs" dxfId="1206" priority="36" operator="greaterThan">
      <formula>0</formula>
    </cfRule>
  </conditionalFormatting>
  <conditionalFormatting sqref="P60 AE60">
    <cfRule type="cellIs" dxfId="1205" priority="39" operator="lessThan">
      <formula>0</formula>
    </cfRule>
  </conditionalFormatting>
  <conditionalFormatting sqref="Q60 AF60">
    <cfRule type="cellIs" dxfId="1204" priority="37" operator="greaterThan">
      <formula>1</formula>
    </cfRule>
    <cfRule type="cellIs" dxfId="1203" priority="38" operator="lessThan">
      <formula>0.8</formula>
    </cfRule>
  </conditionalFormatting>
  <conditionalFormatting sqref="R60 AG60">
    <cfRule type="cellIs" dxfId="1202" priority="40" operator="lessThan">
      <formula>0.8</formula>
    </cfRule>
  </conditionalFormatting>
  <conditionalFormatting sqref="O69">
    <cfRule type="cellIs" dxfId="1201" priority="31" operator="greaterThan">
      <formula>0</formula>
    </cfRule>
  </conditionalFormatting>
  <conditionalFormatting sqref="P69">
    <cfRule type="cellIs" dxfId="1200" priority="34" operator="lessThan">
      <formula>0</formula>
    </cfRule>
  </conditionalFormatting>
  <conditionalFormatting sqref="Q69">
    <cfRule type="cellIs" dxfId="1199" priority="32" operator="greaterThan">
      <formula>1</formula>
    </cfRule>
    <cfRule type="cellIs" dxfId="1198" priority="33" operator="lessThan">
      <formula>0.8</formula>
    </cfRule>
  </conditionalFormatting>
  <conditionalFormatting sqref="R69">
    <cfRule type="cellIs" dxfId="1197" priority="35" operator="lessThan">
      <formula>0.8</formula>
    </cfRule>
  </conditionalFormatting>
  <conditionalFormatting sqref="O17:O18">
    <cfRule type="cellIs" dxfId="1196" priority="26" operator="greaterThan">
      <formula>0</formula>
    </cfRule>
  </conditionalFormatting>
  <conditionalFormatting sqref="P17:P18">
    <cfRule type="cellIs" dxfId="1195" priority="29" operator="lessThan">
      <formula>0</formula>
    </cfRule>
  </conditionalFormatting>
  <conditionalFormatting sqref="Q17:Q18">
    <cfRule type="cellIs" dxfId="1194" priority="27" operator="greaterThan">
      <formula>1</formula>
    </cfRule>
    <cfRule type="cellIs" dxfId="1193" priority="28" operator="lessThan">
      <formula>0.8</formula>
    </cfRule>
  </conditionalFormatting>
  <conditionalFormatting sqref="R17:R18 AG17:AG18">
    <cfRule type="cellIs" dxfId="1192" priority="30" operator="lessThan">
      <formula>0.8</formula>
    </cfRule>
  </conditionalFormatting>
  <conditionalFormatting sqref="R27 AG27">
    <cfRule type="cellIs" dxfId="1191" priority="25" operator="lessThan">
      <formula>0.8</formula>
    </cfRule>
  </conditionalFormatting>
  <conditionalFormatting sqref="AG27">
    <cfRule type="cellIs" dxfId="1190" priority="24" operator="lessThan">
      <formula>0.8</formula>
    </cfRule>
  </conditionalFormatting>
  <conditionalFormatting sqref="O59">
    <cfRule type="cellIs" dxfId="1189" priority="19" operator="greaterThan">
      <formula>0</formula>
    </cfRule>
  </conditionalFormatting>
  <conditionalFormatting sqref="P59 AE59">
    <cfRule type="cellIs" dxfId="1188" priority="22" operator="lessThan">
      <formula>0</formula>
    </cfRule>
  </conditionalFormatting>
  <conditionalFormatting sqref="Q59 AF59">
    <cfRule type="cellIs" dxfId="1187" priority="20" operator="greaterThan">
      <formula>1</formula>
    </cfRule>
    <cfRule type="cellIs" dxfId="1186" priority="21" operator="lessThan">
      <formula>0.8</formula>
    </cfRule>
  </conditionalFormatting>
  <conditionalFormatting sqref="R59 AG59">
    <cfRule type="cellIs" dxfId="1185" priority="23" operator="lessThan">
      <formula>0.8</formula>
    </cfRule>
  </conditionalFormatting>
  <conditionalFormatting sqref="O19">
    <cfRule type="cellIs" dxfId="1184" priority="14" operator="greaterThan">
      <formula>0</formula>
    </cfRule>
  </conditionalFormatting>
  <conditionalFormatting sqref="P19">
    <cfRule type="cellIs" dxfId="1183" priority="17" operator="lessThan">
      <formula>0</formula>
    </cfRule>
  </conditionalFormatting>
  <conditionalFormatting sqref="Q19">
    <cfRule type="cellIs" dxfId="1182" priority="15" operator="greaterThan">
      <formula>1</formula>
    </cfRule>
    <cfRule type="cellIs" dxfId="1181" priority="16" operator="lessThan">
      <formula>0.8</formula>
    </cfRule>
  </conditionalFormatting>
  <conditionalFormatting sqref="AG19 R19">
    <cfRule type="cellIs" dxfId="1180" priority="18" operator="lessThan">
      <formula>0.8</formula>
    </cfRule>
  </conditionalFormatting>
  <conditionalFormatting sqref="P9">
    <cfRule type="cellIs" dxfId="1179" priority="13" operator="lessThan">
      <formula>0</formula>
    </cfRule>
  </conditionalFormatting>
  <conditionalFormatting sqref="P20">
    <cfRule type="cellIs" dxfId="1178" priority="12" operator="lessThan">
      <formula>0</formula>
    </cfRule>
  </conditionalFormatting>
  <conditionalFormatting sqref="P28">
    <cfRule type="cellIs" dxfId="1177" priority="11" operator="lessThan">
      <formula>0</formula>
    </cfRule>
  </conditionalFormatting>
  <conditionalFormatting sqref="P36">
    <cfRule type="cellIs" dxfId="1176" priority="10" operator="lessThan">
      <formula>0</formula>
    </cfRule>
  </conditionalFormatting>
  <conditionalFormatting sqref="P49">
    <cfRule type="cellIs" dxfId="1175" priority="9" operator="lessThan">
      <formula>0</formula>
    </cfRule>
  </conditionalFormatting>
  <conditionalFormatting sqref="P57">
    <cfRule type="cellIs" dxfId="1174" priority="8" operator="lessThan">
      <formula>0</formula>
    </cfRule>
  </conditionalFormatting>
  <conditionalFormatting sqref="P62">
    <cfRule type="cellIs" dxfId="1173" priority="7" operator="lessThan">
      <formula>0</formula>
    </cfRule>
  </conditionalFormatting>
  <conditionalFormatting sqref="P71">
    <cfRule type="cellIs" dxfId="1172" priority="6" operator="lessThan">
      <formula>0</formula>
    </cfRule>
  </conditionalFormatting>
  <conditionalFormatting sqref="O70">
    <cfRule type="cellIs" dxfId="1171" priority="1" operator="greaterThan">
      <formula>0</formula>
    </cfRule>
  </conditionalFormatting>
  <conditionalFormatting sqref="P70">
    <cfRule type="cellIs" dxfId="1170" priority="4" operator="lessThan">
      <formula>0</formula>
    </cfRule>
  </conditionalFormatting>
  <conditionalFormatting sqref="Q70">
    <cfRule type="cellIs" dxfId="1169" priority="2" operator="greaterThan">
      <formula>1</formula>
    </cfRule>
    <cfRule type="cellIs" dxfId="1168" priority="3" operator="lessThan">
      <formula>0.8</formula>
    </cfRule>
  </conditionalFormatting>
  <conditionalFormatting sqref="R70">
    <cfRule type="cellIs" dxfId="1167" priority="5" operator="lessThan">
      <formula>0.8</formula>
    </cfRule>
  </conditionalFormatting>
  <dataValidations count="1">
    <dataValidation type="list" allowBlank="1" showInputMessage="1" showErrorMessage="1" sqref="AB9 AA5:AB8 AA9:AA61 AB11:AB58 AA62:AB71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C13" sqref="AC13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612" t="s">
        <v>1471</v>
      </c>
      <c r="C1" s="612"/>
      <c r="D1" s="612"/>
      <c r="E1" s="612"/>
      <c r="F1" s="612"/>
      <c r="G1" s="612"/>
      <c r="H1" s="612"/>
      <c r="I1" s="612"/>
      <c r="J1" s="612"/>
      <c r="K1" s="51"/>
      <c r="L1" s="51"/>
      <c r="M1" s="51"/>
      <c r="N1" s="51"/>
      <c r="O1" s="51"/>
      <c r="P1" s="51"/>
    </row>
    <row r="2" spans="2:17" ht="27.75" customHeight="1">
      <c r="B2" s="613"/>
      <c r="C2" s="613"/>
      <c r="D2" s="613"/>
      <c r="E2" s="613"/>
      <c r="F2" s="613"/>
      <c r="G2" s="613"/>
      <c r="H2" s="613"/>
      <c r="I2" s="613"/>
      <c r="J2" s="613"/>
      <c r="K2" s="53"/>
      <c r="L2" s="53"/>
      <c r="M2" s="53"/>
      <c r="N2" s="51"/>
      <c r="O2" s="51"/>
      <c r="P2" s="51"/>
    </row>
    <row r="3" spans="2:17" ht="46.5" customHeight="1">
      <c r="B3" s="54" t="s">
        <v>1472</v>
      </c>
      <c r="C3" s="614" t="str">
        <f>TEXT('0815 4度C'!A2,"yyyy.mm.ddaaaa")</f>
        <v>2026.08.15星期六</v>
      </c>
      <c r="D3" s="615"/>
      <c r="E3" s="54" t="s">
        <v>1473</v>
      </c>
      <c r="F3" s="616">
        <f>'0815 4度C'!D1</f>
        <v>143814</v>
      </c>
      <c r="G3" s="617"/>
      <c r="H3" s="54" t="s">
        <v>1474</v>
      </c>
      <c r="I3" s="618">
        <f>'0815 4度C'!F1</f>
        <v>5061322.6800000006</v>
      </c>
      <c r="J3" s="619"/>
      <c r="K3" s="55"/>
      <c r="L3" s="56"/>
      <c r="M3" s="57"/>
      <c r="N3" s="57"/>
    </row>
    <row r="4" spans="2:17" ht="28.5" customHeight="1">
      <c r="B4" s="620" t="s">
        <v>1475</v>
      </c>
      <c r="C4" s="606" t="s">
        <v>1476</v>
      </c>
      <c r="D4" s="607"/>
      <c r="E4" s="623" t="s">
        <v>1477</v>
      </c>
      <c r="F4" s="624"/>
      <c r="G4" s="623" t="s">
        <v>1478</v>
      </c>
      <c r="H4" s="624"/>
      <c r="I4" s="623" t="s">
        <v>1479</v>
      </c>
      <c r="J4" s="624"/>
      <c r="K4" s="604" t="s">
        <v>1480</v>
      </c>
      <c r="L4" s="605"/>
      <c r="M4" s="605" t="s">
        <v>1481</v>
      </c>
      <c r="N4" s="605"/>
    </row>
    <row r="5" spans="2:17" ht="28.5" customHeight="1">
      <c r="B5" s="621"/>
      <c r="C5" s="606" t="s">
        <v>1482</v>
      </c>
      <c r="D5" s="607"/>
      <c r="E5" s="606" t="s">
        <v>1483</v>
      </c>
      <c r="F5" s="607"/>
      <c r="G5" s="608" t="s">
        <v>1484</v>
      </c>
      <c r="H5" s="609"/>
      <c r="I5" s="610" t="s">
        <v>1485</v>
      </c>
      <c r="J5" s="611"/>
      <c r="K5" s="58" t="s">
        <v>1486</v>
      </c>
      <c r="L5" s="59" t="s">
        <v>1487</v>
      </c>
      <c r="M5" s="58" t="s">
        <v>1486</v>
      </c>
      <c r="N5" s="59" t="s">
        <v>1488</v>
      </c>
    </row>
    <row r="6" spans="2:17" ht="28.5" customHeight="1">
      <c r="B6" s="621"/>
      <c r="C6" s="606" t="s">
        <v>169</v>
      </c>
      <c r="D6" s="607"/>
      <c r="E6" s="598">
        <f>AVERAGE(D13:M13)</f>
        <v>158.31457102066628</v>
      </c>
      <c r="F6" s="599">
        <f>AVERAGE(D31:O31,D13:J13)</f>
        <v>167.11129669143276</v>
      </c>
      <c r="G6" s="600">
        <f>AVERAGE(D13:J13)</f>
        <v>167.11129669143276</v>
      </c>
      <c r="H6" s="601"/>
      <c r="I6" s="600">
        <f>AVERAGE(K13:M13)</f>
        <v>137.78887778887781</v>
      </c>
      <c r="J6" s="601"/>
      <c r="K6" s="602">
        <f>'0815 4度C'!Y2</f>
        <v>0</v>
      </c>
      <c r="L6" s="587">
        <f>'0815 4度C'!Z2</f>
        <v>0</v>
      </c>
      <c r="M6" s="603">
        <f>'0815 4度C'!AC2</f>
        <v>52</v>
      </c>
      <c r="N6" s="587">
        <f>'0815 4度C'!AD2</f>
        <v>0</v>
      </c>
    </row>
    <row r="7" spans="2:17" ht="28.5" customHeight="1">
      <c r="B7" s="621"/>
      <c r="C7" s="588" t="s">
        <v>170</v>
      </c>
      <c r="D7" s="589"/>
      <c r="E7" s="590">
        <f>AVERAGE(D14:M14)</f>
        <v>152.37341178547157</v>
      </c>
      <c r="F7" s="591">
        <f>AVERAGE(D32:O32,D14:J14)</f>
        <v>161.12417743856275</v>
      </c>
      <c r="G7" s="592">
        <f>AVERAGE(D14:J14)</f>
        <v>161.12417743856275</v>
      </c>
      <c r="H7" s="593"/>
      <c r="I7" s="592">
        <f>AVERAGE(K14:M14)</f>
        <v>131.9549585949255</v>
      </c>
      <c r="J7" s="593"/>
      <c r="K7" s="602"/>
      <c r="L7" s="587"/>
      <c r="M7" s="603"/>
      <c r="N7" s="587"/>
    </row>
    <row r="8" spans="2:17" ht="28.5" customHeight="1">
      <c r="B8" s="622"/>
      <c r="C8" s="588" t="s">
        <v>171</v>
      </c>
      <c r="D8" s="589"/>
      <c r="E8" s="594">
        <f>AVERAGE(D15:M15)</f>
        <v>0.96080688063629771</v>
      </c>
      <c r="F8" s="595">
        <f>AVERAGE(D15:J15,D33:O33)</f>
        <v>0.96222248894751039</v>
      </c>
      <c r="G8" s="596">
        <f>AVERAGE(D15:J15)</f>
        <v>0.96222248894751039</v>
      </c>
      <c r="H8" s="597"/>
      <c r="I8" s="596">
        <f>AVERAGE(K15:M15)</f>
        <v>0.95750379457680168</v>
      </c>
      <c r="J8" s="597"/>
      <c r="K8" s="602"/>
      <c r="L8" s="587"/>
      <c r="M8" s="603"/>
      <c r="N8" s="587"/>
    </row>
    <row r="9" spans="2:17" ht="28.5" customHeight="1" thickBot="1">
      <c r="H9" s="61"/>
      <c r="K9" s="62" t="s">
        <v>1489</v>
      </c>
      <c r="N9" s="57"/>
      <c r="O9" s="57"/>
      <c r="P9" s="57"/>
      <c r="Q9" s="57"/>
    </row>
    <row r="10" spans="2:17" ht="30" customHeight="1">
      <c r="B10" s="570" t="s">
        <v>173</v>
      </c>
      <c r="C10" s="571"/>
      <c r="D10" s="572" t="s">
        <v>1490</v>
      </c>
      <c r="E10" s="573"/>
      <c r="F10" s="573"/>
      <c r="G10" s="573"/>
      <c r="H10" s="573"/>
      <c r="I10" s="573"/>
      <c r="J10" s="574"/>
      <c r="K10" s="575" t="s">
        <v>1491</v>
      </c>
      <c r="L10" s="576"/>
      <c r="M10" s="577"/>
      <c r="P10" s="63"/>
      <c r="Q10" s="63"/>
    </row>
    <row r="11" spans="2:17" ht="17.25" customHeight="1">
      <c r="B11" s="578" t="s">
        <v>1492</v>
      </c>
      <c r="C11" s="579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80"/>
      <c r="C12" s="581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582" t="s">
        <v>1493</v>
      </c>
      <c r="C13" s="70" t="s">
        <v>188</v>
      </c>
      <c r="D13" s="71">
        <f>SUMIFS('0815 4度C'!$K:$K,'0815 4度C'!$A:$A,"新豐6線",'0815 4度C'!$B:$B,"平均")</f>
        <v>129.03225806451613</v>
      </c>
      <c r="E13" s="72">
        <f>SUMIFS('0815 4度C'!$K:$K,'0815 4度C'!$A:$A,"新豐2線",'0815 4度C'!$B:$B,"平均")</f>
        <v>88.235294117647058</v>
      </c>
      <c r="F13" s="73">
        <f>SUMIFS('0815 4度C'!$K:$K,'0815 4度C'!$A:$A,"新豐5線",'0815 4度C'!$B:$B,"平均")</f>
        <v>88.888888888888886</v>
      </c>
      <c r="G13" s="73">
        <f>SUMIFS('0815 4度C'!$K:$K,'0815 4度C'!$A:$A,"新豐7線",'0815 4度C'!$B:$B,"平均")</f>
        <v>134.61538461538461</v>
      </c>
      <c r="H13" s="73">
        <f>SUMIFS('0815 4度C'!$K:$K,'0815 4度C'!$A:$A,"新豐3線",'0815 4度C'!$B:$B,"平均")</f>
        <v>324.32432432432432</v>
      </c>
      <c r="I13" s="73">
        <f>SUMIFS('0815 4度C'!$K:$K,'0815 4度C'!$A:$A,"新豐1線",'0815 4度C'!$B:$B,"平均")</f>
        <v>112</v>
      </c>
      <c r="J13" s="74">
        <f>SUMIFS('0815 4度C'!$K:$K,'0815 4度C'!$A:$A,"新豐10線",'0815 4度C'!$B:$B,"平均")</f>
        <v>292.6829268292683</v>
      </c>
      <c r="K13" s="75">
        <f>SUMIFS('0815 4度C'!$K:$K,'0815 4度C'!$A:$A,"新豐8線",'0815 4度C'!$B:$B,"平均")</f>
        <v>137.14285714285714</v>
      </c>
      <c r="L13" s="76">
        <f>SUMIFS('0815 4度C'!$K:$K,'0815 4度C'!$A:$A,"新豐9線",'0815 4度C'!$B:$B,"平均")</f>
        <v>130.76923076923077</v>
      </c>
      <c r="M13" s="74">
        <f>SUMIFS('0815 4度C'!$K:$K,'0815 4度C'!$A:$A,"新豐4線",'0815 4度C'!$B:$B,"平均")</f>
        <v>145.45454545454547</v>
      </c>
    </row>
    <row r="14" spans="2:17" ht="39.6" customHeight="1">
      <c r="B14" s="583"/>
      <c r="C14" s="77" t="s">
        <v>1494</v>
      </c>
      <c r="D14" s="78">
        <f>SUMIFS('0815 4度C'!$N:$N,'0815 4度C'!$A:$A,"新豐6線",'0815 4度C'!$B:$B,"平均")</f>
        <v>123.88538915125802</v>
      </c>
      <c r="E14" s="79">
        <f>SUMIFS('0815 4度C'!$N:$N,'0815 4度C'!$A:$A,"新豐2線",'0815 4度C'!$B:$B,"平均")</f>
        <v>84.354577737006196</v>
      </c>
      <c r="F14" s="79">
        <f>SUMIFS('0815 4度C'!$N:$N,'0815 4度C'!$A:$A,"新豐5線",'0815 4度C'!$B:$B,"平均")</f>
        <v>85.136073813227014</v>
      </c>
      <c r="G14" s="79">
        <f>SUMIFS('0815 4度C'!$N:$N,'0815 4度C'!$A:$A,"新豐7線",'0815 4度C'!$B:$B,"平均")</f>
        <v>129.71251962351329</v>
      </c>
      <c r="H14" s="79">
        <f>SUMIFS('0815 4度C'!$N:$N,'0815 4度C'!$A:$A,"新豐3線",'0815 4度C'!$B:$B,"平均")</f>
        <v>312.29348481107411</v>
      </c>
      <c r="I14" s="79">
        <f>SUMIFS('0815 4度C'!$N:$N,'0815 4度C'!$A:$A,"新豐1線",'0815 4度C'!$B:$B,"平均")</f>
        <v>107.79662434855115</v>
      </c>
      <c r="J14" s="80">
        <f>SUMIFS('0815 4度C'!$N:$N,'0815 4度C'!$A:$A,"新豐10線",'0815 4度C'!$B:$B,"平均")</f>
        <v>284.69057258530933</v>
      </c>
      <c r="K14" s="81">
        <f>SUMIFS('0815 4度C'!$N:$N,'0815 4度C'!$A:$A,"新豐8線",'0815 4度C'!$B:$B,"平均")</f>
        <v>130.92569409462172</v>
      </c>
      <c r="L14" s="82">
        <f>SUMIFS('0815 4度C'!$N:$N,'0815 4度C'!$A:$A,"新豐9線",'0815 4度C'!$B:$B,"平均")</f>
        <v>124.84539679244907</v>
      </c>
      <c r="M14" s="80">
        <f>SUMIFS('0815 4度C'!$N:$N,'0815 4度C'!$A:$A,"新豐4線",'0815 4度C'!$B:$B,"平均")</f>
        <v>140.09378489770569</v>
      </c>
    </row>
    <row r="15" spans="2:17" ht="40.15" customHeight="1">
      <c r="B15" s="584"/>
      <c r="C15" s="83" t="s">
        <v>1495</v>
      </c>
      <c r="D15" s="84">
        <f t="shared" ref="D15:M15" si="0">D14/D13</f>
        <v>0.96011176592224967</v>
      </c>
      <c r="E15" s="85">
        <f t="shared" si="0"/>
        <v>0.9560185476860702</v>
      </c>
      <c r="F15" s="85">
        <f t="shared" si="0"/>
        <v>0.95778083039880391</v>
      </c>
      <c r="G15" s="85">
        <f t="shared" si="0"/>
        <v>0.96357871720324162</v>
      </c>
      <c r="H15" s="85">
        <f t="shared" si="0"/>
        <v>0.96290491150081181</v>
      </c>
      <c r="I15" s="85">
        <f t="shared" si="0"/>
        <v>0.96246986025492098</v>
      </c>
      <c r="J15" s="86">
        <f t="shared" si="0"/>
        <v>0.97269278966647355</v>
      </c>
      <c r="K15" s="84">
        <f t="shared" si="0"/>
        <v>0.95466651943995007</v>
      </c>
      <c r="L15" s="85">
        <f t="shared" si="0"/>
        <v>0.95470009311872817</v>
      </c>
      <c r="M15" s="86">
        <f t="shared" si="0"/>
        <v>0.96314477117172648</v>
      </c>
    </row>
    <row r="16" spans="2:17" ht="17.25" customHeight="1">
      <c r="B16" s="585" t="s">
        <v>191</v>
      </c>
      <c r="C16" s="87" t="s">
        <v>1496</v>
      </c>
      <c r="D16" s="88">
        <f>VLOOKUP("新豐6線",'0815 4度C'!$A:$T,19,0)</f>
        <v>0.70833333333333337</v>
      </c>
      <c r="E16" s="89">
        <f>VLOOKUP("新豐2線",'0815 4度C'!$A:$T,19,0)</f>
        <v>8.3333333333333329E-2</v>
      </c>
      <c r="F16" s="89">
        <f>VLOOKUP("新豐5線",'0815 4度C'!$A:$T,19,0)</f>
        <v>0.20833333333333334</v>
      </c>
      <c r="G16" s="89">
        <f>VLOOKUP("新豐7線",'0815 4度C'!$A:$T,19,0)</f>
        <v>0.20833333333333334</v>
      </c>
      <c r="H16" s="89">
        <f>VLOOKUP("新豐3線",'0815 4度C'!$A:$T,19,0)</f>
        <v>0.20833333333333334</v>
      </c>
      <c r="I16" s="89">
        <f>VLOOKUP("新豐1線",'0815 4度C'!$A:$T,19,0)</f>
        <v>0.20833333333333334</v>
      </c>
      <c r="J16" s="90">
        <f>VLOOKUP("新豐10線",'0815 4度C'!$A:$T,19,0)</f>
        <v>0.20833333333333334</v>
      </c>
      <c r="K16" s="91">
        <f>VLOOKUP("新豐8線",'0815 4度C'!$A:$T,19,0)</f>
        <v>8.3333333333333329E-2</v>
      </c>
      <c r="L16" s="92">
        <f>VLOOKUP("新豐9線",'0815 4度C'!$A:$T,19,0)</f>
        <v>8.3333333333333329E-2</v>
      </c>
      <c r="M16" s="93">
        <f>VLOOKUP("新豐4線",'0815 4度C'!$A:$T,19,0)</f>
        <v>8.3333333333333329E-2</v>
      </c>
    </row>
    <row r="17" spans="2:13" ht="17.25" customHeight="1">
      <c r="B17" s="586"/>
      <c r="C17" s="87" t="s">
        <v>1497</v>
      </c>
      <c r="D17" s="91">
        <f>LOOKUP(2,1/(('0815 4度C'!$A:$A="新豐6線")*('0815 4度C'!$T:$T&lt;&gt;"")),'0815 4度C'!$T:$T)</f>
        <v>0.90555555555555556</v>
      </c>
      <c r="E17" s="89">
        <f>LOOKUP(2,1/(('0815 4度C'!$A:$A="新豐2線")*('0815 4度C'!$T:$T&lt;&gt;"")),'0815 4度C'!$T:$T)</f>
        <v>0.4770833333333333</v>
      </c>
      <c r="F17" s="89">
        <f>LOOKUP(2,1/(('0815 4度C'!$A:$A="新豐5線")*('0815 4度C'!$T:$T&lt;&gt;"")),'0815 4度C'!$T:$T)</f>
        <v>0.82152777777777775</v>
      </c>
      <c r="G17" s="89">
        <f>LOOKUP(2,1/(('0815 4度C'!$A:$A="新豐7線")*('0815 4度C'!$T:$T&lt;&gt;"")),'0815 4度C'!$T:$T)</f>
        <v>0.90972222222222232</v>
      </c>
      <c r="H17" s="89">
        <f>LOOKUP(2,1/(('0815 4度C'!$A:$A="新豐3線")*('0815 4度C'!$T:$T&lt;&gt;"")),'0815 4度C'!$T:$T)</f>
        <v>0.38194444444444436</v>
      </c>
      <c r="I17" s="89">
        <f>LOOKUP(2,1/(('0815 4度C'!$A:$A="新豐1線")*('0815 4度C'!$T:$T&lt;&gt;"")),'0815 4度C'!$T:$T)</f>
        <v>0.83194444444444449</v>
      </c>
      <c r="J17" s="90">
        <f>LOOKUP(2,1/(('0815 4度C'!$A:$A="新豐10線")*('0815 4度C'!$T:$T&lt;&gt;"")),'0815 4度C'!$T:$T)</f>
        <v>0.35902777777777778</v>
      </c>
      <c r="K17" s="88">
        <f>LOOKUP(2,1/(('0815 4度C'!$A:$A="新豐8線")*('0815 4度C'!$T:$T&lt;&gt;"")),'0815 4度C'!$T:$T)</f>
        <v>0.50416666666666654</v>
      </c>
      <c r="L17" s="89">
        <f>LOOKUP(2,1/(('0815 4度C'!$A:$A="新豐9線")*('0815 4度C'!$T:$T&lt;&gt;"")),'0815 4度C'!$T:$T)</f>
        <v>0.61111111111111116</v>
      </c>
      <c r="M17" s="90">
        <f>LOOKUP(2,1/(('0815 4度C'!$A:$A="新豐4線")*('0815 4度C'!$T:$T&lt;&gt;"")),'0815 4度C'!$T:$T)</f>
        <v>0.50069444444444444</v>
      </c>
    </row>
    <row r="18" spans="2:13" ht="17.25" customHeight="1">
      <c r="B18" s="564" t="s">
        <v>1498</v>
      </c>
      <c r="C18" s="94" t="s">
        <v>1499</v>
      </c>
      <c r="D18" s="95">
        <f>SUMIFS('0815 4度C'!$Y:$Y,'0815 4度C'!$A:$A,"新豐6線",'0815 4度C'!$B:$B,"平均")</f>
        <v>0</v>
      </c>
      <c r="E18" s="96">
        <f>SUMIFS('0815 4度C'!$Y:$Y,'0815 4度C'!$A:$A,"新豐2線",'0815 4度C'!$B:$B,"平均")</f>
        <v>0</v>
      </c>
      <c r="F18" s="96">
        <f>SUMIFS('0815 4度C'!$Y:$Y,'0815 4度C'!$A:$A,"新豐5線",'0815 4度C'!$B:$B,"平均")</f>
        <v>0</v>
      </c>
      <c r="G18" s="96">
        <f>SUMIFS('0815 4度C'!$Y:$Y,'0815 4度C'!$A:$A,"新豐7線",'0815 4度C'!$B:$B,"平均")</f>
        <v>0</v>
      </c>
      <c r="H18" s="96">
        <f>SUMIFS('0815 4度C'!$Y:$Y,'0815 4度C'!$A:$A,"新豐3線",'0815 4度C'!$B:$B,"平均")</f>
        <v>0</v>
      </c>
      <c r="I18" s="96">
        <f>SUMIFS('0815 4度C'!$Y:$Y,'0815 4度C'!$A:$A,"新豐1線",'0815 4度C'!$B:$B,"平均")</f>
        <v>0</v>
      </c>
      <c r="J18" s="97">
        <f>SUMIFS('0815 4度C'!$Y:$Y,'0815 4度C'!$A:$A,"新豐10線",'0815 4度C'!$B:$B,"平均")</f>
        <v>0</v>
      </c>
      <c r="K18" s="98">
        <f>SUMIFS('0815 4度C'!$Y:$Y,'0815 4度C'!$A:$A,"新豐8線",'0815 4度C'!$B:$B,"平均")</f>
        <v>0</v>
      </c>
      <c r="L18" s="96">
        <f>SUMIFS('0815 4度C'!$Y:$Y,'0815 4度C'!$A:$A,"新豐9線",'0815 4度C'!$B:$B,"平均")</f>
        <v>0</v>
      </c>
      <c r="M18" s="97">
        <f>SUMIFS('0815 4度C'!$Y:$Y,'0815 4度C'!$A:$A,"新豐4線",'0815 4度C'!$B:$B,"平均")</f>
        <v>0</v>
      </c>
    </row>
    <row r="19" spans="2:13" ht="17.25" customHeight="1">
      <c r="B19" s="565"/>
      <c r="C19" s="94" t="s">
        <v>1500</v>
      </c>
      <c r="D19" s="95">
        <f>SUMIFS('0815 4度C'!$Z:$Z,'0815 4度C'!$A:$A,"新豐6線",'0815 4度C'!$B:$B,"平均")</f>
        <v>0</v>
      </c>
      <c r="E19" s="96">
        <f>SUMIFS('0815 4度C'!$Z:$Z,'0815 4度C'!$A:$A,"新豐2線",'0815 4度C'!$B:$B,"平均")</f>
        <v>0</v>
      </c>
      <c r="F19" s="96">
        <f>SUMIFS('0815 4度C'!$Z:$Z,'0815 4度C'!$A:$A,"新豐5線",'0815 4度C'!$B:$B,"平均")</f>
        <v>0</v>
      </c>
      <c r="G19" s="96">
        <f>SUMIFS('0815 4度C'!$Z:$Z,'0815 4度C'!$A:$A,"新豐7線",'0815 4度C'!$B:$B,"平均")</f>
        <v>0</v>
      </c>
      <c r="H19" s="96">
        <f>SUMIFS('0815 4度C'!$Z:$Z,'0815 4度C'!$A:$A,"新豐3線",'0815 4度C'!$B:$B,"平均")</f>
        <v>0</v>
      </c>
      <c r="I19" s="96">
        <f>SUMIFS('0815 4度C'!$Z:$Z,'0815 4度C'!$A:$A,"新豐1線",'0815 4度C'!$B:$B,"平均")</f>
        <v>0</v>
      </c>
      <c r="J19" s="97">
        <f>SUMIFS('0815 4度C'!$Z:$Z,'0815 4度C'!$A:$A,"新豐10線",'0815 4度C'!$B:$B,"平均")</f>
        <v>0</v>
      </c>
      <c r="K19" s="98">
        <f>SUMIFS('0815 4度C'!$Z:$Z,'0815 4度C'!$A:$A,"新豐8線",'0815 4度C'!$B:$B,"平均")</f>
        <v>0</v>
      </c>
      <c r="L19" s="96">
        <f>SUMIFS('0815 4度C'!$Z:$Z,'0815 4度C'!$A:$A,"新豐9線",'0815 4度C'!$B:$B,"平均")</f>
        <v>0</v>
      </c>
      <c r="M19" s="97">
        <f>SUMIFS('0815 4度C'!$Z:$Z,'0815 4度C'!$A:$A,"新豐4線",'0815 4度C'!$B:$B,"平均")</f>
        <v>0</v>
      </c>
    </row>
    <row r="20" spans="2:13" ht="17.25" customHeight="1">
      <c r="B20" s="564" t="s">
        <v>1501</v>
      </c>
      <c r="C20" s="94" t="s">
        <v>1499</v>
      </c>
      <c r="D20" s="95">
        <f>SUMIFS('0815 4度C'!$AC:$AC,'0815 4度C'!$A:$A,"新豐6線",'0815 4度C'!$B:$B,"平均")</f>
        <v>4</v>
      </c>
      <c r="E20" s="96">
        <f>SUMIFS('0815 4度C'!$AC:$AC,'0815 4度C'!$A:$A,"新豐2線",'0815 4度C'!$B:$B,"平均")</f>
        <v>3</v>
      </c>
      <c r="F20" s="96">
        <f>SUMIFS('0815 4度C'!$AC:$AC,'0815 4度C'!$A:$A,"新豐5線",'0815 4度C'!$B:$B,"平均")</f>
        <v>7</v>
      </c>
      <c r="G20" s="96">
        <f>SUMIFS('0815 4度C'!$AC:$AC,'0815 4度C'!$A:$A,"新豐7線",'0815 4度C'!$B:$B,"平均")</f>
        <v>7</v>
      </c>
      <c r="H20" s="96">
        <f>SUMIFS('0815 4度C'!$AC:$AC,'0815 4度C'!$A:$A,"新豐3線",'0815 4度C'!$B:$B,"平均")</f>
        <v>4</v>
      </c>
      <c r="I20" s="96">
        <f>SUMIFS('0815 4度C'!$AC:$AC,'0815 4度C'!$A:$A,"新豐1線",'0815 4度C'!$B:$B,"平均")</f>
        <v>7</v>
      </c>
      <c r="J20" s="97">
        <f>SUMIFS('0815 4度C'!$AC:$AC,'0815 4度C'!$A:$A,"新豐10線",'0815 4度C'!$B:$B,"平均")</f>
        <v>4</v>
      </c>
      <c r="K20" s="98">
        <f>SUMIFS('0815 4度C'!$AC:$AC,'0815 4度C'!$A:$A,"新豐8線",'0815 4度C'!$B:$B,"平均")</f>
        <v>4</v>
      </c>
      <c r="L20" s="96">
        <f>SUMIFS('0815 4度C'!$AC:$AC,'0815 4度C'!$A:$A,"新豐9線",'0815 4度C'!$B:$B,"平均")</f>
        <v>6</v>
      </c>
      <c r="M20" s="97">
        <f>SUMIFS('0815 4度C'!$AC:$AC,'0815 4度C'!$A:$A,"新豐4線",'0815 4度C'!$B:$B,"平均")</f>
        <v>6</v>
      </c>
    </row>
    <row r="21" spans="2:13" ht="17.25" customHeight="1">
      <c r="B21" s="565"/>
      <c r="C21" s="94" t="s">
        <v>1502</v>
      </c>
      <c r="D21" s="95">
        <f>SUMIFS('0815 4度C'!$AD:$AD,'0815 4度C'!$A:$A,"新豐6線",'0815 4度C'!$B:$B,"平均")</f>
        <v>0</v>
      </c>
      <c r="E21" s="96">
        <f>SUMIFS('0815 4度C'!$AD:$AD,'0815 4度C'!$A:$A,"新豐2線",'0815 4度C'!$B:$B,"平均")</f>
        <v>0</v>
      </c>
      <c r="F21" s="96">
        <f>SUMIFS('0815 4度C'!$AD:$AD,'0815 4度C'!$A:$A,"新豐5線",'0815 4度C'!$B:$B,"平均")</f>
        <v>0</v>
      </c>
      <c r="G21" s="96">
        <f>SUMIFS('0815 4度C'!$AD:$AD,'0815 4度C'!$A:$A,"新豐7線",'0815 4度C'!$B:$B,"平均")</f>
        <v>0</v>
      </c>
      <c r="H21" s="96">
        <f>SUMIFS('0815 4度C'!$AD:$AD,'0815 4度C'!$A:$A,"新豐3線",'0815 4度C'!$B:$B,"平均")</f>
        <v>0</v>
      </c>
      <c r="I21" s="96">
        <f>SUMIFS('0815 4度C'!$AD:$AD,'0815 4度C'!$A:$A,"新豐1線",'0815 4度C'!$B:$B,"平均")</f>
        <v>0</v>
      </c>
      <c r="J21" s="97">
        <f>SUMIFS('0815 4度C'!$AD:$AD,'0815 4度C'!$A:$A,"新豐10線",'0815 4度C'!$B:$B,"平均")</f>
        <v>0</v>
      </c>
      <c r="K21" s="98">
        <f>SUMIFS('0815 4度C'!$AD:$AD,'0815 4度C'!$A:$A,"新豐8線",'0815 4度C'!$B:$B,"平均")</f>
        <v>0</v>
      </c>
      <c r="L21" s="96">
        <f>SUMIFS('0815 4度C'!$AD:$AD,'0815 4度C'!$A:$A,"新豐9線",'0815 4度C'!$B:$B,"平均")</f>
        <v>0</v>
      </c>
      <c r="M21" s="97">
        <f>SUMIFS('0815 4度C'!$AD:$AD,'0815 4度C'!$A:$A,"新豐4線",'0815 4度C'!$B:$B,"平均")</f>
        <v>0</v>
      </c>
    </row>
    <row r="22" spans="2:13" ht="17.25" customHeight="1">
      <c r="B22" s="566" t="s">
        <v>1503</v>
      </c>
      <c r="C22" s="567"/>
      <c r="D22" s="99">
        <f>SUMIFS('0815 4度C'!$I:$I,'0815 4度C'!$A:$A,"新豐6線",'0815 4度C'!$B:$B,"平均")</f>
        <v>15.5</v>
      </c>
      <c r="E22" s="100">
        <f>SUMIFS('0815 4度C'!$I:$I,'0815 4度C'!$A:$A,"新豐2線",'0815 4度C'!$B:$B,"平均")</f>
        <v>17</v>
      </c>
      <c r="F22" s="100">
        <f>SUMIFS('0815 4度C'!$I:$I,'0815 4度C'!$A:$A,"新豐5線",'0815 4度C'!$B:$B,"平均")</f>
        <v>19.285714285714285</v>
      </c>
      <c r="G22" s="100">
        <f>SUMIFS('0815 4度C'!$I:$I,'0815 4度C'!$A:$A,"新豐7線",'0815 4度C'!$B:$B,"平均")</f>
        <v>14.857142857142858</v>
      </c>
      <c r="H22" s="100">
        <f>SUMIFS('0815 4度C'!$I:$I,'0815 4度C'!$A:$A,"新豐3線",'0815 4度C'!$B:$B,"平均")</f>
        <v>9.25</v>
      </c>
      <c r="I22" s="100">
        <f>SUMIFS('0815 4度C'!$I:$I,'0815 4度C'!$A:$A,"新豐1線",'0815 4度C'!$B:$B,"平均")</f>
        <v>17.857142857142858</v>
      </c>
      <c r="J22" s="101">
        <f>SUMIFS('0815 4度C'!$I:$I,'0815 4度C'!$A:$A,"新豐10線",'0815 4度C'!$B:$B,"平均")</f>
        <v>10.25</v>
      </c>
      <c r="K22" s="99">
        <f>SUMIFS('0815 4度C'!$I:$I,'0815 4度C'!$A:$A,"新豐8線",'0815 4度C'!$B:$B,"平均")</f>
        <v>17.5</v>
      </c>
      <c r="L22" s="100">
        <f>SUMIFS('0815 4度C'!$I:$I,'0815 4度C'!$A:$A,"新豐9線",'0815 4度C'!$B:$B,"平均")</f>
        <v>17.333333333333332</v>
      </c>
      <c r="M22" s="101">
        <f>SUMIFS('0815 4度C'!$I:$I,'0815 4度C'!$A:$A,"新豐4線",'0815 4度C'!$B:$B,"平均")</f>
        <v>16.5</v>
      </c>
    </row>
    <row r="23" spans="2:13" ht="17.25" customHeight="1">
      <c r="B23" s="566" t="s">
        <v>1504</v>
      </c>
      <c r="C23" s="567"/>
      <c r="D23" s="102" t="s">
        <v>202</v>
      </c>
      <c r="E23" s="103" t="s">
        <v>203</v>
      </c>
      <c r="F23" s="103" t="s">
        <v>1505</v>
      </c>
      <c r="G23" s="103" t="s">
        <v>1505</v>
      </c>
      <c r="H23" s="103" t="s">
        <v>205</v>
      </c>
      <c r="I23" s="103" t="s">
        <v>202</v>
      </c>
      <c r="J23" s="104" t="s">
        <v>205</v>
      </c>
      <c r="K23" s="102" t="s">
        <v>1506</v>
      </c>
      <c r="L23" s="103" t="s">
        <v>1506</v>
      </c>
      <c r="M23" s="104" t="s">
        <v>1506</v>
      </c>
    </row>
    <row r="24" spans="2:13" ht="17.25" customHeight="1">
      <c r="B24" s="566" t="s">
        <v>1507</v>
      </c>
      <c r="C24" s="567"/>
      <c r="D24" s="102"/>
      <c r="E24" s="103"/>
      <c r="F24" s="103" t="s">
        <v>1508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68" t="s">
        <v>1509</v>
      </c>
      <c r="C25" s="569"/>
      <c r="D25" s="105"/>
      <c r="E25" s="106" t="s">
        <v>1510</v>
      </c>
      <c r="F25" s="562" t="s">
        <v>1511</v>
      </c>
      <c r="G25" s="563"/>
      <c r="H25" s="106" t="s">
        <v>1512</v>
      </c>
      <c r="I25" s="106" t="s">
        <v>1513</v>
      </c>
      <c r="J25" s="107" t="s">
        <v>262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16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67"/>
  <sheetViews>
    <sheetView zoomScale="80" zoomScaleNormal="80" workbookViewId="0">
      <pane ySplit="4" topLeftCell="A5" activePane="bottomLeft" state="frozen"/>
      <selection activeCell="AC13" sqref="AC13"/>
      <selection pane="bottomLeft" activeCell="AC13" sqref="AC13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9" customWidth="1"/>
    <col min="20" max="20" width="7.625" style="9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1514</v>
      </c>
      <c r="B1" s="1"/>
      <c r="C1" s="2" t="s">
        <v>1515</v>
      </c>
      <c r="D1" s="3">
        <f>SUM(F5:F66)</f>
        <v>143814</v>
      </c>
      <c r="E1" s="308" t="s">
        <v>1516</v>
      </c>
      <c r="F1" s="1">
        <f>SUM(G5:G66)</f>
        <v>5061322.6800000006</v>
      </c>
      <c r="G1" s="1" t="s">
        <v>1517</v>
      </c>
      <c r="H1" s="5">
        <f>L9+L13+L46+L54+L21+L59+L34+L41+L29+L66</f>
        <v>155.33333333333331</v>
      </c>
      <c r="I1" s="676" t="s">
        <v>1518</v>
      </c>
      <c r="J1" s="676"/>
      <c r="K1" s="676"/>
      <c r="L1" s="676" t="s">
        <v>1519</v>
      </c>
      <c r="M1" s="676"/>
      <c r="N1" s="676"/>
      <c r="O1" s="676" t="s">
        <v>1520</v>
      </c>
      <c r="P1" s="676"/>
      <c r="Q1" s="676"/>
      <c r="R1" s="676"/>
      <c r="S1" s="676" t="s">
        <v>1521</v>
      </c>
      <c r="T1" s="676"/>
      <c r="U1" s="676"/>
      <c r="V1" s="676"/>
      <c r="W1" s="676"/>
      <c r="X1" s="676"/>
      <c r="Y1" s="6" t="s">
        <v>1522</v>
      </c>
      <c r="Z1" s="7" t="s">
        <v>1523</v>
      </c>
      <c r="AA1" s="677" t="s">
        <v>1524</v>
      </c>
      <c r="AB1" s="677"/>
      <c r="AC1" s="8" t="s">
        <v>1525</v>
      </c>
      <c r="AD1" s="7" t="s">
        <v>1526</v>
      </c>
      <c r="AE1" s="676" t="s">
        <v>1527</v>
      </c>
      <c r="AF1" s="678"/>
      <c r="AG1" s="678"/>
    </row>
    <row r="2" spans="1:33" ht="26.25" customHeight="1">
      <c r="A2" s="35">
        <v>46249</v>
      </c>
      <c r="B2" s="36" t="s">
        <v>90</v>
      </c>
      <c r="C2" s="2" t="s">
        <v>1493</v>
      </c>
      <c r="D2" s="10">
        <f>AVERAGE(N9,N13,N46,N54,N21,N59,N29,N34,N41,N66)</f>
        <v>152.37341178547157</v>
      </c>
      <c r="E2" s="11" t="s">
        <v>14</v>
      </c>
      <c r="F2" s="12">
        <f>F1/D1</f>
        <v>35.193532479452628</v>
      </c>
      <c r="G2" s="1" t="s">
        <v>1528</v>
      </c>
      <c r="H2" s="319">
        <f>COUNT(H5:H66)</f>
        <v>3</v>
      </c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14">
        <f>SUM(Y9+Y13+Y21+Y29+Y34+Y41+Y46+Y54+Y59+Y66)</f>
        <v>0</v>
      </c>
      <c r="Z2" s="14">
        <f>SUM(Z9+Z13+Z21+Z29+Z34+Z41+Z46+Z54+Z59+Z66)</f>
        <v>0</v>
      </c>
      <c r="AA2" s="677"/>
      <c r="AB2" s="677"/>
      <c r="AC2" s="14">
        <f>SUM(AC9+AC13+AC21+AC29+AC34+AC41+AC46+AC54+AC59+AC66)</f>
        <v>52</v>
      </c>
      <c r="AD2" s="14">
        <f>SUM(AD9+AD13+AD21+AD29+AD34+AD41+AD46+AD54+AD59+AD66)</f>
        <v>0</v>
      </c>
      <c r="AE2" s="678"/>
      <c r="AF2" s="678"/>
      <c r="AG2" s="678"/>
    </row>
    <row r="3" spans="1:33" ht="40.5" customHeight="1">
      <c r="A3" s="632" t="s">
        <v>1529</v>
      </c>
      <c r="B3" s="632" t="s">
        <v>1530</v>
      </c>
      <c r="C3" s="632" t="s">
        <v>1531</v>
      </c>
      <c r="D3" s="632"/>
      <c r="E3" s="674" t="s">
        <v>1532</v>
      </c>
      <c r="F3" s="632" t="s">
        <v>1533</v>
      </c>
      <c r="G3" s="674" t="s">
        <v>1534</v>
      </c>
      <c r="H3" s="667" t="s">
        <v>1535</v>
      </c>
      <c r="I3" s="665" t="s">
        <v>1536</v>
      </c>
      <c r="J3" s="662" t="s">
        <v>1537</v>
      </c>
      <c r="K3" s="672" t="s">
        <v>1538</v>
      </c>
      <c r="L3" s="665" t="s">
        <v>1536</v>
      </c>
      <c r="M3" s="662" t="s">
        <v>1537</v>
      </c>
      <c r="N3" s="672" t="s">
        <v>1538</v>
      </c>
      <c r="O3" s="665" t="s">
        <v>1536</v>
      </c>
      <c r="P3" s="672" t="s">
        <v>1538</v>
      </c>
      <c r="Q3" s="663" t="s">
        <v>1539</v>
      </c>
      <c r="R3" s="641" t="s">
        <v>1540</v>
      </c>
      <c r="S3" s="632" t="s">
        <v>29</v>
      </c>
      <c r="T3" s="632"/>
      <c r="U3" s="667" t="s">
        <v>30</v>
      </c>
      <c r="V3" s="667" t="s">
        <v>1541</v>
      </c>
      <c r="W3" s="632" t="s">
        <v>1542</v>
      </c>
      <c r="X3" s="632"/>
      <c r="Y3" s="668" t="s">
        <v>1543</v>
      </c>
      <c r="Z3" s="631"/>
      <c r="AA3" s="669" t="s">
        <v>1544</v>
      </c>
      <c r="AB3" s="670"/>
      <c r="AC3" s="668" t="s">
        <v>1545</v>
      </c>
      <c r="AD3" s="631"/>
      <c r="AE3" s="662" t="s">
        <v>1546</v>
      </c>
      <c r="AF3" s="663" t="s">
        <v>1539</v>
      </c>
      <c r="AG3" s="641" t="s">
        <v>1547</v>
      </c>
    </row>
    <row r="4" spans="1:33" ht="15.75" customHeight="1">
      <c r="A4" s="632"/>
      <c r="B4" s="632"/>
      <c r="C4" s="632"/>
      <c r="D4" s="632"/>
      <c r="E4" s="675"/>
      <c r="F4" s="632"/>
      <c r="G4" s="675"/>
      <c r="H4" s="667"/>
      <c r="I4" s="665"/>
      <c r="J4" s="662"/>
      <c r="K4" s="672"/>
      <c r="L4" s="665"/>
      <c r="M4" s="662"/>
      <c r="N4" s="672"/>
      <c r="O4" s="665"/>
      <c r="P4" s="672"/>
      <c r="Q4" s="663"/>
      <c r="R4" s="641"/>
      <c r="S4" s="308" t="s">
        <v>39</v>
      </c>
      <c r="T4" s="308" t="s">
        <v>40</v>
      </c>
      <c r="U4" s="667"/>
      <c r="V4" s="667"/>
      <c r="W4" s="308" t="s">
        <v>1548</v>
      </c>
      <c r="X4" s="308" t="s">
        <v>1549</v>
      </c>
      <c r="Y4" s="310" t="s">
        <v>1550</v>
      </c>
      <c r="Z4" s="310" t="s">
        <v>1551</v>
      </c>
      <c r="AA4" s="671"/>
      <c r="AB4" s="670"/>
      <c r="AC4" s="310" t="s">
        <v>1552</v>
      </c>
      <c r="AD4" s="310" t="s">
        <v>1553</v>
      </c>
      <c r="AE4" s="662"/>
      <c r="AF4" s="663"/>
      <c r="AG4" s="641"/>
    </row>
    <row r="5" spans="1:33">
      <c r="A5" s="664" t="s">
        <v>1554</v>
      </c>
      <c r="B5" s="42" t="s">
        <v>92</v>
      </c>
      <c r="C5" s="666" t="s">
        <v>93</v>
      </c>
      <c r="D5" s="666"/>
      <c r="E5" s="42">
        <v>50.92</v>
      </c>
      <c r="F5" s="318">
        <v>2311</v>
      </c>
      <c r="G5" s="308">
        <f t="shared" ref="G5:G8" si="0">E5*F5</f>
        <v>117676.12000000001</v>
      </c>
      <c r="H5" s="37" t="s">
        <v>91</v>
      </c>
      <c r="I5" s="316">
        <v>15</v>
      </c>
      <c r="J5" s="39">
        <v>2000</v>
      </c>
      <c r="K5" s="17">
        <f t="shared" ref="K5:K66" si="1">J5/I5</f>
        <v>133.33333333333334</v>
      </c>
      <c r="L5" s="316">
        <v>15</v>
      </c>
      <c r="M5" s="18">
        <f t="shared" ref="M5:M8" si="2">F5/V5*60</f>
        <v>1925.8333333333321</v>
      </c>
      <c r="N5" s="17">
        <f t="shared" ref="N5:N66" si="3">M5/L5</f>
        <v>128.3888888888888</v>
      </c>
      <c r="O5" s="19">
        <f t="shared" ref="O5:O66" si="4">L5-I5</f>
        <v>0</v>
      </c>
      <c r="P5" s="20">
        <f t="shared" ref="P5:P66" si="5">N5-K5</f>
        <v>-4.9444444444445423</v>
      </c>
      <c r="Q5" s="307">
        <f t="shared" ref="Q5:Q66" si="6">N5/K5</f>
        <v>0.96291666666666598</v>
      </c>
      <c r="R5" s="637">
        <f>Q9</f>
        <v>0.96011176592224967</v>
      </c>
      <c r="S5" s="40">
        <v>0.70833333333333337</v>
      </c>
      <c r="T5" s="40">
        <v>0.75833333333333341</v>
      </c>
      <c r="U5" s="308"/>
      <c r="V5" s="317">
        <f t="shared" ref="V5:V8" si="7">(T5-S5)*24*60</f>
        <v>72.000000000000057</v>
      </c>
      <c r="W5" s="23"/>
      <c r="X5" s="23"/>
      <c r="Y5" s="24"/>
      <c r="Z5" s="24"/>
      <c r="AA5" s="632"/>
      <c r="AB5" s="632"/>
      <c r="AC5" s="135">
        <v>4</v>
      </c>
      <c r="AD5" s="25"/>
      <c r="AE5" s="19">
        <f t="shared" ref="AE5:AE53" si="8">M5-J5</f>
        <v>-74.166666666667879</v>
      </c>
      <c r="AF5" s="307">
        <f t="shared" ref="AF5:AF66" si="9">M5/J5</f>
        <v>0.96291666666666609</v>
      </c>
      <c r="AG5" s="637">
        <f>AF9</f>
        <v>0.96011176592224967</v>
      </c>
    </row>
    <row r="6" spans="1:33">
      <c r="A6" s="665" t="s">
        <v>1555</v>
      </c>
      <c r="B6" s="42" t="s">
        <v>92</v>
      </c>
      <c r="C6" s="666" t="s">
        <v>94</v>
      </c>
      <c r="D6" s="666"/>
      <c r="E6" s="42">
        <v>50.98</v>
      </c>
      <c r="F6" s="318">
        <v>1000</v>
      </c>
      <c r="G6" s="308">
        <f t="shared" si="0"/>
        <v>50980</v>
      </c>
      <c r="H6" s="37">
        <v>2</v>
      </c>
      <c r="I6" s="316">
        <v>16</v>
      </c>
      <c r="J6" s="39">
        <v>2000</v>
      </c>
      <c r="K6" s="17">
        <f t="shared" si="1"/>
        <v>125</v>
      </c>
      <c r="L6" s="316">
        <v>16</v>
      </c>
      <c r="M6" s="18">
        <f t="shared" si="2"/>
        <v>1935.483870967739</v>
      </c>
      <c r="N6" s="17">
        <f t="shared" si="3"/>
        <v>120.96774193548369</v>
      </c>
      <c r="O6" s="19">
        <f t="shared" si="4"/>
        <v>0</v>
      </c>
      <c r="P6" s="20">
        <f t="shared" si="5"/>
        <v>-4.0322580645163129</v>
      </c>
      <c r="Q6" s="307">
        <f t="shared" si="6"/>
        <v>0.96774193548386944</v>
      </c>
      <c r="R6" s="637"/>
      <c r="S6" s="40">
        <v>0.76319444444444451</v>
      </c>
      <c r="T6" s="40">
        <v>0.78472222222222232</v>
      </c>
      <c r="U6" s="308">
        <f t="shared" ref="U6:U8" si="10">IF(S6=TIME(17,0,0),"",(S6-T5)*24*60)</f>
        <v>6.9999999999999751</v>
      </c>
      <c r="V6" s="317">
        <f t="shared" si="7"/>
        <v>31.00000000000005</v>
      </c>
      <c r="W6" s="23"/>
      <c r="X6" s="23"/>
      <c r="Y6" s="23"/>
      <c r="Z6" s="23"/>
      <c r="AA6" s="632"/>
      <c r="AB6" s="632"/>
      <c r="AC6" s="135"/>
      <c r="AD6" s="25"/>
      <c r="AE6" s="19">
        <f t="shared" si="8"/>
        <v>-64.516129032261006</v>
      </c>
      <c r="AF6" s="307">
        <f t="shared" si="9"/>
        <v>0.96774193548386944</v>
      </c>
      <c r="AG6" s="637"/>
    </row>
    <row r="7" spans="1:33">
      <c r="A7" s="665" t="s">
        <v>1555</v>
      </c>
      <c r="B7" s="42" t="s">
        <v>92</v>
      </c>
      <c r="C7" s="660" t="s">
        <v>109</v>
      </c>
      <c r="D7" s="661"/>
      <c r="E7" s="42">
        <v>50.49</v>
      </c>
      <c r="F7" s="318">
        <v>2066</v>
      </c>
      <c r="G7" s="308">
        <f t="shared" si="0"/>
        <v>104312.34000000001</v>
      </c>
      <c r="H7" s="37" t="s">
        <v>91</v>
      </c>
      <c r="I7" s="316">
        <v>15</v>
      </c>
      <c r="J7" s="39">
        <v>2000</v>
      </c>
      <c r="K7" s="17">
        <f t="shared" si="1"/>
        <v>133.33333333333334</v>
      </c>
      <c r="L7" s="316">
        <v>15</v>
      </c>
      <c r="M7" s="18">
        <f t="shared" si="2"/>
        <v>1907.0769230769251</v>
      </c>
      <c r="N7" s="17">
        <f t="shared" si="3"/>
        <v>127.13846153846167</v>
      </c>
      <c r="O7" s="19">
        <f t="shared" si="4"/>
        <v>0</v>
      </c>
      <c r="P7" s="20">
        <f t="shared" si="5"/>
        <v>-6.1948717948716734</v>
      </c>
      <c r="Q7" s="307">
        <f t="shared" si="6"/>
        <v>0.95353846153846245</v>
      </c>
      <c r="R7" s="637"/>
      <c r="S7" s="40">
        <v>0.78888888888888897</v>
      </c>
      <c r="T7" s="40">
        <v>0.83402777777777781</v>
      </c>
      <c r="U7" s="308">
        <f t="shared" si="10"/>
        <v>5.9999999999999787</v>
      </c>
      <c r="V7" s="317">
        <f t="shared" si="7"/>
        <v>64.999999999999929</v>
      </c>
      <c r="W7" s="23">
        <f>T7</f>
        <v>0.83402777777777781</v>
      </c>
      <c r="X7" s="23">
        <f>S8</f>
        <v>0.87222222222222223</v>
      </c>
      <c r="Y7" s="26"/>
      <c r="Z7" s="26"/>
      <c r="AA7" s="627"/>
      <c r="AB7" s="628"/>
      <c r="AC7" s="135"/>
      <c r="AD7" s="27"/>
      <c r="AE7" s="19">
        <f t="shared" si="8"/>
        <v>-92.923076923074859</v>
      </c>
      <c r="AF7" s="307">
        <f t="shared" si="9"/>
        <v>0.95353846153846256</v>
      </c>
      <c r="AG7" s="637"/>
    </row>
    <row r="8" spans="1:33">
      <c r="A8" s="665" t="s">
        <v>1555</v>
      </c>
      <c r="B8" s="42" t="s">
        <v>92</v>
      </c>
      <c r="C8" s="660" t="s">
        <v>94</v>
      </c>
      <c r="D8" s="661"/>
      <c r="E8" s="42">
        <v>50.98</v>
      </c>
      <c r="F8" s="318">
        <v>1530</v>
      </c>
      <c r="G8" s="308">
        <f t="shared" si="0"/>
        <v>77999.399999999994</v>
      </c>
      <c r="H8" s="37" t="s">
        <v>91</v>
      </c>
      <c r="I8" s="316">
        <v>16</v>
      </c>
      <c r="J8" s="39">
        <v>2000</v>
      </c>
      <c r="K8" s="17">
        <f t="shared" si="1"/>
        <v>125</v>
      </c>
      <c r="L8" s="316">
        <v>16</v>
      </c>
      <c r="M8" s="18">
        <f t="shared" si="2"/>
        <v>1912.5000000000007</v>
      </c>
      <c r="N8" s="17">
        <f t="shared" si="3"/>
        <v>119.53125000000004</v>
      </c>
      <c r="O8" s="19">
        <f t="shared" si="4"/>
        <v>0</v>
      </c>
      <c r="P8" s="20">
        <f t="shared" si="5"/>
        <v>-5.4687499999999574</v>
      </c>
      <c r="Q8" s="307">
        <f t="shared" si="6"/>
        <v>0.95625000000000038</v>
      </c>
      <c r="R8" s="637"/>
      <c r="S8" s="40">
        <v>0.87222222222222223</v>
      </c>
      <c r="T8" s="40">
        <v>0.90555555555555556</v>
      </c>
      <c r="U8" s="308">
        <f t="shared" si="10"/>
        <v>54.999999999999964</v>
      </c>
      <c r="V8" s="317">
        <f t="shared" si="7"/>
        <v>47.999999999999986</v>
      </c>
      <c r="W8" s="28"/>
      <c r="X8" s="28"/>
      <c r="Y8" s="136"/>
      <c r="Z8" s="136"/>
      <c r="AA8" s="627"/>
      <c r="AB8" s="628"/>
      <c r="AC8" s="135"/>
      <c r="AD8" s="27"/>
      <c r="AE8" s="19">
        <f t="shared" si="8"/>
        <v>-87.499999999999318</v>
      </c>
      <c r="AF8" s="307">
        <f t="shared" si="9"/>
        <v>0.95625000000000038</v>
      </c>
      <c r="AG8" s="637"/>
    </row>
    <row r="9" spans="1:33">
      <c r="A9" s="665" t="s">
        <v>1555</v>
      </c>
      <c r="B9" s="42" t="s">
        <v>1556</v>
      </c>
      <c r="C9" s="638"/>
      <c r="D9" s="638"/>
      <c r="E9" s="309"/>
      <c r="F9" s="44"/>
      <c r="G9" s="17"/>
      <c r="H9" s="318"/>
      <c r="I9" s="29">
        <v>15.5</v>
      </c>
      <c r="J9" s="39">
        <v>2000</v>
      </c>
      <c r="K9" s="17">
        <f t="shared" si="1"/>
        <v>129.03225806451613</v>
      </c>
      <c r="L9" s="29">
        <v>15.5</v>
      </c>
      <c r="M9" s="18">
        <f>AVERAGE(M5:M8)</f>
        <v>1920.2235318444993</v>
      </c>
      <c r="N9" s="17">
        <f t="shared" si="3"/>
        <v>123.88538915125802</v>
      </c>
      <c r="O9" s="19">
        <f t="shared" si="4"/>
        <v>0</v>
      </c>
      <c r="P9" s="20">
        <f t="shared" si="5"/>
        <v>-5.1468689132581034</v>
      </c>
      <c r="Q9" s="307">
        <f t="shared" si="6"/>
        <v>0.96011176592224967</v>
      </c>
      <c r="R9" s="637"/>
      <c r="S9" s="40"/>
      <c r="T9" s="40"/>
      <c r="U9" s="308"/>
      <c r="V9" s="317"/>
      <c r="W9" s="17"/>
      <c r="X9" s="17"/>
      <c r="Y9" s="30">
        <f>SUM(Y5:Y8)</f>
        <v>0</v>
      </c>
      <c r="Z9" s="30">
        <f>SUM(Z5:Z8)</f>
        <v>0</v>
      </c>
      <c r="AA9" s="631"/>
      <c r="AB9" s="631"/>
      <c r="AC9" s="30">
        <v>4</v>
      </c>
      <c r="AD9" s="30">
        <f>SUM(AD5:AD8)</f>
        <v>0</v>
      </c>
      <c r="AE9" s="19">
        <f t="shared" si="8"/>
        <v>-79.776468155500652</v>
      </c>
      <c r="AF9" s="307">
        <f t="shared" si="9"/>
        <v>0.96011176592224967</v>
      </c>
      <c r="AG9" s="637"/>
    </row>
    <row r="10" spans="1:33" ht="15.75" customHeight="1">
      <c r="A10" s="659" t="s">
        <v>1557</v>
      </c>
      <c r="B10" s="42" t="s">
        <v>96</v>
      </c>
      <c r="C10" s="660" t="s">
        <v>97</v>
      </c>
      <c r="D10" s="661"/>
      <c r="E10" s="42">
        <v>39.799999999999997</v>
      </c>
      <c r="F10" s="318">
        <v>6250</v>
      </c>
      <c r="G10" s="308">
        <f t="shared" ref="G10:G12" si="11">E10*F10</f>
        <v>248749.99999999997</v>
      </c>
      <c r="H10" s="37" t="s">
        <v>91</v>
      </c>
      <c r="I10" s="316">
        <v>17</v>
      </c>
      <c r="J10" s="39">
        <v>1500</v>
      </c>
      <c r="K10" s="17">
        <f t="shared" si="1"/>
        <v>88.235294117647058</v>
      </c>
      <c r="L10" s="316">
        <v>17</v>
      </c>
      <c r="M10" s="18">
        <f t="shared" ref="M10:M12" si="12">F10/V10*60</f>
        <v>1431.2977099236641</v>
      </c>
      <c r="N10" s="17">
        <f t="shared" si="3"/>
        <v>84.193982936686126</v>
      </c>
      <c r="O10" s="19">
        <f t="shared" si="4"/>
        <v>0</v>
      </c>
      <c r="P10" s="20">
        <f t="shared" si="5"/>
        <v>-4.0413111809609319</v>
      </c>
      <c r="Q10" s="307">
        <f t="shared" si="6"/>
        <v>0.95419847328244278</v>
      </c>
      <c r="R10" s="637">
        <f>Q13</f>
        <v>0.9560185476860702</v>
      </c>
      <c r="S10" s="40">
        <v>8.3333333333333329E-2</v>
      </c>
      <c r="T10" s="40">
        <v>0.26527777777777778</v>
      </c>
      <c r="U10" s="308"/>
      <c r="V10" s="317">
        <f t="shared" ref="V10:V12" si="13">(T10-S10)*24*60</f>
        <v>262</v>
      </c>
      <c r="W10" s="23">
        <f>T10</f>
        <v>0.26527777777777778</v>
      </c>
      <c r="X10" s="23">
        <f>S11</f>
        <v>0.28611111111111109</v>
      </c>
      <c r="Y10" s="23"/>
      <c r="Z10" s="23"/>
      <c r="AA10" s="632"/>
      <c r="AB10" s="632"/>
      <c r="AC10" s="135">
        <v>3</v>
      </c>
      <c r="AD10" s="25"/>
      <c r="AE10" s="19">
        <f t="shared" si="8"/>
        <v>-68.702290076335885</v>
      </c>
      <c r="AF10" s="307">
        <f t="shared" si="9"/>
        <v>0.95419847328244278</v>
      </c>
      <c r="AG10" s="637">
        <f>AF13</f>
        <v>0.9560185476860702</v>
      </c>
    </row>
    <row r="11" spans="1:33" ht="15.75" customHeight="1">
      <c r="A11" s="659" t="s">
        <v>1557</v>
      </c>
      <c r="B11" s="42" t="s">
        <v>96</v>
      </c>
      <c r="C11" s="660" t="s">
        <v>98</v>
      </c>
      <c r="D11" s="661"/>
      <c r="E11" s="42">
        <v>39.46</v>
      </c>
      <c r="F11" s="318">
        <v>2087</v>
      </c>
      <c r="G11" s="308">
        <f t="shared" si="11"/>
        <v>82353.02</v>
      </c>
      <c r="H11" s="37" t="s">
        <v>91</v>
      </c>
      <c r="I11" s="316">
        <v>15</v>
      </c>
      <c r="J11" s="39">
        <v>1500</v>
      </c>
      <c r="K11" s="17">
        <f t="shared" si="1"/>
        <v>100</v>
      </c>
      <c r="L11" s="316">
        <v>15</v>
      </c>
      <c r="M11" s="18">
        <f t="shared" si="12"/>
        <v>1439.3103448275858</v>
      </c>
      <c r="N11" s="17">
        <f t="shared" si="3"/>
        <v>95.954022988505727</v>
      </c>
      <c r="O11" s="19">
        <f t="shared" si="4"/>
        <v>0</v>
      </c>
      <c r="P11" s="20">
        <f t="shared" si="5"/>
        <v>-4.0459770114942728</v>
      </c>
      <c r="Q11" s="307">
        <f t="shared" si="6"/>
        <v>0.95954022988505727</v>
      </c>
      <c r="R11" s="637"/>
      <c r="S11" s="40">
        <v>0.28611111111111109</v>
      </c>
      <c r="T11" s="40">
        <v>0.34652777777777777</v>
      </c>
      <c r="U11" s="308">
        <f t="shared" ref="U11:U12" si="14">IF(S11=TIME(17,0,0),"",(S11-T10)*24*60)</f>
        <v>29.999999999999972</v>
      </c>
      <c r="V11" s="317">
        <f t="shared" si="13"/>
        <v>87.000000000000014</v>
      </c>
      <c r="W11" s="23"/>
      <c r="X11" s="23"/>
      <c r="Y11" s="23"/>
      <c r="Z11" s="23"/>
      <c r="AA11" s="632"/>
      <c r="AB11" s="632"/>
      <c r="AC11" s="135"/>
      <c r="AD11" s="25"/>
      <c r="AE11" s="19">
        <f t="shared" si="8"/>
        <v>-60.689655172414177</v>
      </c>
      <c r="AF11" s="307">
        <f t="shared" si="9"/>
        <v>0.95954022988505716</v>
      </c>
      <c r="AG11" s="637"/>
    </row>
    <row r="12" spans="1:33" ht="15.75" customHeight="1">
      <c r="A12" s="659" t="s">
        <v>1557</v>
      </c>
      <c r="B12" s="42" t="s">
        <v>96</v>
      </c>
      <c r="C12" s="660" t="s">
        <v>100</v>
      </c>
      <c r="D12" s="661"/>
      <c r="E12" s="42">
        <v>39.619999999999997</v>
      </c>
      <c r="F12" s="318">
        <v>4366</v>
      </c>
      <c r="G12" s="308">
        <f t="shared" si="11"/>
        <v>172980.91999999998</v>
      </c>
      <c r="H12" s="37" t="s">
        <v>91</v>
      </c>
      <c r="I12" s="316">
        <v>19</v>
      </c>
      <c r="J12" s="39">
        <v>1500</v>
      </c>
      <c r="K12" s="17">
        <f t="shared" si="1"/>
        <v>78.94736842105263</v>
      </c>
      <c r="L12" s="316">
        <v>19</v>
      </c>
      <c r="M12" s="18">
        <f t="shared" si="12"/>
        <v>1431.4754098360656</v>
      </c>
      <c r="N12" s="17">
        <f t="shared" si="3"/>
        <v>75.340811044003459</v>
      </c>
      <c r="O12" s="19">
        <f t="shared" si="4"/>
        <v>0</v>
      </c>
      <c r="P12" s="20">
        <f t="shared" si="5"/>
        <v>-3.606557377049171</v>
      </c>
      <c r="Q12" s="307">
        <f t="shared" si="6"/>
        <v>0.95431693989071054</v>
      </c>
      <c r="R12" s="637"/>
      <c r="S12" s="40">
        <v>0.35</v>
      </c>
      <c r="T12" s="40">
        <v>0.4770833333333333</v>
      </c>
      <c r="U12" s="308">
        <f t="shared" si="14"/>
        <v>4.9999999999999822</v>
      </c>
      <c r="V12" s="317">
        <f t="shared" si="13"/>
        <v>183</v>
      </c>
      <c r="W12" s="23"/>
      <c r="X12" s="23"/>
      <c r="Y12" s="23"/>
      <c r="Z12" s="23"/>
      <c r="AA12" s="632"/>
      <c r="AB12" s="632"/>
      <c r="AC12" s="135"/>
      <c r="AD12" s="25"/>
      <c r="AE12" s="19">
        <f t="shared" si="8"/>
        <v>-68.524590163934363</v>
      </c>
      <c r="AF12" s="307">
        <f t="shared" si="9"/>
        <v>0.95431693989071043</v>
      </c>
      <c r="AG12" s="637"/>
    </row>
    <row r="13" spans="1:33" ht="16.5" customHeight="1">
      <c r="A13" s="659" t="s">
        <v>1557</v>
      </c>
      <c r="B13" s="42" t="s">
        <v>1556</v>
      </c>
      <c r="C13" s="638"/>
      <c r="D13" s="638"/>
      <c r="E13" s="309"/>
      <c r="F13" s="39"/>
      <c r="G13" s="18"/>
      <c r="H13" s="318"/>
      <c r="I13" s="29">
        <v>17</v>
      </c>
      <c r="J13" s="39">
        <v>1500</v>
      </c>
      <c r="K13" s="17">
        <f t="shared" si="1"/>
        <v>88.235294117647058</v>
      </c>
      <c r="L13" s="29">
        <v>17</v>
      </c>
      <c r="M13" s="18">
        <f>AVERAGE(M10:M12)</f>
        <v>1434.0278215291053</v>
      </c>
      <c r="N13" s="17">
        <f t="shared" si="3"/>
        <v>84.354577737006196</v>
      </c>
      <c r="O13" s="19">
        <f t="shared" si="4"/>
        <v>0</v>
      </c>
      <c r="P13" s="20">
        <f t="shared" si="5"/>
        <v>-3.8807163806408624</v>
      </c>
      <c r="Q13" s="307">
        <f t="shared" si="6"/>
        <v>0.9560185476860702</v>
      </c>
      <c r="R13" s="637"/>
      <c r="S13" s="40"/>
      <c r="T13" s="40"/>
      <c r="U13" s="17"/>
      <c r="V13" s="317"/>
      <c r="W13" s="17"/>
      <c r="X13" s="17"/>
      <c r="Y13" s="30">
        <f>SUM(Y10:Y12)</f>
        <v>0</v>
      </c>
      <c r="Z13" s="30">
        <f>SUM(Z10:Z12)</f>
        <v>0</v>
      </c>
      <c r="AA13" s="631"/>
      <c r="AB13" s="631"/>
      <c r="AC13" s="30">
        <v>3</v>
      </c>
      <c r="AD13" s="30">
        <f>SUM(AD10:AD12)</f>
        <v>0</v>
      </c>
      <c r="AE13" s="19">
        <f t="shared" si="8"/>
        <v>-65.972178470894733</v>
      </c>
      <c r="AF13" s="307">
        <f t="shared" si="9"/>
        <v>0.9560185476860702</v>
      </c>
      <c r="AG13" s="637"/>
    </row>
    <row r="14" spans="1:33" ht="16.5" customHeight="1">
      <c r="A14" s="657" t="s">
        <v>1558</v>
      </c>
      <c r="B14" s="318" t="s">
        <v>101</v>
      </c>
      <c r="C14" s="653" t="s">
        <v>102</v>
      </c>
      <c r="D14" s="653"/>
      <c r="E14" s="42">
        <v>31.11</v>
      </c>
      <c r="F14" s="318">
        <v>3210</v>
      </c>
      <c r="G14" s="308">
        <f t="shared" ref="G14:G20" si="15">E14*F14</f>
        <v>99863.099999999991</v>
      </c>
      <c r="H14" s="37" t="s">
        <v>91</v>
      </c>
      <c r="I14" s="316">
        <v>14</v>
      </c>
      <c r="J14" s="39">
        <v>2000</v>
      </c>
      <c r="K14" s="17">
        <f t="shared" si="1"/>
        <v>142.85714285714286</v>
      </c>
      <c r="L14" s="316">
        <v>14</v>
      </c>
      <c r="M14" s="18">
        <f t="shared" ref="M14:M20" si="16">F14/V14*60</f>
        <v>1906.9306930693069</v>
      </c>
      <c r="N14" s="17">
        <f t="shared" si="3"/>
        <v>136.20933521923621</v>
      </c>
      <c r="O14" s="19">
        <f t="shared" si="4"/>
        <v>0</v>
      </c>
      <c r="P14" s="20">
        <f t="shared" si="5"/>
        <v>-6.6478076379066522</v>
      </c>
      <c r="Q14" s="307">
        <f t="shared" si="6"/>
        <v>0.95346534653465342</v>
      </c>
      <c r="R14" s="637">
        <f>Q21</f>
        <v>0.95778083039880391</v>
      </c>
      <c r="S14" s="40">
        <v>0.20833333333333334</v>
      </c>
      <c r="T14" s="40">
        <v>0.27847222222222223</v>
      </c>
      <c r="U14" s="308"/>
      <c r="V14" s="317">
        <f t="shared" ref="V14:V20" si="17">(T14-S14)*24*60</f>
        <v>101</v>
      </c>
      <c r="W14" s="23"/>
      <c r="X14" s="23"/>
      <c r="Y14" s="28"/>
      <c r="Z14" s="28"/>
      <c r="AA14" s="632"/>
      <c r="AB14" s="632"/>
      <c r="AC14" s="135">
        <v>7</v>
      </c>
      <c r="AD14" s="25"/>
      <c r="AE14" s="19">
        <f t="shared" si="8"/>
        <v>-93.069306930693074</v>
      </c>
      <c r="AF14" s="307">
        <f t="shared" si="9"/>
        <v>0.95346534653465342</v>
      </c>
      <c r="AG14" s="637">
        <f>AF21</f>
        <v>0.95778083039880391</v>
      </c>
    </row>
    <row r="15" spans="1:33" ht="16.5" customHeight="1">
      <c r="A15" s="658" t="s">
        <v>1558</v>
      </c>
      <c r="B15" s="318" t="s">
        <v>103</v>
      </c>
      <c r="C15" s="653" t="s">
        <v>104</v>
      </c>
      <c r="D15" s="653"/>
      <c r="E15" s="42">
        <v>38.619999999999997</v>
      </c>
      <c r="F15" s="318">
        <v>1880</v>
      </c>
      <c r="G15" s="308">
        <f t="shared" si="15"/>
        <v>72605.599999999991</v>
      </c>
      <c r="H15" s="37" t="s">
        <v>91</v>
      </c>
      <c r="I15" s="316">
        <v>24</v>
      </c>
      <c r="J15" s="39">
        <v>1500</v>
      </c>
      <c r="K15" s="17">
        <f t="shared" si="1"/>
        <v>62.5</v>
      </c>
      <c r="L15" s="316">
        <v>24</v>
      </c>
      <c r="M15" s="18">
        <f t="shared" si="16"/>
        <v>1427.8481012658222</v>
      </c>
      <c r="N15" s="17">
        <f t="shared" si="3"/>
        <v>59.493670886075925</v>
      </c>
      <c r="O15" s="19">
        <f t="shared" si="4"/>
        <v>0</v>
      </c>
      <c r="P15" s="20">
        <f t="shared" si="5"/>
        <v>-3.0063291139240746</v>
      </c>
      <c r="Q15" s="307">
        <f t="shared" si="6"/>
        <v>0.95189873417721482</v>
      </c>
      <c r="R15" s="637"/>
      <c r="S15" s="40">
        <v>0.28402777777777777</v>
      </c>
      <c r="T15" s="40">
        <v>0.33888888888888891</v>
      </c>
      <c r="U15" s="308">
        <f t="shared" ref="U15:U20" si="18">IF(S15=TIME(17,0,0),"",(S15-T14)*24*60)</f>
        <v>7.9999999999999716</v>
      </c>
      <c r="V15" s="317">
        <f t="shared" si="17"/>
        <v>79.000000000000043</v>
      </c>
      <c r="W15" s="23"/>
      <c r="X15" s="23"/>
      <c r="Y15" s="23"/>
      <c r="Z15" s="23"/>
      <c r="AA15" s="632"/>
      <c r="AB15" s="632"/>
      <c r="AC15" s="135"/>
      <c r="AD15" s="25"/>
      <c r="AE15" s="19">
        <f t="shared" si="8"/>
        <v>-72.151898734177848</v>
      </c>
      <c r="AF15" s="307">
        <f t="shared" si="9"/>
        <v>0.95189873417721482</v>
      </c>
      <c r="AG15" s="637"/>
    </row>
    <row r="16" spans="1:33" ht="16.5" customHeight="1">
      <c r="A16" s="658" t="s">
        <v>1558</v>
      </c>
      <c r="B16" s="318" t="s">
        <v>103</v>
      </c>
      <c r="C16" s="653" t="s">
        <v>105</v>
      </c>
      <c r="D16" s="653"/>
      <c r="E16" s="42">
        <v>41</v>
      </c>
      <c r="F16" s="318">
        <v>1496</v>
      </c>
      <c r="G16" s="308">
        <f t="shared" si="15"/>
        <v>61336</v>
      </c>
      <c r="H16" s="37" t="s">
        <v>91</v>
      </c>
      <c r="I16" s="316">
        <v>26</v>
      </c>
      <c r="J16" s="39">
        <v>1500</v>
      </c>
      <c r="K16" s="17">
        <f t="shared" si="1"/>
        <v>57.692307692307693</v>
      </c>
      <c r="L16" s="316">
        <v>26</v>
      </c>
      <c r="M16" s="18">
        <f t="shared" si="16"/>
        <v>1447.7419354838705</v>
      </c>
      <c r="N16" s="17">
        <f t="shared" si="3"/>
        <v>55.68238213399502</v>
      </c>
      <c r="O16" s="19">
        <f t="shared" si="4"/>
        <v>0</v>
      </c>
      <c r="P16" s="20">
        <f t="shared" si="5"/>
        <v>-2.0099255583126734</v>
      </c>
      <c r="Q16" s="307">
        <f t="shared" si="6"/>
        <v>0.96516129032258036</v>
      </c>
      <c r="R16" s="637"/>
      <c r="S16" s="40">
        <v>0.34444444444444444</v>
      </c>
      <c r="T16" s="40">
        <v>0.38750000000000001</v>
      </c>
      <c r="U16" s="308">
        <f t="shared" si="18"/>
        <v>7.9999999999999716</v>
      </c>
      <c r="V16" s="317">
        <f t="shared" si="17"/>
        <v>62.000000000000021</v>
      </c>
      <c r="W16" s="23"/>
      <c r="X16" s="23"/>
      <c r="Y16" s="23"/>
      <c r="Z16" s="23"/>
      <c r="AA16" s="632"/>
      <c r="AB16" s="632"/>
      <c r="AC16" s="135"/>
      <c r="AD16" s="25"/>
      <c r="AE16" s="19">
        <f t="shared" si="8"/>
        <v>-52.25806451612948</v>
      </c>
      <c r="AF16" s="307">
        <f t="shared" si="9"/>
        <v>0.96516129032258036</v>
      </c>
      <c r="AG16" s="637"/>
    </row>
    <row r="17" spans="1:33" ht="16.5" customHeight="1">
      <c r="A17" s="658" t="s">
        <v>1558</v>
      </c>
      <c r="B17" s="318" t="s">
        <v>96</v>
      </c>
      <c r="C17" s="653" t="s">
        <v>99</v>
      </c>
      <c r="D17" s="653"/>
      <c r="E17" s="42">
        <v>39.520000000000003</v>
      </c>
      <c r="F17" s="318">
        <v>1958</v>
      </c>
      <c r="G17" s="308">
        <f t="shared" si="15"/>
        <v>77380.160000000003</v>
      </c>
      <c r="H17" s="37" t="s">
        <v>91</v>
      </c>
      <c r="I17" s="316">
        <v>19</v>
      </c>
      <c r="J17" s="39">
        <v>1500</v>
      </c>
      <c r="K17" s="17">
        <f t="shared" si="1"/>
        <v>78.94736842105263</v>
      </c>
      <c r="L17" s="316">
        <v>19</v>
      </c>
      <c r="M17" s="18">
        <f t="shared" si="16"/>
        <v>1432.6829268292677</v>
      </c>
      <c r="N17" s="17">
        <f t="shared" si="3"/>
        <v>75.404364569961459</v>
      </c>
      <c r="O17" s="19">
        <f t="shared" si="4"/>
        <v>0</v>
      </c>
      <c r="P17" s="20">
        <f t="shared" si="5"/>
        <v>-3.5430038510911714</v>
      </c>
      <c r="Q17" s="307">
        <f t="shared" si="6"/>
        <v>0.95512195121951182</v>
      </c>
      <c r="R17" s="637"/>
      <c r="S17" s="40">
        <v>0.39305555555555555</v>
      </c>
      <c r="T17" s="40">
        <v>0.45</v>
      </c>
      <c r="U17" s="308">
        <f t="shared" si="18"/>
        <v>7.9999999999999716</v>
      </c>
      <c r="V17" s="317">
        <f t="shared" si="17"/>
        <v>82.000000000000028</v>
      </c>
      <c r="W17" s="23"/>
      <c r="X17" s="23"/>
      <c r="Y17" s="23"/>
      <c r="Z17" s="23"/>
      <c r="AA17" s="632"/>
      <c r="AB17" s="632"/>
      <c r="AC17" s="135"/>
      <c r="AD17" s="25"/>
      <c r="AE17" s="19">
        <f t="shared" si="8"/>
        <v>-67.317073170732328</v>
      </c>
      <c r="AF17" s="307">
        <f t="shared" si="9"/>
        <v>0.95512195121951182</v>
      </c>
      <c r="AG17" s="637"/>
    </row>
    <row r="18" spans="1:33" ht="16.5" customHeight="1">
      <c r="A18" s="658" t="s">
        <v>1558</v>
      </c>
      <c r="B18" s="318" t="s">
        <v>92</v>
      </c>
      <c r="C18" s="653" t="s">
        <v>108</v>
      </c>
      <c r="D18" s="653"/>
      <c r="E18" s="42">
        <v>54.5</v>
      </c>
      <c r="F18" s="318">
        <v>1466</v>
      </c>
      <c r="G18" s="308">
        <f t="shared" si="15"/>
        <v>79897</v>
      </c>
      <c r="H18" s="37" t="s">
        <v>91</v>
      </c>
      <c r="I18" s="316">
        <v>20</v>
      </c>
      <c r="J18" s="39">
        <v>1500</v>
      </c>
      <c r="K18" s="17">
        <f t="shared" si="1"/>
        <v>75</v>
      </c>
      <c r="L18" s="316">
        <v>20</v>
      </c>
      <c r="M18" s="18">
        <f t="shared" si="16"/>
        <v>1441.9672131147554</v>
      </c>
      <c r="N18" s="17">
        <f t="shared" si="3"/>
        <v>72.098360655737764</v>
      </c>
      <c r="O18" s="19">
        <f t="shared" si="4"/>
        <v>0</v>
      </c>
      <c r="P18" s="20">
        <f t="shared" si="5"/>
        <v>-2.9016393442622359</v>
      </c>
      <c r="Q18" s="307">
        <f t="shared" si="6"/>
        <v>0.96131147540983686</v>
      </c>
      <c r="R18" s="637"/>
      <c r="S18" s="40">
        <v>0.70833333333333337</v>
      </c>
      <c r="T18" s="40">
        <v>0.75069444444444444</v>
      </c>
      <c r="U18" s="308" t="str">
        <f t="shared" si="18"/>
        <v/>
      </c>
      <c r="V18" s="317">
        <f t="shared" si="17"/>
        <v>60.999999999999943</v>
      </c>
      <c r="W18" s="23"/>
      <c r="X18" s="23"/>
      <c r="Y18" s="23"/>
      <c r="Z18" s="23"/>
      <c r="AA18" s="632"/>
      <c r="AB18" s="632"/>
      <c r="AC18" s="135"/>
      <c r="AD18" s="25"/>
      <c r="AE18" s="19">
        <f t="shared" si="8"/>
        <v>-58.032786885244604</v>
      </c>
      <c r="AF18" s="307">
        <f t="shared" si="9"/>
        <v>0.96131147540983697</v>
      </c>
      <c r="AG18" s="637"/>
    </row>
    <row r="19" spans="1:33" ht="16.5" customHeight="1">
      <c r="A19" s="658" t="s">
        <v>1558</v>
      </c>
      <c r="B19" s="318" t="s">
        <v>92</v>
      </c>
      <c r="C19" s="320" t="s">
        <v>107</v>
      </c>
      <c r="D19" s="321"/>
      <c r="E19" s="42">
        <v>50.67</v>
      </c>
      <c r="F19" s="318">
        <v>1617</v>
      </c>
      <c r="G19" s="308">
        <f t="shared" si="15"/>
        <v>81933.39</v>
      </c>
      <c r="H19" s="37" t="s">
        <v>91</v>
      </c>
      <c r="I19" s="316">
        <v>17</v>
      </c>
      <c r="J19" s="39">
        <v>2000</v>
      </c>
      <c r="K19" s="17">
        <f t="shared" si="1"/>
        <v>117.64705882352941</v>
      </c>
      <c r="L19" s="316">
        <v>17</v>
      </c>
      <c r="M19" s="18">
        <f t="shared" si="16"/>
        <v>1902.3529411764712</v>
      </c>
      <c r="N19" s="17">
        <f t="shared" si="3"/>
        <v>111.90311418685124</v>
      </c>
      <c r="O19" s="19">
        <f t="shared" si="4"/>
        <v>0</v>
      </c>
      <c r="P19" s="20">
        <f t="shared" si="5"/>
        <v>-5.7439446366781652</v>
      </c>
      <c r="Q19" s="307">
        <f t="shared" si="6"/>
        <v>0.95117647058823562</v>
      </c>
      <c r="R19" s="637"/>
      <c r="S19" s="40">
        <v>0.75416666666666665</v>
      </c>
      <c r="T19" s="40">
        <v>0.7895833333333333</v>
      </c>
      <c r="U19" s="308">
        <f t="shared" si="18"/>
        <v>4.9999999999999822</v>
      </c>
      <c r="V19" s="317">
        <f t="shared" si="17"/>
        <v>50.999999999999979</v>
      </c>
      <c r="W19" s="23"/>
      <c r="X19" s="23"/>
      <c r="Y19" s="26"/>
      <c r="Z19" s="26"/>
      <c r="AA19" s="314"/>
      <c r="AB19" s="315"/>
      <c r="AC19" s="135"/>
      <c r="AD19" s="25"/>
      <c r="AE19" s="19">
        <f t="shared" si="8"/>
        <v>-97.647058823528823</v>
      </c>
      <c r="AF19" s="307">
        <f t="shared" si="9"/>
        <v>0.95117647058823562</v>
      </c>
      <c r="AG19" s="637"/>
    </row>
    <row r="20" spans="1:33" ht="16.5" customHeight="1">
      <c r="A20" s="658" t="s">
        <v>1558</v>
      </c>
      <c r="B20" s="318" t="s">
        <v>92</v>
      </c>
      <c r="C20" s="320" t="s">
        <v>95</v>
      </c>
      <c r="D20" s="321"/>
      <c r="E20" s="42">
        <v>50.67</v>
      </c>
      <c r="F20" s="318">
        <v>1257</v>
      </c>
      <c r="G20" s="308">
        <f t="shared" si="15"/>
        <v>63692.19</v>
      </c>
      <c r="H20" s="37" t="s">
        <v>91</v>
      </c>
      <c r="I20" s="316">
        <v>15</v>
      </c>
      <c r="J20" s="39">
        <v>2000</v>
      </c>
      <c r="K20" s="17">
        <f t="shared" si="1"/>
        <v>133.33333333333334</v>
      </c>
      <c r="L20" s="316">
        <v>15</v>
      </c>
      <c r="M20" s="18">
        <f t="shared" si="16"/>
        <v>1933.8461538461527</v>
      </c>
      <c r="N20" s="17">
        <f t="shared" si="3"/>
        <v>128.92307692307685</v>
      </c>
      <c r="O20" s="19">
        <f t="shared" si="4"/>
        <v>0</v>
      </c>
      <c r="P20" s="20">
        <f t="shared" si="5"/>
        <v>-4.4102564102564941</v>
      </c>
      <c r="Q20" s="307">
        <f t="shared" si="6"/>
        <v>0.96692307692307633</v>
      </c>
      <c r="R20" s="637"/>
      <c r="S20" s="40">
        <v>0.7944444444444444</v>
      </c>
      <c r="T20" s="40">
        <v>0.82152777777777775</v>
      </c>
      <c r="U20" s="308">
        <f t="shared" si="18"/>
        <v>6.9999999999999751</v>
      </c>
      <c r="V20" s="317">
        <f t="shared" si="17"/>
        <v>39.000000000000021</v>
      </c>
      <c r="W20" s="23"/>
      <c r="X20" s="23"/>
      <c r="Y20" s="26"/>
      <c r="Z20" s="26"/>
      <c r="AA20" s="314"/>
      <c r="AB20" s="315"/>
      <c r="AC20" s="135"/>
      <c r="AD20" s="25"/>
      <c r="AE20" s="19">
        <f t="shared" si="8"/>
        <v>-66.153846153847326</v>
      </c>
      <c r="AF20" s="307">
        <f t="shared" si="9"/>
        <v>0.96692307692307633</v>
      </c>
      <c r="AG20" s="637"/>
    </row>
    <row r="21" spans="1:33" ht="16.5" customHeight="1">
      <c r="A21" s="658" t="s">
        <v>1558</v>
      </c>
      <c r="B21" s="42" t="s">
        <v>1556</v>
      </c>
      <c r="C21" s="638"/>
      <c r="D21" s="638"/>
      <c r="E21" s="309"/>
      <c r="F21" s="44"/>
      <c r="G21" s="17"/>
      <c r="H21" s="318"/>
      <c r="I21" s="29">
        <v>19.285714285714285</v>
      </c>
      <c r="J21" s="39">
        <v>1714.2857142857142</v>
      </c>
      <c r="K21" s="17">
        <f t="shared" si="1"/>
        <v>88.888888888888886</v>
      </c>
      <c r="L21" s="29">
        <v>19.285714285714285</v>
      </c>
      <c r="M21" s="18">
        <f>AVERAGE(M14:M20)</f>
        <v>1641.909994969378</v>
      </c>
      <c r="N21" s="17">
        <f t="shared" si="3"/>
        <v>85.136073813227014</v>
      </c>
      <c r="O21" s="19">
        <f t="shared" si="4"/>
        <v>0</v>
      </c>
      <c r="P21" s="20">
        <f t="shared" si="5"/>
        <v>-3.7528150756618714</v>
      </c>
      <c r="Q21" s="307">
        <f t="shared" si="6"/>
        <v>0.95778083039880391</v>
      </c>
      <c r="R21" s="637"/>
      <c r="S21" s="40"/>
      <c r="T21" s="40"/>
      <c r="U21" s="308"/>
      <c r="V21" s="317"/>
      <c r="W21" s="17"/>
      <c r="X21" s="17"/>
      <c r="Y21" s="30">
        <f>SUM(Y14:Y20)</f>
        <v>0</v>
      </c>
      <c r="Z21" s="30">
        <f>SUM(Z14:Z20)</f>
        <v>0</v>
      </c>
      <c r="AA21" s="631"/>
      <c r="AB21" s="631"/>
      <c r="AC21" s="30">
        <v>7</v>
      </c>
      <c r="AD21" s="30">
        <f>SUM(AD14:AD20)</f>
        <v>0</v>
      </c>
      <c r="AE21" s="19">
        <f t="shared" si="8"/>
        <v>-72.375719316336244</v>
      </c>
      <c r="AF21" s="307">
        <f t="shared" si="9"/>
        <v>0.95778083039880391</v>
      </c>
      <c r="AG21" s="637"/>
    </row>
    <row r="22" spans="1:33" ht="15.75" customHeight="1">
      <c r="A22" s="655" t="s">
        <v>1559</v>
      </c>
      <c r="B22" s="42" t="s">
        <v>92</v>
      </c>
      <c r="C22" s="653" t="s">
        <v>110</v>
      </c>
      <c r="D22" s="653"/>
      <c r="E22" s="42">
        <v>50.67</v>
      </c>
      <c r="F22" s="318">
        <v>1360</v>
      </c>
      <c r="G22" s="308">
        <f t="shared" ref="G22:G28" si="19">E22*F22</f>
        <v>68911.199999999997</v>
      </c>
      <c r="H22" s="37" t="s">
        <v>91</v>
      </c>
      <c r="I22" s="316">
        <v>17</v>
      </c>
      <c r="J22" s="39">
        <v>2000</v>
      </c>
      <c r="K22" s="17">
        <f t="shared" si="1"/>
        <v>117.64705882352941</v>
      </c>
      <c r="L22" s="316">
        <v>17</v>
      </c>
      <c r="M22" s="18">
        <f t="shared" ref="M22:M28" si="20">F22/V22*60</f>
        <v>1942.8571428571424</v>
      </c>
      <c r="N22" s="17">
        <f t="shared" si="3"/>
        <v>114.28571428571426</v>
      </c>
      <c r="O22" s="19">
        <f t="shared" si="4"/>
        <v>0</v>
      </c>
      <c r="P22" s="20">
        <f t="shared" si="5"/>
        <v>-3.3613445378151425</v>
      </c>
      <c r="Q22" s="307">
        <f t="shared" si="6"/>
        <v>0.97142857142857131</v>
      </c>
      <c r="R22" s="637">
        <f>Q29</f>
        <v>0.96357871720324162</v>
      </c>
      <c r="S22" s="40">
        <v>0.20833333333333334</v>
      </c>
      <c r="T22" s="40">
        <v>0.23750000000000002</v>
      </c>
      <c r="U22" s="308"/>
      <c r="V22" s="317">
        <f t="shared" ref="V22:V28" si="21">(T22-S22)*24*60</f>
        <v>42.000000000000014</v>
      </c>
      <c r="W22" s="23"/>
      <c r="X22" s="23"/>
      <c r="Y22" s="28"/>
      <c r="Z22" s="28"/>
      <c r="AA22" s="632"/>
      <c r="AB22" s="632"/>
      <c r="AC22" s="135">
        <v>7</v>
      </c>
      <c r="AD22" s="25"/>
      <c r="AE22" s="19">
        <f t="shared" si="8"/>
        <v>-57.142857142857565</v>
      </c>
      <c r="AF22" s="307">
        <f t="shared" si="9"/>
        <v>0.9714285714285712</v>
      </c>
      <c r="AG22" s="637">
        <f>AF29</f>
        <v>0.96357871720324173</v>
      </c>
    </row>
    <row r="23" spans="1:33" ht="15.75" customHeight="1">
      <c r="A23" s="656" t="s">
        <v>1559</v>
      </c>
      <c r="B23" s="42" t="s">
        <v>92</v>
      </c>
      <c r="C23" s="653" t="s">
        <v>111</v>
      </c>
      <c r="D23" s="653"/>
      <c r="E23" s="42">
        <v>57.73</v>
      </c>
      <c r="F23" s="318">
        <v>2172</v>
      </c>
      <c r="G23" s="308">
        <f t="shared" si="19"/>
        <v>125389.56</v>
      </c>
      <c r="H23" s="37" t="s">
        <v>91</v>
      </c>
      <c r="I23" s="316">
        <v>14</v>
      </c>
      <c r="J23" s="39">
        <v>2000</v>
      </c>
      <c r="K23" s="17">
        <f t="shared" si="1"/>
        <v>142.85714285714286</v>
      </c>
      <c r="L23" s="316">
        <v>14</v>
      </c>
      <c r="M23" s="18">
        <f t="shared" si="20"/>
        <v>1916.4705882352941</v>
      </c>
      <c r="N23" s="17">
        <f t="shared" si="3"/>
        <v>136.890756302521</v>
      </c>
      <c r="O23" s="19">
        <f t="shared" si="4"/>
        <v>0</v>
      </c>
      <c r="P23" s="20">
        <f t="shared" si="5"/>
        <v>-5.9663865546218631</v>
      </c>
      <c r="Q23" s="307">
        <f t="shared" si="6"/>
        <v>0.95823529411764696</v>
      </c>
      <c r="R23" s="637"/>
      <c r="S23" s="40">
        <v>0.24236111111111114</v>
      </c>
      <c r="T23" s="40">
        <v>0.28958333333333336</v>
      </c>
      <c r="U23" s="308">
        <f t="shared" ref="U23:U28" si="22">IF(S23=TIME(17,0,0),"",(S23-T22)*24*60)</f>
        <v>7.0000000000000151</v>
      </c>
      <c r="V23" s="317">
        <f t="shared" si="21"/>
        <v>68</v>
      </c>
      <c r="W23" s="23"/>
      <c r="X23" s="308"/>
      <c r="Y23" s="308"/>
      <c r="Z23" s="308"/>
      <c r="AA23" s="632"/>
      <c r="AB23" s="632"/>
      <c r="AC23" s="135"/>
      <c r="AD23" s="25"/>
      <c r="AE23" s="19">
        <f t="shared" si="8"/>
        <v>-83.529411764705856</v>
      </c>
      <c r="AF23" s="307">
        <f t="shared" si="9"/>
        <v>0.95823529411764707</v>
      </c>
      <c r="AG23" s="637"/>
    </row>
    <row r="24" spans="1:33" ht="15.75" customHeight="1">
      <c r="A24" s="656" t="s">
        <v>1559</v>
      </c>
      <c r="B24" s="42" t="s">
        <v>92</v>
      </c>
      <c r="C24" s="653" t="s">
        <v>112</v>
      </c>
      <c r="D24" s="653"/>
      <c r="E24" s="42">
        <v>53.27</v>
      </c>
      <c r="F24" s="318">
        <v>1054</v>
      </c>
      <c r="G24" s="308">
        <f t="shared" si="19"/>
        <v>56146.58</v>
      </c>
      <c r="H24" s="37" t="s">
        <v>91</v>
      </c>
      <c r="I24" s="316">
        <v>16</v>
      </c>
      <c r="J24" s="39">
        <v>2000</v>
      </c>
      <c r="K24" s="17">
        <f t="shared" si="1"/>
        <v>125</v>
      </c>
      <c r="L24" s="316">
        <v>16</v>
      </c>
      <c r="M24" s="18">
        <f t="shared" si="20"/>
        <v>1916.3636363636383</v>
      </c>
      <c r="N24" s="17">
        <f t="shared" si="3"/>
        <v>119.77272727272739</v>
      </c>
      <c r="O24" s="19">
        <f t="shared" si="4"/>
        <v>0</v>
      </c>
      <c r="P24" s="20">
        <f t="shared" si="5"/>
        <v>-5.2272727272726058</v>
      </c>
      <c r="Q24" s="307">
        <f t="shared" si="6"/>
        <v>0.95818181818181913</v>
      </c>
      <c r="R24" s="637"/>
      <c r="S24" s="40">
        <v>0.2951388888888889</v>
      </c>
      <c r="T24" s="40">
        <v>0.31805555555555554</v>
      </c>
      <c r="U24" s="308">
        <f t="shared" si="22"/>
        <v>7.9999999999999716</v>
      </c>
      <c r="V24" s="317">
        <f t="shared" si="21"/>
        <v>32.999999999999964</v>
      </c>
      <c r="W24" s="23"/>
      <c r="X24" s="308"/>
      <c r="Y24" s="308"/>
      <c r="Z24" s="308"/>
      <c r="AA24" s="632"/>
      <c r="AB24" s="632"/>
      <c r="AC24" s="135"/>
      <c r="AD24" s="25"/>
      <c r="AE24" s="19">
        <f t="shared" si="8"/>
        <v>-83.636363636361693</v>
      </c>
      <c r="AF24" s="307">
        <f t="shared" si="9"/>
        <v>0.95818181818181913</v>
      </c>
      <c r="AG24" s="637"/>
    </row>
    <row r="25" spans="1:33" ht="15.75" customHeight="1">
      <c r="A25" s="656" t="s">
        <v>1559</v>
      </c>
      <c r="B25" s="42" t="s">
        <v>92</v>
      </c>
      <c r="C25" s="653" t="s">
        <v>113</v>
      </c>
      <c r="D25" s="653"/>
      <c r="E25" s="42">
        <v>56.43</v>
      </c>
      <c r="F25" s="318">
        <v>1300</v>
      </c>
      <c r="G25" s="308">
        <f t="shared" si="19"/>
        <v>73359</v>
      </c>
      <c r="H25" s="37" t="s">
        <v>91</v>
      </c>
      <c r="I25" s="316">
        <v>13</v>
      </c>
      <c r="J25" s="39">
        <v>2000</v>
      </c>
      <c r="K25" s="17">
        <f t="shared" si="1"/>
        <v>153.84615384615384</v>
      </c>
      <c r="L25" s="316">
        <v>13</v>
      </c>
      <c r="M25" s="18">
        <f t="shared" si="20"/>
        <v>1949.9999999999991</v>
      </c>
      <c r="N25" s="17">
        <f t="shared" si="3"/>
        <v>149.99999999999994</v>
      </c>
      <c r="O25" s="19">
        <f t="shared" si="4"/>
        <v>0</v>
      </c>
      <c r="P25" s="20">
        <f t="shared" si="5"/>
        <v>-3.8461538461538964</v>
      </c>
      <c r="Q25" s="307">
        <f t="shared" si="6"/>
        <v>0.97499999999999964</v>
      </c>
      <c r="R25" s="637"/>
      <c r="S25" s="40">
        <v>0.70833333333333337</v>
      </c>
      <c r="T25" s="40">
        <v>0.73611111111111116</v>
      </c>
      <c r="U25" s="308" t="str">
        <f t="shared" si="22"/>
        <v/>
      </c>
      <c r="V25" s="317">
        <f t="shared" si="21"/>
        <v>40.000000000000014</v>
      </c>
      <c r="W25" s="23"/>
      <c r="X25" s="308"/>
      <c r="Y25" s="308"/>
      <c r="Z25" s="308"/>
      <c r="AA25" s="632"/>
      <c r="AB25" s="632"/>
      <c r="AC25" s="135"/>
      <c r="AD25" s="25"/>
      <c r="AE25" s="19">
        <f t="shared" si="8"/>
        <v>-50.000000000000909</v>
      </c>
      <c r="AF25" s="307">
        <f t="shared" si="9"/>
        <v>0.97499999999999953</v>
      </c>
      <c r="AG25" s="637"/>
    </row>
    <row r="26" spans="1:33" ht="15.75" customHeight="1">
      <c r="A26" s="656" t="s">
        <v>1559</v>
      </c>
      <c r="B26" s="42" t="s">
        <v>92</v>
      </c>
      <c r="C26" s="653" t="s">
        <v>140</v>
      </c>
      <c r="D26" s="653"/>
      <c r="E26" s="42">
        <v>51.06</v>
      </c>
      <c r="F26" s="318">
        <v>1000</v>
      </c>
      <c r="G26" s="308">
        <f t="shared" si="19"/>
        <v>51060</v>
      </c>
      <c r="H26" s="37">
        <v>2</v>
      </c>
      <c r="I26" s="316">
        <v>13</v>
      </c>
      <c r="J26" s="39">
        <v>2000</v>
      </c>
      <c r="K26" s="17">
        <f t="shared" si="1"/>
        <v>153.84615384615384</v>
      </c>
      <c r="L26" s="316">
        <v>13</v>
      </c>
      <c r="M26" s="18">
        <f t="shared" si="20"/>
        <v>1935.483870967739</v>
      </c>
      <c r="N26" s="17">
        <f t="shared" si="3"/>
        <v>148.88337468982607</v>
      </c>
      <c r="O26" s="19">
        <f t="shared" si="4"/>
        <v>0</v>
      </c>
      <c r="P26" s="20">
        <f t="shared" si="5"/>
        <v>-4.9627791563277697</v>
      </c>
      <c r="Q26" s="307">
        <f t="shared" si="6"/>
        <v>0.96774193548386944</v>
      </c>
      <c r="R26" s="637"/>
      <c r="S26" s="40">
        <v>0.74027777777777781</v>
      </c>
      <c r="T26" s="40">
        <v>0.76180555555555562</v>
      </c>
      <c r="U26" s="308">
        <f t="shared" si="22"/>
        <v>5.9999999999999787</v>
      </c>
      <c r="V26" s="317">
        <f t="shared" si="21"/>
        <v>31.00000000000005</v>
      </c>
      <c r="W26" s="23"/>
      <c r="X26" s="23"/>
      <c r="Y26" s="308"/>
      <c r="Z26" s="308"/>
      <c r="AA26" s="632"/>
      <c r="AB26" s="632"/>
      <c r="AC26" s="135"/>
      <c r="AD26" s="25"/>
      <c r="AE26" s="19">
        <f t="shared" si="8"/>
        <v>-64.516129032261006</v>
      </c>
      <c r="AF26" s="307">
        <f t="shared" si="9"/>
        <v>0.96774193548386944</v>
      </c>
      <c r="AG26" s="637"/>
    </row>
    <row r="27" spans="1:33" ht="15.75" customHeight="1">
      <c r="A27" s="656" t="s">
        <v>1559</v>
      </c>
      <c r="B27" s="42" t="s">
        <v>92</v>
      </c>
      <c r="C27" s="653" t="s">
        <v>114</v>
      </c>
      <c r="D27" s="653"/>
      <c r="E27" s="42">
        <v>54.09</v>
      </c>
      <c r="F27" s="318">
        <v>2518</v>
      </c>
      <c r="G27" s="308">
        <f t="shared" si="19"/>
        <v>136198.62</v>
      </c>
      <c r="H27" s="37" t="s">
        <v>91</v>
      </c>
      <c r="I27" s="316">
        <v>18</v>
      </c>
      <c r="J27" s="39">
        <v>2000</v>
      </c>
      <c r="K27" s="17">
        <f t="shared" si="1"/>
        <v>111.11111111111111</v>
      </c>
      <c r="L27" s="316">
        <v>18</v>
      </c>
      <c r="M27" s="18">
        <f t="shared" si="20"/>
        <v>1912.405063291138</v>
      </c>
      <c r="N27" s="17">
        <f t="shared" si="3"/>
        <v>106.24472573839655</v>
      </c>
      <c r="O27" s="19">
        <f t="shared" si="4"/>
        <v>0</v>
      </c>
      <c r="P27" s="20">
        <f t="shared" si="5"/>
        <v>-4.8663853727145607</v>
      </c>
      <c r="Q27" s="307">
        <f t="shared" si="6"/>
        <v>0.95620253164556901</v>
      </c>
      <c r="R27" s="637"/>
      <c r="S27" s="40">
        <v>0.76527777777777783</v>
      </c>
      <c r="T27" s="40">
        <v>0.82013888888888897</v>
      </c>
      <c r="U27" s="308">
        <f t="shared" si="22"/>
        <v>4.9999999999999822</v>
      </c>
      <c r="V27" s="317">
        <f t="shared" si="21"/>
        <v>79.000000000000043</v>
      </c>
      <c r="W27" s="23">
        <f>T27</f>
        <v>0.82013888888888897</v>
      </c>
      <c r="X27" s="23">
        <f>S28</f>
        <v>0.8618055555555556</v>
      </c>
      <c r="Y27" s="28"/>
      <c r="Z27" s="28"/>
      <c r="AA27" s="632"/>
      <c r="AB27" s="632"/>
      <c r="AC27" s="135"/>
      <c r="AD27" s="25"/>
      <c r="AE27" s="19">
        <f t="shared" si="8"/>
        <v>-87.594936708861951</v>
      </c>
      <c r="AF27" s="307">
        <f t="shared" si="9"/>
        <v>0.95620253164556901</v>
      </c>
      <c r="AG27" s="637"/>
    </row>
    <row r="28" spans="1:33" ht="15.75" customHeight="1">
      <c r="A28" s="656" t="s">
        <v>1559</v>
      </c>
      <c r="B28" s="42" t="s">
        <v>92</v>
      </c>
      <c r="C28" s="679" t="s">
        <v>140</v>
      </c>
      <c r="D28" s="680"/>
      <c r="E28" s="42">
        <v>51.06</v>
      </c>
      <c r="F28" s="318">
        <v>2204</v>
      </c>
      <c r="G28" s="308">
        <f t="shared" si="19"/>
        <v>112536.24</v>
      </c>
      <c r="H28" s="37" t="s">
        <v>91</v>
      </c>
      <c r="I28" s="316">
        <v>13</v>
      </c>
      <c r="J28" s="39">
        <v>2000</v>
      </c>
      <c r="K28" s="17">
        <f t="shared" si="1"/>
        <v>153.84615384615384</v>
      </c>
      <c r="L28" s="316">
        <v>13</v>
      </c>
      <c r="M28" s="18">
        <f t="shared" si="20"/>
        <v>1916.5217391304329</v>
      </c>
      <c r="N28" s="17">
        <f t="shared" si="3"/>
        <v>147.42474916387945</v>
      </c>
      <c r="O28" s="19">
        <f t="shared" si="4"/>
        <v>0</v>
      </c>
      <c r="P28" s="20">
        <f t="shared" si="5"/>
        <v>-6.4214046822743853</v>
      </c>
      <c r="Q28" s="307">
        <f t="shared" si="6"/>
        <v>0.9582608695652165</v>
      </c>
      <c r="R28" s="637"/>
      <c r="S28" s="40">
        <v>0.8618055555555556</v>
      </c>
      <c r="T28" s="40">
        <v>0.90972222222222232</v>
      </c>
      <c r="U28" s="308">
        <f t="shared" si="22"/>
        <v>59.999999999999943</v>
      </c>
      <c r="V28" s="317">
        <f t="shared" si="21"/>
        <v>69.000000000000071</v>
      </c>
      <c r="W28" s="23"/>
      <c r="X28" s="28"/>
      <c r="Y28" s="136"/>
      <c r="Z28" s="136"/>
      <c r="AA28" s="627"/>
      <c r="AB28" s="628"/>
      <c r="AC28" s="135"/>
      <c r="AD28" s="25"/>
      <c r="AE28" s="19">
        <f t="shared" si="8"/>
        <v>-83.478260869567066</v>
      </c>
      <c r="AF28" s="307">
        <f t="shared" si="9"/>
        <v>0.9582608695652165</v>
      </c>
      <c r="AG28" s="637"/>
    </row>
    <row r="29" spans="1:33" ht="15.75" customHeight="1">
      <c r="A29" s="656" t="s">
        <v>1559</v>
      </c>
      <c r="B29" s="42" t="s">
        <v>1556</v>
      </c>
      <c r="C29" s="638"/>
      <c r="D29" s="638"/>
      <c r="E29" s="309"/>
      <c r="F29" s="318"/>
      <c r="G29" s="308"/>
      <c r="H29" s="318"/>
      <c r="I29" s="29">
        <v>14.857142857142858</v>
      </c>
      <c r="J29" s="39">
        <v>2000</v>
      </c>
      <c r="K29" s="17">
        <f t="shared" si="1"/>
        <v>134.61538461538461</v>
      </c>
      <c r="L29" s="29">
        <v>14.857142857142858</v>
      </c>
      <c r="M29" s="18">
        <f>AVERAGE(M22:M28)</f>
        <v>1927.1574344064834</v>
      </c>
      <c r="N29" s="17">
        <f t="shared" si="3"/>
        <v>129.71251962351329</v>
      </c>
      <c r="O29" s="19">
        <f t="shared" si="4"/>
        <v>0</v>
      </c>
      <c r="P29" s="20">
        <f t="shared" si="5"/>
        <v>-4.9028649918713256</v>
      </c>
      <c r="Q29" s="307">
        <f t="shared" si="6"/>
        <v>0.96357871720324162</v>
      </c>
      <c r="R29" s="637"/>
      <c r="S29" s="40"/>
      <c r="T29" s="40"/>
      <c r="U29" s="17"/>
      <c r="V29" s="317"/>
      <c r="W29" s="17"/>
      <c r="X29" s="17"/>
      <c r="Y29" s="30">
        <f>SUM(Y22:Y28)</f>
        <v>0</v>
      </c>
      <c r="Z29" s="30">
        <f>SUM(Z22:Z28)</f>
        <v>0</v>
      </c>
      <c r="AA29" s="631"/>
      <c r="AB29" s="631"/>
      <c r="AC29" s="30">
        <v>7</v>
      </c>
      <c r="AD29" s="30">
        <f>SUM(AD22:AD28)</f>
        <v>0</v>
      </c>
      <c r="AE29" s="19">
        <f t="shared" si="8"/>
        <v>-72.842565593516611</v>
      </c>
      <c r="AF29" s="307">
        <f t="shared" si="9"/>
        <v>0.96357871720324173</v>
      </c>
      <c r="AG29" s="637"/>
    </row>
    <row r="30" spans="1:33" ht="15.75" customHeight="1">
      <c r="A30" s="654" t="s">
        <v>1560</v>
      </c>
      <c r="B30" s="42" t="s">
        <v>116</v>
      </c>
      <c r="C30" s="653" t="s">
        <v>117</v>
      </c>
      <c r="D30" s="653"/>
      <c r="E30" s="42">
        <v>31.29</v>
      </c>
      <c r="F30" s="318">
        <v>7806</v>
      </c>
      <c r="G30" s="308">
        <f t="shared" ref="G30:G33" si="23">E30*F30</f>
        <v>244249.74</v>
      </c>
      <c r="H30" s="37" t="s">
        <v>91</v>
      </c>
      <c r="I30" s="316">
        <v>18</v>
      </c>
      <c r="J30" s="39">
        <v>2400</v>
      </c>
      <c r="K30" s="17">
        <f t="shared" si="1"/>
        <v>133.33333333333334</v>
      </c>
      <c r="L30" s="316">
        <v>18</v>
      </c>
      <c r="M30" s="18">
        <f t="shared" ref="M30:M33" si="24">F30/V30*60</f>
        <v>2284.6829268292681</v>
      </c>
      <c r="N30" s="17">
        <f t="shared" si="3"/>
        <v>126.92682926829268</v>
      </c>
      <c r="O30" s="19">
        <f t="shared" si="4"/>
        <v>0</v>
      </c>
      <c r="P30" s="20">
        <f t="shared" si="5"/>
        <v>-6.4065040650406644</v>
      </c>
      <c r="Q30" s="307">
        <f t="shared" si="6"/>
        <v>0.95195121951219497</v>
      </c>
      <c r="R30" s="637">
        <f>Q34</f>
        <v>0.95466651943995007</v>
      </c>
      <c r="S30" s="40">
        <v>8.3333333333333329E-2</v>
      </c>
      <c r="T30" s="40">
        <v>0.22569444444444442</v>
      </c>
      <c r="U30" s="308"/>
      <c r="V30" s="317">
        <f t="shared" ref="V30:V33" si="25">(T30-S30)*24*60</f>
        <v>205</v>
      </c>
      <c r="W30" s="23">
        <f>T30</f>
        <v>0.22569444444444442</v>
      </c>
      <c r="X30" s="23">
        <f>S31</f>
        <v>0.24444444444444441</v>
      </c>
      <c r="Y30" s="23"/>
      <c r="Z30" s="23"/>
      <c r="AA30" s="632"/>
      <c r="AB30" s="632"/>
      <c r="AC30" s="135">
        <v>4</v>
      </c>
      <c r="AD30" s="25"/>
      <c r="AE30" s="19">
        <f t="shared" si="8"/>
        <v>-115.31707317073187</v>
      </c>
      <c r="AF30" s="307">
        <f t="shared" si="9"/>
        <v>0.95195121951219508</v>
      </c>
      <c r="AG30" s="637">
        <f>AF34</f>
        <v>0.95466651943995018</v>
      </c>
    </row>
    <row r="31" spans="1:33" ht="15.75" customHeight="1">
      <c r="A31" s="654" t="s">
        <v>1560</v>
      </c>
      <c r="B31" s="42" t="s">
        <v>116</v>
      </c>
      <c r="C31" s="653" t="s">
        <v>118</v>
      </c>
      <c r="D31" s="653"/>
      <c r="E31" s="42">
        <v>26.37</v>
      </c>
      <c r="F31" s="318">
        <v>5257</v>
      </c>
      <c r="G31" s="308">
        <f t="shared" si="23"/>
        <v>138627.09</v>
      </c>
      <c r="H31" s="37" t="s">
        <v>91</v>
      </c>
      <c r="I31" s="316">
        <v>18</v>
      </c>
      <c r="J31" s="39">
        <v>2400</v>
      </c>
      <c r="K31" s="17">
        <f t="shared" si="1"/>
        <v>133.33333333333334</v>
      </c>
      <c r="L31" s="316">
        <v>18</v>
      </c>
      <c r="M31" s="18">
        <f t="shared" si="24"/>
        <v>2285.6521739130435</v>
      </c>
      <c r="N31" s="17">
        <f t="shared" si="3"/>
        <v>126.98067632850241</v>
      </c>
      <c r="O31" s="19">
        <f t="shared" si="4"/>
        <v>0</v>
      </c>
      <c r="P31" s="20">
        <f t="shared" si="5"/>
        <v>-6.352657004830931</v>
      </c>
      <c r="Q31" s="307">
        <f t="shared" si="6"/>
        <v>0.95235507246376805</v>
      </c>
      <c r="R31" s="637"/>
      <c r="S31" s="40">
        <v>0.24444444444444441</v>
      </c>
      <c r="T31" s="40">
        <v>0.34027777777777773</v>
      </c>
      <c r="U31" s="308">
        <f t="shared" ref="U31:U33" si="26">(S31-T30)*24*60</f>
        <v>26.999999999999986</v>
      </c>
      <c r="V31" s="317">
        <f t="shared" si="25"/>
        <v>138</v>
      </c>
      <c r="W31" s="23"/>
      <c r="X31" s="23"/>
      <c r="Y31" s="23"/>
      <c r="Z31" s="23"/>
      <c r="AA31" s="632"/>
      <c r="AB31" s="632"/>
      <c r="AC31" s="135"/>
      <c r="AD31" s="25"/>
      <c r="AE31" s="19">
        <f t="shared" si="8"/>
        <v>-114.3478260869565</v>
      </c>
      <c r="AF31" s="307">
        <f t="shared" si="9"/>
        <v>0.95235507246376816</v>
      </c>
      <c r="AG31" s="637"/>
    </row>
    <row r="32" spans="1:33" ht="15.75" customHeight="1">
      <c r="A32" s="654" t="s">
        <v>1560</v>
      </c>
      <c r="B32" s="42" t="s">
        <v>116</v>
      </c>
      <c r="C32" s="653" t="s">
        <v>124</v>
      </c>
      <c r="D32" s="653"/>
      <c r="E32" s="42">
        <v>24.43</v>
      </c>
      <c r="F32" s="318">
        <v>6051</v>
      </c>
      <c r="G32" s="308">
        <f t="shared" si="23"/>
        <v>147825.93</v>
      </c>
      <c r="H32" s="37" t="s">
        <v>91</v>
      </c>
      <c r="I32" s="316">
        <v>14</v>
      </c>
      <c r="J32" s="39">
        <v>2400</v>
      </c>
      <c r="K32" s="17">
        <f t="shared" si="1"/>
        <v>171.42857142857142</v>
      </c>
      <c r="L32" s="316">
        <v>14</v>
      </c>
      <c r="M32" s="18">
        <f t="shared" si="24"/>
        <v>2297.8481012658226</v>
      </c>
      <c r="N32" s="17">
        <f t="shared" si="3"/>
        <v>164.13200723327304</v>
      </c>
      <c r="O32" s="19">
        <f t="shared" si="4"/>
        <v>0</v>
      </c>
      <c r="P32" s="20">
        <f t="shared" si="5"/>
        <v>-7.2965641952983731</v>
      </c>
      <c r="Q32" s="307">
        <f t="shared" si="6"/>
        <v>0.95743670886075949</v>
      </c>
      <c r="R32" s="637"/>
      <c r="S32" s="40">
        <v>0.34444444444444439</v>
      </c>
      <c r="T32" s="40">
        <v>0.45416666666666661</v>
      </c>
      <c r="U32" s="308">
        <f t="shared" si="26"/>
        <v>5.9999999999999787</v>
      </c>
      <c r="V32" s="317">
        <f t="shared" si="25"/>
        <v>158</v>
      </c>
      <c r="W32" s="23"/>
      <c r="X32" s="23"/>
      <c r="Y32" s="23"/>
      <c r="Z32" s="23"/>
      <c r="AA32" s="632"/>
      <c r="AB32" s="632"/>
      <c r="AC32" s="135"/>
      <c r="AD32" s="25"/>
      <c r="AE32" s="19">
        <f t="shared" si="8"/>
        <v>-102.15189873417739</v>
      </c>
      <c r="AF32" s="307">
        <f t="shared" si="9"/>
        <v>0.95743670886075938</v>
      </c>
      <c r="AG32" s="637"/>
    </row>
    <row r="33" spans="1:33" ht="15.75" customHeight="1">
      <c r="A33" s="654" t="s">
        <v>1560</v>
      </c>
      <c r="B33" s="42" t="s">
        <v>116</v>
      </c>
      <c r="C33" s="653" t="s">
        <v>125</v>
      </c>
      <c r="D33" s="653"/>
      <c r="E33" s="42">
        <v>25.98</v>
      </c>
      <c r="F33" s="318">
        <v>2488</v>
      </c>
      <c r="G33" s="308">
        <f t="shared" si="23"/>
        <v>64638.239999999998</v>
      </c>
      <c r="H33" s="37" t="s">
        <v>91</v>
      </c>
      <c r="I33" s="316">
        <v>20</v>
      </c>
      <c r="J33" s="39">
        <v>2400</v>
      </c>
      <c r="K33" s="17">
        <f t="shared" si="1"/>
        <v>120</v>
      </c>
      <c r="L33" s="316">
        <v>20</v>
      </c>
      <c r="M33" s="18">
        <f t="shared" si="24"/>
        <v>2296.615384615387</v>
      </c>
      <c r="N33" s="17">
        <f t="shared" si="3"/>
        <v>114.83076923076935</v>
      </c>
      <c r="O33" s="19">
        <f t="shared" si="4"/>
        <v>0</v>
      </c>
      <c r="P33" s="20">
        <f t="shared" si="5"/>
        <v>-5.1692307692306514</v>
      </c>
      <c r="Q33" s="307">
        <f t="shared" si="6"/>
        <v>0.95692307692307788</v>
      </c>
      <c r="R33" s="637"/>
      <c r="S33" s="40">
        <v>0.4590277777777777</v>
      </c>
      <c r="T33" s="40">
        <v>0.50416666666666654</v>
      </c>
      <c r="U33" s="308">
        <f t="shared" si="26"/>
        <v>6.9999999999999751</v>
      </c>
      <c r="V33" s="317">
        <f t="shared" si="25"/>
        <v>64.999999999999929</v>
      </c>
      <c r="W33" s="23"/>
      <c r="X33" s="23"/>
      <c r="Y33" s="23"/>
      <c r="Z33" s="23"/>
      <c r="AA33" s="632"/>
      <c r="AB33" s="632"/>
      <c r="AC33" s="135"/>
      <c r="AD33" s="25"/>
      <c r="AE33" s="19">
        <f t="shared" si="8"/>
        <v>-103.38461538461297</v>
      </c>
      <c r="AF33" s="307">
        <f t="shared" si="9"/>
        <v>0.95692307692307788</v>
      </c>
      <c r="AG33" s="637"/>
    </row>
    <row r="34" spans="1:33" ht="15.75" customHeight="1">
      <c r="A34" s="654" t="s">
        <v>1560</v>
      </c>
      <c r="B34" s="42" t="s">
        <v>1556</v>
      </c>
      <c r="C34" s="638"/>
      <c r="D34" s="638"/>
      <c r="E34" s="309"/>
      <c r="F34" s="318"/>
      <c r="G34" s="308"/>
      <c r="H34" s="318"/>
      <c r="I34" s="29">
        <v>17.5</v>
      </c>
      <c r="J34" s="39">
        <v>2400</v>
      </c>
      <c r="K34" s="17">
        <f t="shared" si="1"/>
        <v>137.14285714285714</v>
      </c>
      <c r="L34" s="29">
        <v>17.5</v>
      </c>
      <c r="M34" s="18">
        <f>AVERAGE(M30:M33)</f>
        <v>2291.1996466558803</v>
      </c>
      <c r="N34" s="17">
        <f t="shared" si="3"/>
        <v>130.92569409462172</v>
      </c>
      <c r="O34" s="19">
        <f t="shared" si="4"/>
        <v>0</v>
      </c>
      <c r="P34" s="20">
        <f t="shared" si="5"/>
        <v>-6.2171630482354203</v>
      </c>
      <c r="Q34" s="307">
        <f t="shared" si="6"/>
        <v>0.95466651943995007</v>
      </c>
      <c r="R34" s="637"/>
      <c r="S34" s="40"/>
      <c r="T34" s="40"/>
      <c r="U34" s="308"/>
      <c r="V34" s="317"/>
      <c r="W34" s="308"/>
      <c r="X34" s="308"/>
      <c r="Y34" s="30">
        <f>SUM(Y30:Y33)</f>
        <v>0</v>
      </c>
      <c r="Z34" s="30">
        <f>SUM(Z30:Z33)</f>
        <v>0</v>
      </c>
      <c r="AA34" s="631"/>
      <c r="AB34" s="631"/>
      <c r="AC34" s="30">
        <v>4</v>
      </c>
      <c r="AD34" s="30">
        <f>SUM(AD30:AD33)</f>
        <v>0</v>
      </c>
      <c r="AE34" s="19">
        <f t="shared" si="8"/>
        <v>-108.80035334411969</v>
      </c>
      <c r="AF34" s="307">
        <f t="shared" si="9"/>
        <v>0.95466651943995018</v>
      </c>
      <c r="AG34" s="637"/>
    </row>
    <row r="35" spans="1:33" ht="15.75" customHeight="1">
      <c r="A35" s="651" t="s">
        <v>1561</v>
      </c>
      <c r="B35" s="42" t="s">
        <v>116</v>
      </c>
      <c r="C35" s="633" t="s">
        <v>123</v>
      </c>
      <c r="D35" s="633"/>
      <c r="E35" s="42">
        <v>26.18</v>
      </c>
      <c r="F35" s="318">
        <v>5009</v>
      </c>
      <c r="G35" s="308">
        <f t="shared" ref="G35:G40" si="27">E35*F35</f>
        <v>131135.62</v>
      </c>
      <c r="H35" s="37" t="s">
        <v>91</v>
      </c>
      <c r="I35" s="316">
        <v>20</v>
      </c>
      <c r="J35" s="39">
        <v>2400</v>
      </c>
      <c r="K35" s="17">
        <f t="shared" si="1"/>
        <v>120</v>
      </c>
      <c r="L35" s="316">
        <v>20</v>
      </c>
      <c r="M35" s="18">
        <f t="shared" ref="M35:M40" si="28">F35/V35*60</f>
        <v>2294.1984732824426</v>
      </c>
      <c r="N35" s="17">
        <f t="shared" si="3"/>
        <v>114.70992366412213</v>
      </c>
      <c r="O35" s="19">
        <f t="shared" si="4"/>
        <v>0</v>
      </c>
      <c r="P35" s="20">
        <f t="shared" si="5"/>
        <v>-5.2900763358778704</v>
      </c>
      <c r="Q35" s="307">
        <f t="shared" si="6"/>
        <v>0.95591603053435104</v>
      </c>
      <c r="R35" s="637">
        <f>Q41</f>
        <v>0.95470009311872817</v>
      </c>
      <c r="S35" s="40">
        <v>8.3333333333333329E-2</v>
      </c>
      <c r="T35" s="40">
        <v>0.17430555555555555</v>
      </c>
      <c r="U35" s="308"/>
      <c r="V35" s="317">
        <f t="shared" ref="V35:V40" si="29">(T35-S35)*24*60</f>
        <v>131</v>
      </c>
      <c r="W35" s="28">
        <f>T35</f>
        <v>0.17430555555555555</v>
      </c>
      <c r="X35" s="28">
        <f>S36</f>
        <v>0.19305555555555556</v>
      </c>
      <c r="Y35" s="28"/>
      <c r="Z35" s="28"/>
      <c r="AA35" s="632"/>
      <c r="AB35" s="632"/>
      <c r="AC35" s="135">
        <v>6</v>
      </c>
      <c r="AD35" s="25"/>
      <c r="AE35" s="19">
        <f t="shared" si="8"/>
        <v>-105.80152671755741</v>
      </c>
      <c r="AF35" s="307">
        <f t="shared" si="9"/>
        <v>0.95591603053435104</v>
      </c>
      <c r="AG35" s="637">
        <f>AF41</f>
        <v>0.95470009311872817</v>
      </c>
    </row>
    <row r="36" spans="1:33" ht="15.75" customHeight="1">
      <c r="A36" s="651" t="s">
        <v>1561</v>
      </c>
      <c r="B36" s="42" t="s">
        <v>116</v>
      </c>
      <c r="C36" s="633" t="s">
        <v>147</v>
      </c>
      <c r="D36" s="633"/>
      <c r="E36" s="42">
        <v>25.98</v>
      </c>
      <c r="F36" s="318">
        <v>1914</v>
      </c>
      <c r="G36" s="308">
        <f t="shared" si="27"/>
        <v>49725.72</v>
      </c>
      <c r="H36" s="37" t="s">
        <v>91</v>
      </c>
      <c r="I36" s="316">
        <v>17</v>
      </c>
      <c r="J36" s="39">
        <v>2400</v>
      </c>
      <c r="K36" s="17">
        <f t="shared" si="1"/>
        <v>141.1764705882353</v>
      </c>
      <c r="L36" s="316">
        <v>17</v>
      </c>
      <c r="M36" s="18">
        <f t="shared" si="28"/>
        <v>2296.7999999999993</v>
      </c>
      <c r="N36" s="17">
        <f t="shared" si="3"/>
        <v>135.10588235294114</v>
      </c>
      <c r="O36" s="19">
        <f t="shared" si="4"/>
        <v>0</v>
      </c>
      <c r="P36" s="20">
        <f t="shared" si="5"/>
        <v>-6.0705882352941671</v>
      </c>
      <c r="Q36" s="307">
        <f t="shared" si="6"/>
        <v>0.95699999999999963</v>
      </c>
      <c r="R36" s="637"/>
      <c r="S36" s="40">
        <v>0.19305555555555556</v>
      </c>
      <c r="T36" s="40">
        <v>0.2277777777777778</v>
      </c>
      <c r="U36" s="308">
        <f t="shared" ref="U36:U40" si="30">(S36-T35)*24*60</f>
        <v>27.000000000000025</v>
      </c>
      <c r="V36" s="317">
        <f t="shared" si="29"/>
        <v>50.000000000000021</v>
      </c>
      <c r="W36" s="308"/>
      <c r="X36" s="308"/>
      <c r="Y36" s="308"/>
      <c r="Z36" s="308"/>
      <c r="AA36" s="632"/>
      <c r="AB36" s="632"/>
      <c r="AC36" s="135"/>
      <c r="AD36" s="25"/>
      <c r="AE36" s="19">
        <f t="shared" si="8"/>
        <v>-103.20000000000073</v>
      </c>
      <c r="AF36" s="307">
        <f t="shared" si="9"/>
        <v>0.95699999999999974</v>
      </c>
      <c r="AG36" s="637"/>
    </row>
    <row r="37" spans="1:33">
      <c r="A37" s="652" t="s">
        <v>1561</v>
      </c>
      <c r="B37" s="42" t="s">
        <v>116</v>
      </c>
      <c r="C37" s="633" t="s">
        <v>119</v>
      </c>
      <c r="D37" s="633"/>
      <c r="E37" s="42">
        <v>26.18</v>
      </c>
      <c r="F37" s="318">
        <v>3900</v>
      </c>
      <c r="G37" s="308">
        <f t="shared" si="27"/>
        <v>102102</v>
      </c>
      <c r="H37" s="37">
        <v>2</v>
      </c>
      <c r="I37" s="316">
        <v>18</v>
      </c>
      <c r="J37" s="39">
        <v>2400</v>
      </c>
      <c r="K37" s="17">
        <f t="shared" si="1"/>
        <v>133.33333333333334</v>
      </c>
      <c r="L37" s="316">
        <v>18</v>
      </c>
      <c r="M37" s="18">
        <f t="shared" si="28"/>
        <v>2294.1176470588234</v>
      </c>
      <c r="N37" s="17">
        <f t="shared" si="3"/>
        <v>127.45098039215685</v>
      </c>
      <c r="O37" s="19">
        <f t="shared" si="4"/>
        <v>0</v>
      </c>
      <c r="P37" s="20">
        <f t="shared" si="5"/>
        <v>-5.8823529411764923</v>
      </c>
      <c r="Q37" s="307">
        <f t="shared" si="6"/>
        <v>0.95588235294117629</v>
      </c>
      <c r="R37" s="637"/>
      <c r="S37" s="40">
        <v>0.23333333333333336</v>
      </c>
      <c r="T37" s="40">
        <v>0.3041666666666667</v>
      </c>
      <c r="U37" s="308">
        <f t="shared" si="30"/>
        <v>8.0000000000000107</v>
      </c>
      <c r="V37" s="317">
        <f t="shared" si="29"/>
        <v>102</v>
      </c>
      <c r="W37" s="308"/>
      <c r="X37" s="308"/>
      <c r="Y37" s="308"/>
      <c r="Z37" s="308"/>
      <c r="AA37" s="632"/>
      <c r="AB37" s="632"/>
      <c r="AC37" s="135"/>
      <c r="AD37" s="25"/>
      <c r="AE37" s="19">
        <f t="shared" si="8"/>
        <v>-105.88235294117658</v>
      </c>
      <c r="AF37" s="307">
        <f t="shared" si="9"/>
        <v>0.95588235294117641</v>
      </c>
      <c r="AG37" s="637"/>
    </row>
    <row r="38" spans="1:33">
      <c r="A38" s="652" t="s">
        <v>311</v>
      </c>
      <c r="B38" s="42" t="s">
        <v>116</v>
      </c>
      <c r="C38" s="633" t="s">
        <v>121</v>
      </c>
      <c r="D38" s="633"/>
      <c r="E38" s="42">
        <v>25.99</v>
      </c>
      <c r="F38" s="318">
        <v>3125</v>
      </c>
      <c r="G38" s="308">
        <f t="shared" si="27"/>
        <v>81218.75</v>
      </c>
      <c r="H38" s="37" t="s">
        <v>91</v>
      </c>
      <c r="I38" s="316">
        <v>14</v>
      </c>
      <c r="J38" s="39">
        <v>2400</v>
      </c>
      <c r="K38" s="17">
        <f t="shared" si="1"/>
        <v>171.42857142857142</v>
      </c>
      <c r="L38" s="316">
        <v>14</v>
      </c>
      <c r="M38" s="18">
        <f t="shared" si="28"/>
        <v>2286.5853658536575</v>
      </c>
      <c r="N38" s="17">
        <f t="shared" si="3"/>
        <v>163.3275261324041</v>
      </c>
      <c r="O38" s="19">
        <f t="shared" si="4"/>
        <v>0</v>
      </c>
      <c r="P38" s="20">
        <f t="shared" si="5"/>
        <v>-8.1010452961673138</v>
      </c>
      <c r="Q38" s="307">
        <f t="shared" si="6"/>
        <v>0.95274390243902396</v>
      </c>
      <c r="R38" s="637"/>
      <c r="S38" s="40">
        <v>0.30902777777777779</v>
      </c>
      <c r="T38" s="40">
        <v>0.36597222222222225</v>
      </c>
      <c r="U38" s="308">
        <f t="shared" si="30"/>
        <v>6.9999999999999751</v>
      </c>
      <c r="V38" s="317">
        <f t="shared" si="29"/>
        <v>82.000000000000028</v>
      </c>
      <c r="W38" s="23"/>
      <c r="X38" s="23"/>
      <c r="Y38" s="23"/>
      <c r="Z38" s="23"/>
      <c r="AA38" s="632"/>
      <c r="AB38" s="632"/>
      <c r="AC38" s="135"/>
      <c r="AD38" s="25"/>
      <c r="AE38" s="19">
        <f t="shared" si="8"/>
        <v>-113.41463414634245</v>
      </c>
      <c r="AF38" s="307">
        <f t="shared" si="9"/>
        <v>0.95274390243902396</v>
      </c>
      <c r="AG38" s="637"/>
    </row>
    <row r="39" spans="1:33">
      <c r="A39" s="652" t="s">
        <v>1561</v>
      </c>
      <c r="B39" s="42" t="s">
        <v>116</v>
      </c>
      <c r="C39" s="633" t="s">
        <v>126</v>
      </c>
      <c r="D39" s="633"/>
      <c r="E39" s="42">
        <v>34.1</v>
      </c>
      <c r="F39" s="318">
        <v>5352</v>
      </c>
      <c r="G39" s="308">
        <f t="shared" si="27"/>
        <v>182503.2</v>
      </c>
      <c r="H39" s="37" t="s">
        <v>91</v>
      </c>
      <c r="I39" s="316">
        <v>17</v>
      </c>
      <c r="J39" s="39">
        <v>1600</v>
      </c>
      <c r="K39" s="17">
        <f t="shared" si="1"/>
        <v>94.117647058823536</v>
      </c>
      <c r="L39" s="316">
        <v>17</v>
      </c>
      <c r="M39" s="18">
        <f t="shared" si="28"/>
        <v>1529.1428571428569</v>
      </c>
      <c r="N39" s="17">
        <f t="shared" si="3"/>
        <v>89.949579831932752</v>
      </c>
      <c r="O39" s="19">
        <f t="shared" si="4"/>
        <v>0</v>
      </c>
      <c r="P39" s="20">
        <f t="shared" si="5"/>
        <v>-4.1680672268907841</v>
      </c>
      <c r="Q39" s="307">
        <f t="shared" si="6"/>
        <v>0.95571428571428541</v>
      </c>
      <c r="R39" s="637"/>
      <c r="S39" s="40">
        <v>0.37083333333333335</v>
      </c>
      <c r="T39" s="40">
        <v>0.51666666666666672</v>
      </c>
      <c r="U39" s="308">
        <f t="shared" si="30"/>
        <v>6.9999999999999751</v>
      </c>
      <c r="V39" s="317">
        <f t="shared" si="29"/>
        <v>210.00000000000006</v>
      </c>
      <c r="W39" s="23">
        <f>T39</f>
        <v>0.51666666666666672</v>
      </c>
      <c r="X39" s="23">
        <f>S40</f>
        <v>0.55694444444444446</v>
      </c>
      <c r="Y39" s="23"/>
      <c r="Z39" s="23"/>
      <c r="AA39" s="632"/>
      <c r="AB39" s="632"/>
      <c r="AC39" s="135"/>
      <c r="AD39" s="25"/>
      <c r="AE39" s="19">
        <f t="shared" si="8"/>
        <v>-70.857142857143117</v>
      </c>
      <c r="AF39" s="307">
        <f t="shared" si="9"/>
        <v>0.95571428571428552</v>
      </c>
      <c r="AG39" s="637"/>
    </row>
    <row r="40" spans="1:33">
      <c r="A40" s="652" t="s">
        <v>1561</v>
      </c>
      <c r="B40" s="42" t="s">
        <v>116</v>
      </c>
      <c r="C40" s="633" t="s">
        <v>119</v>
      </c>
      <c r="D40" s="633"/>
      <c r="E40" s="42">
        <v>26.18</v>
      </c>
      <c r="F40" s="318">
        <v>2968</v>
      </c>
      <c r="G40" s="308">
        <f t="shared" si="27"/>
        <v>77702.240000000005</v>
      </c>
      <c r="H40" s="37" t="s">
        <v>91</v>
      </c>
      <c r="I40" s="316">
        <v>18</v>
      </c>
      <c r="J40" s="39">
        <v>2400</v>
      </c>
      <c r="K40" s="17">
        <f t="shared" si="1"/>
        <v>133.33333333333334</v>
      </c>
      <c r="L40" s="316">
        <v>18</v>
      </c>
      <c r="M40" s="18">
        <f t="shared" si="28"/>
        <v>2283.076923076922</v>
      </c>
      <c r="N40" s="17">
        <f t="shared" si="3"/>
        <v>126.83760683760677</v>
      </c>
      <c r="O40" s="19">
        <f t="shared" si="4"/>
        <v>0</v>
      </c>
      <c r="P40" s="20">
        <f t="shared" si="5"/>
        <v>-6.4957264957265721</v>
      </c>
      <c r="Q40" s="307">
        <f t="shared" si="6"/>
        <v>0.95128205128205068</v>
      </c>
      <c r="R40" s="637"/>
      <c r="S40" s="40">
        <v>0.55694444444444446</v>
      </c>
      <c r="T40" s="40">
        <v>0.61111111111111116</v>
      </c>
      <c r="U40" s="308">
        <f t="shared" si="30"/>
        <v>57.999999999999957</v>
      </c>
      <c r="V40" s="317">
        <f t="shared" si="29"/>
        <v>78.000000000000043</v>
      </c>
      <c r="W40" s="23"/>
      <c r="X40" s="23"/>
      <c r="Y40" s="23"/>
      <c r="Z40" s="23"/>
      <c r="AA40" s="632"/>
      <c r="AB40" s="632"/>
      <c r="AC40" s="135"/>
      <c r="AD40" s="25"/>
      <c r="AE40" s="19">
        <f t="shared" si="8"/>
        <v>-116.92307692307804</v>
      </c>
      <c r="AF40" s="307">
        <f t="shared" si="9"/>
        <v>0.95128205128205079</v>
      </c>
      <c r="AG40" s="637"/>
    </row>
    <row r="41" spans="1:33">
      <c r="A41" s="652" t="s">
        <v>1561</v>
      </c>
      <c r="B41" s="44" t="s">
        <v>305</v>
      </c>
      <c r="C41" s="638"/>
      <c r="D41" s="638"/>
      <c r="E41" s="309"/>
      <c r="F41" s="44"/>
      <c r="G41" s="17"/>
      <c r="H41" s="318"/>
      <c r="I41" s="29">
        <v>17.333333333333332</v>
      </c>
      <c r="J41" s="39">
        <v>2266.6666666666665</v>
      </c>
      <c r="K41" s="17">
        <f t="shared" si="1"/>
        <v>130.76923076923077</v>
      </c>
      <c r="L41" s="29">
        <v>17.333333333333332</v>
      </c>
      <c r="M41" s="18">
        <f>AVERAGE(M35:M40)</f>
        <v>2163.9868777357838</v>
      </c>
      <c r="N41" s="17">
        <f t="shared" si="3"/>
        <v>124.84539679244907</v>
      </c>
      <c r="O41" s="19">
        <f t="shared" si="4"/>
        <v>0</v>
      </c>
      <c r="P41" s="20">
        <f t="shared" si="5"/>
        <v>-5.9238339767817081</v>
      </c>
      <c r="Q41" s="307">
        <f t="shared" si="6"/>
        <v>0.95470009311872817</v>
      </c>
      <c r="R41" s="637"/>
      <c r="S41" s="40"/>
      <c r="T41" s="40"/>
      <c r="U41" s="17"/>
      <c r="V41" s="317"/>
      <c r="W41" s="17"/>
      <c r="X41" s="17"/>
      <c r="Y41" s="30">
        <f>SUM(Y35:Y40)</f>
        <v>0</v>
      </c>
      <c r="Z41" s="30">
        <f>SUM(Z35:Z40)</f>
        <v>0</v>
      </c>
      <c r="AA41" s="631"/>
      <c r="AB41" s="631"/>
      <c r="AC41" s="30">
        <v>6</v>
      </c>
      <c r="AD41" s="30">
        <f>SUM(AD35:AD40)</f>
        <v>0</v>
      </c>
      <c r="AE41" s="19">
        <f t="shared" si="8"/>
        <v>-102.67978893088275</v>
      </c>
      <c r="AF41" s="307">
        <f t="shared" si="9"/>
        <v>0.95470009311872817</v>
      </c>
      <c r="AG41" s="637"/>
    </row>
    <row r="42" spans="1:33" ht="15.75" customHeight="1">
      <c r="A42" s="648" t="s">
        <v>1562</v>
      </c>
      <c r="B42" s="42" t="s">
        <v>127</v>
      </c>
      <c r="C42" s="625" t="s">
        <v>128</v>
      </c>
      <c r="D42" s="626"/>
      <c r="E42" s="42">
        <v>21.13</v>
      </c>
      <c r="F42" s="318">
        <v>5092</v>
      </c>
      <c r="G42" s="308">
        <f t="shared" ref="G42:G45" si="31">E42*F42</f>
        <v>107593.95999999999</v>
      </c>
      <c r="H42" s="37" t="s">
        <v>91</v>
      </c>
      <c r="I42" s="316">
        <v>10</v>
      </c>
      <c r="J42" s="39">
        <v>3000</v>
      </c>
      <c r="K42" s="17">
        <f t="shared" si="1"/>
        <v>300</v>
      </c>
      <c r="L42" s="316">
        <v>10</v>
      </c>
      <c r="M42" s="18">
        <f t="shared" ref="M42:M45" si="32">F42/V42*60</f>
        <v>2855.3271028037389</v>
      </c>
      <c r="N42" s="18">
        <f t="shared" si="3"/>
        <v>285.53271028037386</v>
      </c>
      <c r="O42" s="19">
        <f t="shared" si="4"/>
        <v>0</v>
      </c>
      <c r="P42" s="20">
        <f t="shared" si="5"/>
        <v>-14.467289719626137</v>
      </c>
      <c r="Q42" s="307">
        <f t="shared" si="6"/>
        <v>0.95177570093457953</v>
      </c>
      <c r="R42" s="643">
        <f>Q46</f>
        <v>0.96290491150081181</v>
      </c>
      <c r="S42" s="40">
        <v>0.20833333333333334</v>
      </c>
      <c r="T42" s="40">
        <v>0.28263888888888888</v>
      </c>
      <c r="U42" s="28"/>
      <c r="V42" s="317">
        <f t="shared" ref="V42:V45" si="33">(T42-S42)*24*60</f>
        <v>106.99999999999999</v>
      </c>
      <c r="W42" s="23"/>
      <c r="X42" s="23"/>
      <c r="Y42" s="26"/>
      <c r="Z42" s="26"/>
      <c r="AA42" s="627"/>
      <c r="AB42" s="628"/>
      <c r="AC42" s="135">
        <v>4</v>
      </c>
      <c r="AD42" s="25"/>
      <c r="AE42" s="19">
        <f t="shared" si="8"/>
        <v>-144.67289719626115</v>
      </c>
      <c r="AF42" s="307">
        <f t="shared" si="9"/>
        <v>0.95177570093457964</v>
      </c>
      <c r="AG42" s="643">
        <f>AF46</f>
        <v>0.96290491150081181</v>
      </c>
    </row>
    <row r="43" spans="1:33" ht="15.75" customHeight="1">
      <c r="A43" s="649" t="s">
        <v>1562</v>
      </c>
      <c r="B43" s="42" t="s">
        <v>127</v>
      </c>
      <c r="C43" s="625" t="s">
        <v>129</v>
      </c>
      <c r="D43" s="626"/>
      <c r="E43" s="42">
        <v>27.17</v>
      </c>
      <c r="F43" s="318">
        <v>4254</v>
      </c>
      <c r="G43" s="308">
        <f t="shared" si="31"/>
        <v>115581.18000000001</v>
      </c>
      <c r="H43" s="37" t="s">
        <v>91</v>
      </c>
      <c r="I43" s="316">
        <v>10</v>
      </c>
      <c r="J43" s="39">
        <v>3000</v>
      </c>
      <c r="K43" s="17">
        <f t="shared" si="1"/>
        <v>300</v>
      </c>
      <c r="L43" s="316">
        <v>10</v>
      </c>
      <c r="M43" s="18">
        <f t="shared" si="32"/>
        <v>2867.8651685393256</v>
      </c>
      <c r="N43" s="18">
        <f t="shared" si="3"/>
        <v>286.78651685393254</v>
      </c>
      <c r="O43" s="19">
        <f t="shared" si="4"/>
        <v>0</v>
      </c>
      <c r="P43" s="20">
        <f t="shared" si="5"/>
        <v>-13.21348314606746</v>
      </c>
      <c r="Q43" s="307">
        <f t="shared" si="6"/>
        <v>0.95595505617977516</v>
      </c>
      <c r="R43" s="644"/>
      <c r="S43" s="40">
        <v>0.28819444444444442</v>
      </c>
      <c r="T43" s="40">
        <v>0.35</v>
      </c>
      <c r="U43" s="308">
        <f t="shared" ref="U43:U45" si="34">(S43-T42)*24*60</f>
        <v>7.9999999999999716</v>
      </c>
      <c r="V43" s="317">
        <f t="shared" si="33"/>
        <v>89</v>
      </c>
      <c r="W43" s="23"/>
      <c r="X43" s="23"/>
      <c r="Y43" s="26"/>
      <c r="Z43" s="26"/>
      <c r="AA43" s="627"/>
      <c r="AB43" s="628"/>
      <c r="AC43" s="135"/>
      <c r="AD43" s="25"/>
      <c r="AE43" s="19">
        <f t="shared" si="8"/>
        <v>-132.13483146067438</v>
      </c>
      <c r="AF43" s="307">
        <f t="shared" si="9"/>
        <v>0.95595505617977516</v>
      </c>
      <c r="AG43" s="644"/>
    </row>
    <row r="44" spans="1:33" ht="15.75" customHeight="1">
      <c r="A44" s="649" t="s">
        <v>1562</v>
      </c>
      <c r="B44" s="42" t="s">
        <v>127</v>
      </c>
      <c r="C44" s="625" t="s">
        <v>130</v>
      </c>
      <c r="D44" s="626"/>
      <c r="E44" s="42">
        <v>35.869999999999997</v>
      </c>
      <c r="F44" s="318">
        <v>1154</v>
      </c>
      <c r="G44" s="308">
        <f t="shared" si="31"/>
        <v>41393.979999999996</v>
      </c>
      <c r="H44" s="37" t="s">
        <v>91</v>
      </c>
      <c r="I44" s="316">
        <v>9</v>
      </c>
      <c r="J44" s="39">
        <v>3000</v>
      </c>
      <c r="K44" s="17">
        <f t="shared" si="1"/>
        <v>333.33333333333331</v>
      </c>
      <c r="L44" s="316">
        <v>9</v>
      </c>
      <c r="M44" s="18">
        <f t="shared" si="32"/>
        <v>2885.0000000000009</v>
      </c>
      <c r="N44" s="18">
        <f t="shared" si="3"/>
        <v>320.55555555555566</v>
      </c>
      <c r="O44" s="19">
        <f t="shared" si="4"/>
        <v>0</v>
      </c>
      <c r="P44" s="20">
        <f t="shared" si="5"/>
        <v>-12.777777777777658</v>
      </c>
      <c r="Q44" s="307">
        <f t="shared" si="6"/>
        <v>0.961666666666667</v>
      </c>
      <c r="R44" s="644"/>
      <c r="S44" s="40">
        <v>0.35486111111111107</v>
      </c>
      <c r="T44" s="40">
        <v>0.37152777777777773</v>
      </c>
      <c r="U44" s="308">
        <f t="shared" si="34"/>
        <v>6.9999999999999751</v>
      </c>
      <c r="V44" s="317">
        <f t="shared" si="33"/>
        <v>23.999999999999993</v>
      </c>
      <c r="W44" s="23"/>
      <c r="X44" s="23"/>
      <c r="Y44" s="26"/>
      <c r="Z44" s="26"/>
      <c r="AA44" s="627"/>
      <c r="AB44" s="628"/>
      <c r="AC44" s="135"/>
      <c r="AD44" s="25"/>
      <c r="AE44" s="19">
        <f t="shared" si="8"/>
        <v>-114.99999999999909</v>
      </c>
      <c r="AF44" s="307">
        <f t="shared" si="9"/>
        <v>0.961666666666667</v>
      </c>
      <c r="AG44" s="644"/>
    </row>
    <row r="45" spans="1:33" ht="15.75" customHeight="1">
      <c r="A45" s="649" t="s">
        <v>1562</v>
      </c>
      <c r="B45" s="42" t="s">
        <v>127</v>
      </c>
      <c r="C45" s="625" t="s">
        <v>131</v>
      </c>
      <c r="D45" s="626"/>
      <c r="E45" s="42">
        <v>34.35</v>
      </c>
      <c r="F45" s="318">
        <v>442</v>
      </c>
      <c r="G45" s="308">
        <f t="shared" si="31"/>
        <v>15182.7</v>
      </c>
      <c r="H45" s="37" t="s">
        <v>91</v>
      </c>
      <c r="I45" s="316">
        <v>8</v>
      </c>
      <c r="J45" s="39">
        <v>3000</v>
      </c>
      <c r="K45" s="17">
        <f t="shared" si="1"/>
        <v>375</v>
      </c>
      <c r="L45" s="316">
        <v>8</v>
      </c>
      <c r="M45" s="18">
        <f t="shared" si="32"/>
        <v>2946.666666666677</v>
      </c>
      <c r="N45" s="18">
        <f t="shared" si="3"/>
        <v>368.33333333333462</v>
      </c>
      <c r="O45" s="19">
        <f t="shared" si="4"/>
        <v>0</v>
      </c>
      <c r="P45" s="20">
        <f t="shared" si="5"/>
        <v>-6.6666666666653782</v>
      </c>
      <c r="Q45" s="307">
        <f t="shared" si="6"/>
        <v>0.98222222222222566</v>
      </c>
      <c r="R45" s="644"/>
      <c r="S45" s="40">
        <v>0.37569444444444439</v>
      </c>
      <c r="T45" s="40">
        <v>0.38194444444444436</v>
      </c>
      <c r="U45" s="308">
        <f t="shared" si="34"/>
        <v>5.9999999999999787</v>
      </c>
      <c r="V45" s="317">
        <f t="shared" si="33"/>
        <v>8.999999999999968</v>
      </c>
      <c r="W45" s="23"/>
      <c r="X45" s="23"/>
      <c r="Y45" s="26"/>
      <c r="Z45" s="26"/>
      <c r="AA45" s="627"/>
      <c r="AB45" s="628"/>
      <c r="AC45" s="135"/>
      <c r="AD45" s="25"/>
      <c r="AE45" s="19">
        <f t="shared" si="8"/>
        <v>-53.333333333323026</v>
      </c>
      <c r="AF45" s="307">
        <f t="shared" si="9"/>
        <v>0.98222222222222566</v>
      </c>
      <c r="AG45" s="644"/>
    </row>
    <row r="46" spans="1:33" ht="15.75" customHeight="1">
      <c r="A46" s="650" t="s">
        <v>1562</v>
      </c>
      <c r="B46" s="42" t="s">
        <v>1556</v>
      </c>
      <c r="C46" s="629"/>
      <c r="D46" s="630"/>
      <c r="E46" s="311"/>
      <c r="F46" s="318"/>
      <c r="G46" s="308"/>
      <c r="H46" s="318"/>
      <c r="I46" s="29">
        <v>9.25</v>
      </c>
      <c r="J46" s="39">
        <v>3000</v>
      </c>
      <c r="K46" s="17">
        <f t="shared" si="1"/>
        <v>324.32432432432432</v>
      </c>
      <c r="L46" s="29">
        <v>9.25</v>
      </c>
      <c r="M46" s="18">
        <f>AVERAGE(M42:M45)</f>
        <v>2888.7147345024355</v>
      </c>
      <c r="N46" s="17">
        <f t="shared" si="3"/>
        <v>312.29348481107411</v>
      </c>
      <c r="O46" s="19">
        <f t="shared" si="4"/>
        <v>0</v>
      </c>
      <c r="P46" s="20">
        <f t="shared" si="5"/>
        <v>-12.030839513250214</v>
      </c>
      <c r="Q46" s="307">
        <f t="shared" si="6"/>
        <v>0.96290491150081181</v>
      </c>
      <c r="R46" s="645"/>
      <c r="S46" s="40"/>
      <c r="T46" s="40"/>
      <c r="U46" s="308"/>
      <c r="V46" s="317"/>
      <c r="W46" s="23"/>
      <c r="X46" s="23"/>
      <c r="Y46" s="30">
        <f>SUM(Y42:Y45)</f>
        <v>0</v>
      </c>
      <c r="Z46" s="30">
        <f>SUM(Z42:Z45)</f>
        <v>0</v>
      </c>
      <c r="AA46" s="646"/>
      <c r="AB46" s="647"/>
      <c r="AC46" s="30">
        <v>4</v>
      </c>
      <c r="AD46" s="30">
        <f>SUM(AD42:AD45)</f>
        <v>0</v>
      </c>
      <c r="AE46" s="19">
        <f t="shared" si="8"/>
        <v>-111.28526549756452</v>
      </c>
      <c r="AF46" s="307">
        <f t="shared" si="9"/>
        <v>0.96290491150081181</v>
      </c>
      <c r="AG46" s="645"/>
    </row>
    <row r="47" spans="1:33" ht="15.75" customHeight="1">
      <c r="A47" s="641" t="s">
        <v>1563</v>
      </c>
      <c r="B47" s="42" t="s">
        <v>92</v>
      </c>
      <c r="C47" s="633" t="s">
        <v>133</v>
      </c>
      <c r="D47" s="633"/>
      <c r="E47" s="42">
        <v>59.04</v>
      </c>
      <c r="F47" s="48">
        <v>1037</v>
      </c>
      <c r="G47" s="308">
        <f t="shared" ref="G47:G53" si="35">E47*F47</f>
        <v>61224.479999999996</v>
      </c>
      <c r="H47" s="37" t="s">
        <v>91</v>
      </c>
      <c r="I47" s="316">
        <v>19</v>
      </c>
      <c r="J47" s="39">
        <v>2000</v>
      </c>
      <c r="K47" s="17">
        <f t="shared" si="1"/>
        <v>105.26315789473684</v>
      </c>
      <c r="L47" s="316">
        <v>19</v>
      </c>
      <c r="M47" s="18">
        <f t="shared" ref="M47" si="36">F47/V47*60</f>
        <v>1944.3749999999995</v>
      </c>
      <c r="N47" s="18">
        <f t="shared" si="3"/>
        <v>102.33552631578945</v>
      </c>
      <c r="O47" s="19">
        <f t="shared" si="4"/>
        <v>0</v>
      </c>
      <c r="P47" s="20">
        <f t="shared" si="5"/>
        <v>-2.9276315789473841</v>
      </c>
      <c r="Q47" s="307">
        <f t="shared" si="6"/>
        <v>0.97218749999999987</v>
      </c>
      <c r="R47" s="637">
        <f>Q54</f>
        <v>0.96246986025492098</v>
      </c>
      <c r="S47" s="40">
        <v>0.20833333333333334</v>
      </c>
      <c r="T47" s="40">
        <v>0.23055555555555557</v>
      </c>
      <c r="U47" s="28"/>
      <c r="V47" s="317">
        <f t="shared" ref="V47:V53" si="37">(T47-S47)*24*60</f>
        <v>32.000000000000007</v>
      </c>
      <c r="W47" s="23"/>
      <c r="X47" s="23"/>
      <c r="Y47" s="28"/>
      <c r="Z47" s="28"/>
      <c r="AA47" s="632"/>
      <c r="AB47" s="632"/>
      <c r="AC47" s="135">
        <v>7</v>
      </c>
      <c r="AD47" s="25"/>
      <c r="AE47" s="19">
        <f t="shared" si="8"/>
        <v>-55.625000000000455</v>
      </c>
      <c r="AF47" s="307">
        <f t="shared" si="9"/>
        <v>0.97218749999999976</v>
      </c>
      <c r="AG47" s="637">
        <f>AF54</f>
        <v>0.96246986025492098</v>
      </c>
    </row>
    <row r="48" spans="1:33" ht="15.75" customHeight="1">
      <c r="A48" s="641" t="s">
        <v>1563</v>
      </c>
      <c r="B48" s="42" t="s">
        <v>103</v>
      </c>
      <c r="C48" s="633" t="s">
        <v>132</v>
      </c>
      <c r="D48" s="633"/>
      <c r="E48" s="42">
        <v>51.44</v>
      </c>
      <c r="F48" s="48">
        <v>3918</v>
      </c>
      <c r="G48" s="308">
        <f t="shared" si="35"/>
        <v>201541.91999999998</v>
      </c>
      <c r="H48" s="37" t="s">
        <v>91</v>
      </c>
      <c r="I48" s="316">
        <v>18</v>
      </c>
      <c r="J48" s="39">
        <v>2000</v>
      </c>
      <c r="K48" s="17">
        <f t="shared" si="1"/>
        <v>111.11111111111111</v>
      </c>
      <c r="L48" s="316">
        <v>18</v>
      </c>
      <c r="M48" s="18">
        <f>F48/V48*60</f>
        <v>1911.2195121951222</v>
      </c>
      <c r="N48" s="18">
        <f t="shared" si="3"/>
        <v>106.17886178861789</v>
      </c>
      <c r="O48" s="19">
        <f t="shared" si="4"/>
        <v>0</v>
      </c>
      <c r="P48" s="20">
        <f t="shared" si="5"/>
        <v>-4.9322493224932202</v>
      </c>
      <c r="Q48" s="307">
        <f t="shared" si="6"/>
        <v>0.95560975609756105</v>
      </c>
      <c r="R48" s="637"/>
      <c r="S48" s="40">
        <v>0.23611111111111113</v>
      </c>
      <c r="T48" s="40">
        <v>0.3215277777777778</v>
      </c>
      <c r="U48" s="308">
        <f t="shared" ref="U48:U53" si="38">IF(S48=TIME(17,0,0),"",(S48-T47)*24*60)</f>
        <v>8.0000000000000107</v>
      </c>
      <c r="V48" s="317">
        <f t="shared" si="37"/>
        <v>122.99999999999999</v>
      </c>
      <c r="W48" s="23"/>
      <c r="X48" s="23"/>
      <c r="Y48" s="23"/>
      <c r="Z48" s="23"/>
      <c r="AA48" s="632"/>
      <c r="AB48" s="632"/>
      <c r="AC48" s="135"/>
      <c r="AD48" s="25"/>
      <c r="AE48" s="19">
        <f t="shared" si="8"/>
        <v>-88.780487804877794</v>
      </c>
      <c r="AF48" s="307">
        <f t="shared" si="9"/>
        <v>0.95560975609756116</v>
      </c>
      <c r="AG48" s="637"/>
    </row>
    <row r="49" spans="1:33" ht="15.75" customHeight="1">
      <c r="A49" s="641" t="s">
        <v>1563</v>
      </c>
      <c r="B49" s="42" t="s">
        <v>92</v>
      </c>
      <c r="C49" s="625" t="s">
        <v>135</v>
      </c>
      <c r="D49" s="626"/>
      <c r="E49" s="42">
        <v>51.44</v>
      </c>
      <c r="F49" s="48">
        <v>1326</v>
      </c>
      <c r="G49" s="308">
        <f t="shared" si="35"/>
        <v>68209.440000000002</v>
      </c>
      <c r="H49" s="37" t="s">
        <v>91</v>
      </c>
      <c r="I49" s="316">
        <v>25</v>
      </c>
      <c r="J49" s="39">
        <v>2000</v>
      </c>
      <c r="K49" s="17">
        <f t="shared" si="1"/>
        <v>80</v>
      </c>
      <c r="L49" s="316">
        <v>25</v>
      </c>
      <c r="M49" s="18">
        <f t="shared" ref="M49:M53" si="39">F49/V49*60</f>
        <v>1940.4878048780481</v>
      </c>
      <c r="N49" s="18">
        <f t="shared" si="3"/>
        <v>77.619512195121928</v>
      </c>
      <c r="O49" s="19">
        <f t="shared" si="4"/>
        <v>0</v>
      </c>
      <c r="P49" s="20">
        <f t="shared" si="5"/>
        <v>-2.3804878048780722</v>
      </c>
      <c r="Q49" s="307">
        <f t="shared" si="6"/>
        <v>0.97024390243902414</v>
      </c>
      <c r="R49" s="637"/>
      <c r="S49" s="40">
        <v>0.32569444444444445</v>
      </c>
      <c r="T49" s="40">
        <v>0.35416666666666669</v>
      </c>
      <c r="U49" s="308">
        <f t="shared" si="38"/>
        <v>5.9999999999999787</v>
      </c>
      <c r="V49" s="317">
        <f t="shared" si="37"/>
        <v>41.000000000000014</v>
      </c>
      <c r="W49" s="23"/>
      <c r="X49" s="23"/>
      <c r="Y49" s="26"/>
      <c r="Z49" s="26"/>
      <c r="AA49" s="632"/>
      <c r="AB49" s="632"/>
      <c r="AC49" s="135"/>
      <c r="AD49" s="25"/>
      <c r="AE49" s="19">
        <f t="shared" si="8"/>
        <v>-59.512195121951891</v>
      </c>
      <c r="AF49" s="307">
        <f t="shared" si="9"/>
        <v>0.97024390243902403</v>
      </c>
      <c r="AG49" s="637"/>
    </row>
    <row r="50" spans="1:33" ht="15.75" customHeight="1">
      <c r="A50" s="641" t="s">
        <v>1563</v>
      </c>
      <c r="B50" s="42" t="s">
        <v>96</v>
      </c>
      <c r="C50" s="312" t="s">
        <v>136</v>
      </c>
      <c r="D50" s="313"/>
      <c r="E50" s="42">
        <v>46</v>
      </c>
      <c r="F50" s="48">
        <v>1122</v>
      </c>
      <c r="G50" s="308">
        <f t="shared" si="35"/>
        <v>51612</v>
      </c>
      <c r="H50" s="37" t="s">
        <v>91</v>
      </c>
      <c r="I50" s="316">
        <v>16</v>
      </c>
      <c r="J50" s="39">
        <v>2000</v>
      </c>
      <c r="K50" s="17">
        <f t="shared" si="1"/>
        <v>125</v>
      </c>
      <c r="L50" s="316">
        <v>16</v>
      </c>
      <c r="M50" s="18">
        <f t="shared" si="39"/>
        <v>1923.4285714285693</v>
      </c>
      <c r="N50" s="18">
        <f t="shared" si="3"/>
        <v>120.21428571428558</v>
      </c>
      <c r="O50" s="19">
        <f t="shared" si="4"/>
        <v>0</v>
      </c>
      <c r="P50" s="20">
        <f t="shared" si="5"/>
        <v>-4.7857142857144197</v>
      </c>
      <c r="Q50" s="307">
        <f t="shared" si="6"/>
        <v>0.96171428571428463</v>
      </c>
      <c r="R50" s="637"/>
      <c r="S50" s="40">
        <v>0.3576388888888889</v>
      </c>
      <c r="T50" s="40">
        <v>0.38194444444444448</v>
      </c>
      <c r="U50" s="308">
        <f t="shared" si="38"/>
        <v>4.9999999999999822</v>
      </c>
      <c r="V50" s="317">
        <f t="shared" si="37"/>
        <v>35.000000000000036</v>
      </c>
      <c r="W50" s="23"/>
      <c r="X50" s="23"/>
      <c r="Y50" s="26"/>
      <c r="Z50" s="26"/>
      <c r="AA50" s="632"/>
      <c r="AB50" s="632"/>
      <c r="AC50" s="135"/>
      <c r="AD50" s="25"/>
      <c r="AE50" s="19">
        <f t="shared" si="8"/>
        <v>-76.571428571430715</v>
      </c>
      <c r="AF50" s="307">
        <f t="shared" si="9"/>
        <v>0.96171428571428463</v>
      </c>
      <c r="AG50" s="637"/>
    </row>
    <row r="51" spans="1:33" ht="15.75" customHeight="1">
      <c r="A51" s="641" t="s">
        <v>1563</v>
      </c>
      <c r="B51" s="42" t="s">
        <v>96</v>
      </c>
      <c r="C51" s="312" t="s">
        <v>137</v>
      </c>
      <c r="D51" s="313"/>
      <c r="E51" s="42">
        <v>46</v>
      </c>
      <c r="F51" s="48">
        <v>1356</v>
      </c>
      <c r="G51" s="308">
        <f t="shared" si="35"/>
        <v>62376</v>
      </c>
      <c r="H51" s="37" t="s">
        <v>91</v>
      </c>
      <c r="I51" s="316">
        <v>17</v>
      </c>
      <c r="J51" s="39">
        <v>2000</v>
      </c>
      <c r="K51" s="17">
        <f t="shared" si="1"/>
        <v>117.64705882352941</v>
      </c>
      <c r="L51" s="316">
        <v>17</v>
      </c>
      <c r="M51" s="18">
        <f t="shared" si="39"/>
        <v>1937.1428571428567</v>
      </c>
      <c r="N51" s="18">
        <f t="shared" si="3"/>
        <v>113.94957983193274</v>
      </c>
      <c r="O51" s="19">
        <f t="shared" si="4"/>
        <v>0</v>
      </c>
      <c r="P51" s="20">
        <f t="shared" si="5"/>
        <v>-3.6974789915966682</v>
      </c>
      <c r="Q51" s="307">
        <f t="shared" si="6"/>
        <v>0.96857142857142831</v>
      </c>
      <c r="R51" s="637"/>
      <c r="S51" s="40">
        <v>0.38680555555555557</v>
      </c>
      <c r="T51" s="40">
        <v>0.41597222222222224</v>
      </c>
      <c r="U51" s="308">
        <f t="shared" si="38"/>
        <v>6.9999999999999751</v>
      </c>
      <c r="V51" s="317">
        <f t="shared" si="37"/>
        <v>42.000000000000014</v>
      </c>
      <c r="W51" s="23"/>
      <c r="X51" s="23"/>
      <c r="Y51" s="26"/>
      <c r="Z51" s="26"/>
      <c r="AA51" s="632"/>
      <c r="AB51" s="632"/>
      <c r="AC51" s="135"/>
      <c r="AD51" s="25"/>
      <c r="AE51" s="19">
        <f t="shared" si="8"/>
        <v>-62.857142857143344</v>
      </c>
      <c r="AF51" s="307">
        <f t="shared" si="9"/>
        <v>0.96857142857142831</v>
      </c>
      <c r="AG51" s="637"/>
    </row>
    <row r="52" spans="1:33" ht="15.75" customHeight="1">
      <c r="A52" s="641" t="s">
        <v>1563</v>
      </c>
      <c r="B52" s="42" t="s">
        <v>92</v>
      </c>
      <c r="C52" s="625" t="s">
        <v>138</v>
      </c>
      <c r="D52" s="626"/>
      <c r="E52" s="42">
        <v>55.56</v>
      </c>
      <c r="F52" s="48">
        <v>2580</v>
      </c>
      <c r="G52" s="308">
        <f t="shared" si="35"/>
        <v>143344.80000000002</v>
      </c>
      <c r="H52" s="37" t="s">
        <v>91</v>
      </c>
      <c r="I52" s="316">
        <v>17</v>
      </c>
      <c r="J52" s="39">
        <v>2000</v>
      </c>
      <c r="K52" s="17">
        <f t="shared" si="1"/>
        <v>117.64705882352941</v>
      </c>
      <c r="L52" s="316">
        <v>17</v>
      </c>
      <c r="M52" s="18">
        <f t="shared" si="39"/>
        <v>1911.1111111111104</v>
      </c>
      <c r="N52" s="18">
        <f t="shared" si="3"/>
        <v>112.41830065359473</v>
      </c>
      <c r="O52" s="19">
        <f t="shared" si="4"/>
        <v>0</v>
      </c>
      <c r="P52" s="20">
        <f t="shared" si="5"/>
        <v>-5.2287581699346788</v>
      </c>
      <c r="Q52" s="307">
        <f t="shared" si="6"/>
        <v>0.95555555555555527</v>
      </c>
      <c r="R52" s="637"/>
      <c r="S52" s="40">
        <v>0.70833333333333337</v>
      </c>
      <c r="T52" s="40">
        <v>0.76458333333333339</v>
      </c>
      <c r="U52" s="308" t="str">
        <f t="shared" si="38"/>
        <v/>
      </c>
      <c r="V52" s="317">
        <f t="shared" si="37"/>
        <v>81.000000000000028</v>
      </c>
      <c r="W52" s="23"/>
      <c r="X52" s="23"/>
      <c r="Y52" s="26"/>
      <c r="Z52" s="26"/>
      <c r="AA52" s="627"/>
      <c r="AB52" s="628"/>
      <c r="AC52" s="135"/>
      <c r="AD52" s="25"/>
      <c r="AE52" s="19">
        <f t="shared" si="8"/>
        <v>-88.888888888889596</v>
      </c>
      <c r="AF52" s="307">
        <f t="shared" si="9"/>
        <v>0.95555555555555516</v>
      </c>
      <c r="AG52" s="637"/>
    </row>
    <row r="53" spans="1:33" ht="15.75" customHeight="1">
      <c r="A53" s="641" t="s">
        <v>1563</v>
      </c>
      <c r="B53" s="42" t="s">
        <v>92</v>
      </c>
      <c r="C53" s="625" t="s">
        <v>420</v>
      </c>
      <c r="D53" s="626"/>
      <c r="E53" s="42">
        <v>58.17</v>
      </c>
      <c r="F53" s="48">
        <v>2892</v>
      </c>
      <c r="G53" s="308">
        <f t="shared" si="35"/>
        <v>168227.64</v>
      </c>
      <c r="H53" s="37" t="s">
        <v>91</v>
      </c>
      <c r="I53" s="316">
        <v>13</v>
      </c>
      <c r="J53" s="39">
        <v>2000</v>
      </c>
      <c r="K53" s="17">
        <f t="shared" si="1"/>
        <v>153.84615384615384</v>
      </c>
      <c r="L53" s="316">
        <v>13</v>
      </c>
      <c r="M53" s="18">
        <f t="shared" si="39"/>
        <v>1906.8131868131868</v>
      </c>
      <c r="N53" s="18">
        <f t="shared" si="3"/>
        <v>146.6779374471682</v>
      </c>
      <c r="O53" s="19">
        <f t="shared" si="4"/>
        <v>0</v>
      </c>
      <c r="P53" s="20">
        <f t="shared" si="5"/>
        <v>-7.1682163989856349</v>
      </c>
      <c r="Q53" s="307">
        <f t="shared" si="6"/>
        <v>0.95340659340659339</v>
      </c>
      <c r="R53" s="637"/>
      <c r="S53" s="40">
        <v>0.76875000000000004</v>
      </c>
      <c r="T53" s="40">
        <v>0.83194444444444449</v>
      </c>
      <c r="U53" s="308">
        <f t="shared" si="38"/>
        <v>5.9999999999999787</v>
      </c>
      <c r="V53" s="317">
        <f t="shared" si="37"/>
        <v>91</v>
      </c>
      <c r="W53" s="23"/>
      <c r="X53" s="23"/>
      <c r="Y53" s="26"/>
      <c r="Z53" s="26"/>
      <c r="AA53" s="627"/>
      <c r="AB53" s="628"/>
      <c r="AC53" s="135"/>
      <c r="AD53" s="25"/>
      <c r="AE53" s="19">
        <f t="shared" si="8"/>
        <v>-93.186813186813197</v>
      </c>
      <c r="AF53" s="307">
        <f t="shared" si="9"/>
        <v>0.95340659340659339</v>
      </c>
      <c r="AG53" s="637"/>
    </row>
    <row r="54" spans="1:33">
      <c r="A54" s="642" t="s">
        <v>1563</v>
      </c>
      <c r="B54" s="42" t="s">
        <v>1556</v>
      </c>
      <c r="C54" s="638"/>
      <c r="D54" s="638"/>
      <c r="E54" s="309"/>
      <c r="F54" s="44"/>
      <c r="G54" s="17"/>
      <c r="H54" s="318"/>
      <c r="I54" s="29">
        <v>17.857142857142858</v>
      </c>
      <c r="J54" s="39">
        <v>2000</v>
      </c>
      <c r="K54" s="17">
        <f t="shared" si="1"/>
        <v>112</v>
      </c>
      <c r="L54" s="29">
        <v>17.857142857142858</v>
      </c>
      <c r="M54" s="18">
        <f>AVERAGE(M47:M53)</f>
        <v>1924.9397205098419</v>
      </c>
      <c r="N54" s="17">
        <f t="shared" si="3"/>
        <v>107.79662434855115</v>
      </c>
      <c r="O54" s="19">
        <f t="shared" si="4"/>
        <v>0</v>
      </c>
      <c r="P54" s="20">
        <f t="shared" si="5"/>
        <v>-4.2033756514488516</v>
      </c>
      <c r="Q54" s="307">
        <f t="shared" si="6"/>
        <v>0.96246986025492098</v>
      </c>
      <c r="R54" s="637"/>
      <c r="S54" s="40"/>
      <c r="T54" s="40"/>
      <c r="U54" s="308"/>
      <c r="V54" s="317"/>
      <c r="W54" s="17"/>
      <c r="X54" s="17"/>
      <c r="Y54" s="30">
        <f>SUM(Y47:Y53)</f>
        <v>0</v>
      </c>
      <c r="Z54" s="30">
        <f>SUM(Z47:Z53)</f>
        <v>0</v>
      </c>
      <c r="AA54" s="631"/>
      <c r="AB54" s="631"/>
      <c r="AC54" s="30">
        <v>7</v>
      </c>
      <c r="AD54" s="30">
        <f>SUM(AD47:AD53)</f>
        <v>0</v>
      </c>
      <c r="AE54" s="19">
        <f>M54-J54</f>
        <v>-75.060279490158109</v>
      </c>
      <c r="AF54" s="307">
        <f t="shared" si="9"/>
        <v>0.96246986025492098</v>
      </c>
      <c r="AG54" s="637"/>
    </row>
    <row r="55" spans="1:33" ht="15.75" customHeight="1">
      <c r="A55" s="639" t="s">
        <v>1564</v>
      </c>
      <c r="B55" s="318" t="s">
        <v>127</v>
      </c>
      <c r="C55" s="633" t="s">
        <v>141</v>
      </c>
      <c r="D55" s="633"/>
      <c r="E55" s="42">
        <v>35.119999999999997</v>
      </c>
      <c r="F55" s="48">
        <v>3651</v>
      </c>
      <c r="G55" s="308">
        <f t="shared" ref="G55:G58" si="40">E55*F55</f>
        <v>128223.12</v>
      </c>
      <c r="H55" s="37" t="s">
        <v>91</v>
      </c>
      <c r="I55" s="316">
        <v>10</v>
      </c>
      <c r="J55" s="39">
        <v>3000</v>
      </c>
      <c r="K55" s="17">
        <f t="shared" si="1"/>
        <v>300</v>
      </c>
      <c r="L55" s="316">
        <v>10</v>
      </c>
      <c r="M55" s="18">
        <f t="shared" ref="M55:M58" si="41">F55/V55*60</f>
        <v>2882.3684210526312</v>
      </c>
      <c r="N55" s="17">
        <f t="shared" si="3"/>
        <v>288.23684210526312</v>
      </c>
      <c r="O55" s="19">
        <f t="shared" si="4"/>
        <v>0</v>
      </c>
      <c r="P55" s="20">
        <f t="shared" si="5"/>
        <v>-11.763157894736878</v>
      </c>
      <c r="Q55" s="307">
        <f t="shared" si="6"/>
        <v>0.96078947368421042</v>
      </c>
      <c r="R55" s="637">
        <f>Q59</f>
        <v>0.97269278966647355</v>
      </c>
      <c r="S55" s="40">
        <v>0.20833333333333334</v>
      </c>
      <c r="T55" s="40">
        <v>0.26111111111111113</v>
      </c>
      <c r="U55" s="308"/>
      <c r="V55" s="317">
        <f t="shared" ref="V55:V58" si="42">(T55-S55)*24*60</f>
        <v>76.000000000000014</v>
      </c>
      <c r="W55" s="23"/>
      <c r="X55" s="23"/>
      <c r="Y55" s="28"/>
      <c r="Z55" s="28"/>
      <c r="AA55" s="632"/>
      <c r="AB55" s="632"/>
      <c r="AC55" s="135">
        <v>4</v>
      </c>
      <c r="AD55" s="25"/>
      <c r="AE55" s="19">
        <f t="shared" ref="AE55:AE66" si="43">M55-J55</f>
        <v>-117.63157894736878</v>
      </c>
      <c r="AF55" s="307">
        <f t="shared" si="9"/>
        <v>0.96078947368421042</v>
      </c>
      <c r="AG55" s="637">
        <f>AF59</f>
        <v>0.97269278966647355</v>
      </c>
    </row>
    <row r="56" spans="1:33" ht="15.75" customHeight="1">
      <c r="A56" s="639" t="s">
        <v>1564</v>
      </c>
      <c r="B56" s="318" t="s">
        <v>127</v>
      </c>
      <c r="C56" s="633" t="s">
        <v>142</v>
      </c>
      <c r="D56" s="633"/>
      <c r="E56" s="42">
        <v>26.78</v>
      </c>
      <c r="F56" s="48">
        <v>2041</v>
      </c>
      <c r="G56" s="308">
        <f t="shared" si="40"/>
        <v>54657.98</v>
      </c>
      <c r="H56" s="37" t="s">
        <v>91</v>
      </c>
      <c r="I56" s="316">
        <v>10</v>
      </c>
      <c r="J56" s="39">
        <v>3000</v>
      </c>
      <c r="K56" s="17">
        <f t="shared" si="1"/>
        <v>300</v>
      </c>
      <c r="L56" s="316">
        <v>10</v>
      </c>
      <c r="M56" s="18">
        <f t="shared" si="41"/>
        <v>2915.7142857142849</v>
      </c>
      <c r="N56" s="17">
        <f t="shared" si="3"/>
        <v>291.5714285714285</v>
      </c>
      <c r="O56" s="19">
        <f t="shared" si="4"/>
        <v>0</v>
      </c>
      <c r="P56" s="20">
        <f t="shared" si="5"/>
        <v>-8.4285714285715017</v>
      </c>
      <c r="Q56" s="307">
        <f t="shared" si="6"/>
        <v>0.97190476190476172</v>
      </c>
      <c r="R56" s="637"/>
      <c r="S56" s="40">
        <v>0.26527777777777778</v>
      </c>
      <c r="T56" s="40">
        <v>0.29444444444444445</v>
      </c>
      <c r="U56" s="308">
        <f t="shared" ref="U56:U58" si="44">(S56-T55)*24*60</f>
        <v>5.9999999999999787</v>
      </c>
      <c r="V56" s="317">
        <f t="shared" si="42"/>
        <v>42.000000000000014</v>
      </c>
      <c r="W56" s="308"/>
      <c r="X56" s="308"/>
      <c r="Y56" s="308"/>
      <c r="Z56" s="308"/>
      <c r="AA56" s="632"/>
      <c r="AB56" s="632"/>
      <c r="AC56" s="135"/>
      <c r="AD56" s="25"/>
      <c r="AE56" s="19">
        <f t="shared" si="43"/>
        <v>-84.28571428571513</v>
      </c>
      <c r="AF56" s="307">
        <f t="shared" si="9"/>
        <v>0.9719047619047616</v>
      </c>
      <c r="AG56" s="637"/>
    </row>
    <row r="57" spans="1:33" ht="15.75" customHeight="1">
      <c r="A57" s="639" t="s">
        <v>1564</v>
      </c>
      <c r="B57" s="318" t="s">
        <v>127</v>
      </c>
      <c r="C57" s="633" t="s">
        <v>143</v>
      </c>
      <c r="D57" s="633"/>
      <c r="E57" s="42">
        <v>36.14</v>
      </c>
      <c r="F57" s="48">
        <v>796</v>
      </c>
      <c r="G57" s="308">
        <f t="shared" si="40"/>
        <v>28767.439999999999</v>
      </c>
      <c r="H57" s="37" t="s">
        <v>91</v>
      </c>
      <c r="I57" s="316">
        <v>11</v>
      </c>
      <c r="J57" s="39">
        <v>3000</v>
      </c>
      <c r="K57" s="17">
        <f t="shared" si="1"/>
        <v>272.72727272727275</v>
      </c>
      <c r="L57" s="316">
        <v>11</v>
      </c>
      <c r="M57" s="18">
        <f t="shared" si="41"/>
        <v>2984.9999999999964</v>
      </c>
      <c r="N57" s="17">
        <f t="shared" si="3"/>
        <v>271.36363636363603</v>
      </c>
      <c r="O57" s="19">
        <f t="shared" si="4"/>
        <v>0</v>
      </c>
      <c r="P57" s="20">
        <f t="shared" si="5"/>
        <v>-1.363636363636715</v>
      </c>
      <c r="Q57" s="307">
        <f t="shared" si="6"/>
        <v>0.99499999999999866</v>
      </c>
      <c r="R57" s="637"/>
      <c r="S57" s="40">
        <v>0.2986111111111111</v>
      </c>
      <c r="T57" s="40">
        <v>0.30972222222222223</v>
      </c>
      <c r="U57" s="308">
        <f t="shared" si="44"/>
        <v>5.9999999999999787</v>
      </c>
      <c r="V57" s="317">
        <f t="shared" si="42"/>
        <v>16.000000000000021</v>
      </c>
      <c r="W57" s="308"/>
      <c r="X57" s="308"/>
      <c r="Y57" s="308"/>
      <c r="Z57" s="308"/>
      <c r="AA57" s="632"/>
      <c r="AB57" s="632"/>
      <c r="AC57" s="135"/>
      <c r="AD57" s="25"/>
      <c r="AE57" s="19">
        <f t="shared" si="43"/>
        <v>-15.000000000003638</v>
      </c>
      <c r="AF57" s="307">
        <f t="shared" si="9"/>
        <v>0.99499999999999877</v>
      </c>
      <c r="AG57" s="637"/>
    </row>
    <row r="58" spans="1:33" ht="15.75" customHeight="1">
      <c r="A58" s="639" t="s">
        <v>1564</v>
      </c>
      <c r="B58" s="318" t="s">
        <v>127</v>
      </c>
      <c r="C58" s="633" t="s">
        <v>144</v>
      </c>
      <c r="D58" s="633"/>
      <c r="E58" s="42">
        <v>35.869999999999997</v>
      </c>
      <c r="F58" s="48">
        <v>3130</v>
      </c>
      <c r="G58" s="308">
        <f t="shared" si="40"/>
        <v>112273.09999999999</v>
      </c>
      <c r="H58" s="37" t="s">
        <v>91</v>
      </c>
      <c r="I58" s="316">
        <v>10</v>
      </c>
      <c r="J58" s="39">
        <v>3000</v>
      </c>
      <c r="K58" s="17">
        <f t="shared" si="1"/>
        <v>300</v>
      </c>
      <c r="L58" s="316">
        <v>10</v>
      </c>
      <c r="M58" s="18">
        <f t="shared" si="41"/>
        <v>2889.2307692307686</v>
      </c>
      <c r="N58" s="17">
        <f t="shared" si="3"/>
        <v>288.92307692307685</v>
      </c>
      <c r="O58" s="19">
        <f t="shared" si="4"/>
        <v>0</v>
      </c>
      <c r="P58" s="20">
        <f t="shared" si="5"/>
        <v>-11.076923076923151</v>
      </c>
      <c r="Q58" s="307">
        <f t="shared" si="6"/>
        <v>0.96307692307692283</v>
      </c>
      <c r="R58" s="637"/>
      <c r="S58" s="40">
        <v>0.31388888888888888</v>
      </c>
      <c r="T58" s="40">
        <v>0.35902777777777778</v>
      </c>
      <c r="U58" s="308">
        <f t="shared" si="44"/>
        <v>5.9999999999999787</v>
      </c>
      <c r="V58" s="317">
        <f t="shared" si="42"/>
        <v>65.000000000000014</v>
      </c>
      <c r="W58" s="308"/>
      <c r="X58" s="308"/>
      <c r="Y58" s="308"/>
      <c r="Z58" s="308"/>
      <c r="AA58" s="632"/>
      <c r="AB58" s="632"/>
      <c r="AC58" s="135"/>
      <c r="AD58" s="25"/>
      <c r="AE58" s="19">
        <f t="shared" si="43"/>
        <v>-110.7692307692314</v>
      </c>
      <c r="AF58" s="307">
        <f t="shared" si="9"/>
        <v>0.96307692307692283</v>
      </c>
      <c r="AG58" s="637"/>
    </row>
    <row r="59" spans="1:33">
      <c r="A59" s="640" t="s">
        <v>1564</v>
      </c>
      <c r="B59" s="42" t="s">
        <v>1556</v>
      </c>
      <c r="C59" s="638"/>
      <c r="D59" s="638"/>
      <c r="E59" s="309"/>
      <c r="F59" s="44"/>
      <c r="G59" s="17"/>
      <c r="H59" s="318"/>
      <c r="I59" s="29">
        <v>10.25</v>
      </c>
      <c r="J59" s="39">
        <v>3000</v>
      </c>
      <c r="K59" s="17">
        <f t="shared" si="1"/>
        <v>292.6829268292683</v>
      </c>
      <c r="L59" s="29">
        <v>10.25</v>
      </c>
      <c r="M59" s="18">
        <f>AVERAGE(M55:M58)</f>
        <v>2918.0783689994205</v>
      </c>
      <c r="N59" s="17">
        <f t="shared" si="3"/>
        <v>284.69057258530933</v>
      </c>
      <c r="O59" s="19">
        <f t="shared" si="4"/>
        <v>0</v>
      </c>
      <c r="P59" s="20">
        <f t="shared" si="5"/>
        <v>-7.992354243958971</v>
      </c>
      <c r="Q59" s="307">
        <f t="shared" si="6"/>
        <v>0.97269278966647355</v>
      </c>
      <c r="R59" s="637"/>
      <c r="S59" s="40"/>
      <c r="T59" s="40"/>
      <c r="U59" s="17"/>
      <c r="V59" s="317"/>
      <c r="W59" s="17"/>
      <c r="X59" s="17"/>
      <c r="Y59" s="30">
        <f>SUM(Y55:Y58)</f>
        <v>0</v>
      </c>
      <c r="Z59" s="30">
        <f>SUM(Z55:Z58)</f>
        <v>0</v>
      </c>
      <c r="AA59" s="631"/>
      <c r="AB59" s="631"/>
      <c r="AC59" s="30">
        <v>4</v>
      </c>
      <c r="AD59" s="30">
        <f>SUM(AD55:AD58)</f>
        <v>0</v>
      </c>
      <c r="AE59" s="19">
        <f t="shared" si="43"/>
        <v>-81.921631000579509</v>
      </c>
      <c r="AF59" s="307">
        <f t="shared" si="9"/>
        <v>0.97269278966647355</v>
      </c>
      <c r="AG59" s="637"/>
    </row>
    <row r="60" spans="1:33" ht="15.75" customHeight="1">
      <c r="A60" s="634" t="s">
        <v>1565</v>
      </c>
      <c r="B60" s="318" t="s">
        <v>116</v>
      </c>
      <c r="C60" s="633" t="s">
        <v>145</v>
      </c>
      <c r="D60" s="633"/>
      <c r="E60" s="42">
        <v>19.02</v>
      </c>
      <c r="F60" s="318">
        <v>8711</v>
      </c>
      <c r="G60" s="308">
        <f t="shared" ref="G60:G65" si="45">E60*F60</f>
        <v>165683.22</v>
      </c>
      <c r="H60" s="37" t="s">
        <v>91</v>
      </c>
      <c r="I60" s="316">
        <v>14</v>
      </c>
      <c r="J60" s="39">
        <v>2400</v>
      </c>
      <c r="K60" s="17">
        <f t="shared" si="1"/>
        <v>171.42857142857142</v>
      </c>
      <c r="L60" s="316">
        <v>14</v>
      </c>
      <c r="M60" s="18">
        <f t="shared" ref="M60:M65" si="46">F60/V60*60</f>
        <v>2282.3580786026196</v>
      </c>
      <c r="N60" s="17">
        <f t="shared" si="3"/>
        <v>163.02557704304425</v>
      </c>
      <c r="O60" s="19">
        <f t="shared" si="4"/>
        <v>0</v>
      </c>
      <c r="P60" s="20">
        <f t="shared" si="5"/>
        <v>-8.4029943855271654</v>
      </c>
      <c r="Q60" s="307">
        <f t="shared" si="6"/>
        <v>0.95098253275109157</v>
      </c>
      <c r="R60" s="637">
        <f>Q66</f>
        <v>0.96314477117172648</v>
      </c>
      <c r="S60" s="40">
        <v>8.3333333333333329E-2</v>
      </c>
      <c r="T60" s="40">
        <v>0.24236111111111114</v>
      </c>
      <c r="U60" s="28"/>
      <c r="V60" s="317">
        <f t="shared" ref="V60:V65" si="47">(T60-S60)*24*60</f>
        <v>229.00000000000006</v>
      </c>
      <c r="W60" s="23">
        <f>T60</f>
        <v>0.24236111111111114</v>
      </c>
      <c r="X60" s="23">
        <f>S61</f>
        <v>0.26111111111111113</v>
      </c>
      <c r="Y60" s="23"/>
      <c r="Z60" s="23"/>
      <c r="AA60" s="632"/>
      <c r="AB60" s="632"/>
      <c r="AC60" s="135">
        <v>6</v>
      </c>
      <c r="AD60" s="25"/>
      <c r="AE60" s="19">
        <f t="shared" si="43"/>
        <v>-117.64192139738043</v>
      </c>
      <c r="AF60" s="307">
        <f t="shared" si="9"/>
        <v>0.95098253275109146</v>
      </c>
      <c r="AG60" s="637">
        <f>AF66</f>
        <v>0.96314477117172659</v>
      </c>
    </row>
    <row r="61" spans="1:33" ht="15.75" customHeight="1">
      <c r="A61" s="635" t="s">
        <v>315</v>
      </c>
      <c r="B61" s="318" t="s">
        <v>116</v>
      </c>
      <c r="C61" s="633" t="s">
        <v>146</v>
      </c>
      <c r="D61" s="633"/>
      <c r="E61" s="42">
        <v>20.36</v>
      </c>
      <c r="F61" s="318">
        <v>3193</v>
      </c>
      <c r="G61" s="308">
        <f t="shared" si="45"/>
        <v>65009.479999999996</v>
      </c>
      <c r="H61" s="37" t="s">
        <v>91</v>
      </c>
      <c r="I61" s="316">
        <v>17</v>
      </c>
      <c r="J61" s="39">
        <v>2400</v>
      </c>
      <c r="K61" s="17">
        <f t="shared" si="1"/>
        <v>141.1764705882353</v>
      </c>
      <c r="L61" s="316">
        <v>17</v>
      </c>
      <c r="M61" s="18">
        <f t="shared" si="46"/>
        <v>2308.1927710843365</v>
      </c>
      <c r="N61" s="17">
        <f t="shared" si="3"/>
        <v>135.77604535790215</v>
      </c>
      <c r="O61" s="19">
        <f t="shared" si="4"/>
        <v>0</v>
      </c>
      <c r="P61" s="20">
        <f t="shared" si="5"/>
        <v>-5.4004252303331555</v>
      </c>
      <c r="Q61" s="307">
        <f t="shared" si="6"/>
        <v>0.9617469879518068</v>
      </c>
      <c r="R61" s="637"/>
      <c r="S61" s="40">
        <v>0.26111111111111113</v>
      </c>
      <c r="T61" s="40">
        <v>0.31875000000000003</v>
      </c>
      <c r="U61" s="308">
        <f t="shared" ref="U61:U65" si="48">(S61-T60)*24*60</f>
        <v>26.999999999999986</v>
      </c>
      <c r="V61" s="317">
        <f t="shared" si="47"/>
        <v>83.000000000000028</v>
      </c>
      <c r="W61" s="23"/>
      <c r="X61" s="23"/>
      <c r="Y61" s="23"/>
      <c r="Z61" s="23"/>
      <c r="AA61" s="632"/>
      <c r="AB61" s="632"/>
      <c r="AC61" s="135"/>
      <c r="AD61" s="25"/>
      <c r="AE61" s="19">
        <f t="shared" si="43"/>
        <v>-91.807228915663472</v>
      </c>
      <c r="AF61" s="307">
        <f t="shared" si="9"/>
        <v>0.96174698795180691</v>
      </c>
      <c r="AG61" s="637"/>
    </row>
    <row r="62" spans="1:33" ht="15.75" customHeight="1">
      <c r="A62" s="635" t="s">
        <v>1566</v>
      </c>
      <c r="B62" s="318" t="s">
        <v>116</v>
      </c>
      <c r="C62" s="633" t="s">
        <v>120</v>
      </c>
      <c r="D62" s="633"/>
      <c r="E62" s="42">
        <v>25.99</v>
      </c>
      <c r="F62" s="318">
        <v>832</v>
      </c>
      <c r="G62" s="308">
        <f t="shared" si="45"/>
        <v>21623.68</v>
      </c>
      <c r="H62" s="37" t="s">
        <v>91</v>
      </c>
      <c r="I62" s="316">
        <v>18</v>
      </c>
      <c r="J62" s="39">
        <v>2400</v>
      </c>
      <c r="K62" s="17">
        <f t="shared" si="1"/>
        <v>133.33333333333334</v>
      </c>
      <c r="L62" s="316">
        <v>18</v>
      </c>
      <c r="M62" s="18">
        <f t="shared" si="46"/>
        <v>2377.1428571428564</v>
      </c>
      <c r="N62" s="17">
        <f t="shared" si="3"/>
        <v>132.06349206349202</v>
      </c>
      <c r="O62" s="19">
        <f t="shared" si="4"/>
        <v>0</v>
      </c>
      <c r="P62" s="20">
        <f t="shared" si="5"/>
        <v>-1.2698412698413222</v>
      </c>
      <c r="Q62" s="307">
        <f t="shared" si="6"/>
        <v>0.99047619047619007</v>
      </c>
      <c r="R62" s="637"/>
      <c r="S62" s="40">
        <v>0.32430555555555557</v>
      </c>
      <c r="T62" s="40">
        <v>0.33888888888888891</v>
      </c>
      <c r="U62" s="308">
        <f t="shared" si="48"/>
        <v>7.9999999999999716</v>
      </c>
      <c r="V62" s="317">
        <f t="shared" si="47"/>
        <v>21.000000000000007</v>
      </c>
      <c r="W62" s="23"/>
      <c r="X62" s="23"/>
      <c r="Y62" s="23"/>
      <c r="Z62" s="23"/>
      <c r="AA62" s="632"/>
      <c r="AB62" s="632"/>
      <c r="AC62" s="135"/>
      <c r="AD62" s="25"/>
      <c r="AE62" s="19">
        <f t="shared" si="43"/>
        <v>-22.857142857143572</v>
      </c>
      <c r="AF62" s="307">
        <f t="shared" si="9"/>
        <v>0.99047619047619018</v>
      </c>
      <c r="AG62" s="637"/>
    </row>
    <row r="63" spans="1:33" ht="15.75" customHeight="1">
      <c r="A63" s="635" t="s">
        <v>1567</v>
      </c>
      <c r="B63" s="318" t="s">
        <v>116</v>
      </c>
      <c r="C63" s="633" t="s">
        <v>148</v>
      </c>
      <c r="D63" s="633"/>
      <c r="E63" s="42">
        <v>28.29</v>
      </c>
      <c r="F63" s="318">
        <v>3193</v>
      </c>
      <c r="G63" s="308">
        <f t="shared" si="45"/>
        <v>90329.97</v>
      </c>
      <c r="H63" s="37" t="s">
        <v>91</v>
      </c>
      <c r="I63" s="316">
        <v>21</v>
      </c>
      <c r="J63" s="39">
        <v>2400</v>
      </c>
      <c r="K63" s="17">
        <f t="shared" si="1"/>
        <v>114.28571428571429</v>
      </c>
      <c r="L63" s="316">
        <v>21</v>
      </c>
      <c r="M63" s="18">
        <f t="shared" si="46"/>
        <v>2280.7142857142853</v>
      </c>
      <c r="N63" s="17">
        <f t="shared" si="3"/>
        <v>108.60544217687072</v>
      </c>
      <c r="O63" s="19">
        <f t="shared" si="4"/>
        <v>0</v>
      </c>
      <c r="P63" s="20">
        <f t="shared" si="5"/>
        <v>-5.6802721088435675</v>
      </c>
      <c r="Q63" s="307">
        <f t="shared" si="6"/>
        <v>0.95029761904761878</v>
      </c>
      <c r="R63" s="637"/>
      <c r="S63" s="40">
        <v>0.34236111111111112</v>
      </c>
      <c r="T63" s="40">
        <v>0.40069444444444446</v>
      </c>
      <c r="U63" s="308">
        <f t="shared" si="48"/>
        <v>4.9999999999999822</v>
      </c>
      <c r="V63" s="317">
        <f t="shared" si="47"/>
        <v>84.000000000000028</v>
      </c>
      <c r="W63" s="23"/>
      <c r="X63" s="23"/>
      <c r="Y63" s="23"/>
      <c r="Z63" s="23"/>
      <c r="AA63" s="632"/>
      <c r="AB63" s="632"/>
      <c r="AC63" s="135"/>
      <c r="AD63" s="25"/>
      <c r="AE63" s="19">
        <f t="shared" si="43"/>
        <v>-119.28571428571468</v>
      </c>
      <c r="AF63" s="307">
        <f t="shared" si="9"/>
        <v>0.95029761904761889</v>
      </c>
      <c r="AG63" s="637"/>
    </row>
    <row r="64" spans="1:33" ht="15.75" customHeight="1">
      <c r="A64" s="635" t="s">
        <v>1568</v>
      </c>
      <c r="B64" s="318" t="s">
        <v>116</v>
      </c>
      <c r="C64" s="633" t="s">
        <v>149</v>
      </c>
      <c r="D64" s="633"/>
      <c r="E64" s="42">
        <v>24.25</v>
      </c>
      <c r="F64" s="318">
        <v>2814</v>
      </c>
      <c r="G64" s="308">
        <f t="shared" si="45"/>
        <v>68239.5</v>
      </c>
      <c r="H64" s="37" t="s">
        <v>91</v>
      </c>
      <c r="I64" s="316">
        <v>16</v>
      </c>
      <c r="J64" s="39">
        <v>2400</v>
      </c>
      <c r="K64" s="17">
        <f t="shared" si="1"/>
        <v>150</v>
      </c>
      <c r="L64" s="316">
        <v>16</v>
      </c>
      <c r="M64" s="18">
        <f t="shared" si="46"/>
        <v>2312.8767123287676</v>
      </c>
      <c r="N64" s="17">
        <f t="shared" si="3"/>
        <v>144.55479452054797</v>
      </c>
      <c r="O64" s="19">
        <f t="shared" si="4"/>
        <v>0</v>
      </c>
      <c r="P64" s="20">
        <f t="shared" si="5"/>
        <v>-5.4452054794520279</v>
      </c>
      <c r="Q64" s="307">
        <f t="shared" si="6"/>
        <v>0.96369863013698653</v>
      </c>
      <c r="R64" s="637"/>
      <c r="S64" s="40">
        <v>0.40416666666666667</v>
      </c>
      <c r="T64" s="40">
        <v>0.4548611111111111</v>
      </c>
      <c r="U64" s="308">
        <f t="shared" si="48"/>
        <v>4.9999999999999822</v>
      </c>
      <c r="V64" s="317">
        <f t="shared" si="47"/>
        <v>72.999999999999986</v>
      </c>
      <c r="W64" s="23"/>
      <c r="X64" s="23"/>
      <c r="Y64" s="23"/>
      <c r="Z64" s="23"/>
      <c r="AA64" s="632"/>
      <c r="AB64" s="632"/>
      <c r="AC64" s="135"/>
      <c r="AD64" s="25"/>
      <c r="AE64" s="19">
        <f t="shared" si="43"/>
        <v>-87.123287671232447</v>
      </c>
      <c r="AF64" s="307">
        <f t="shared" si="9"/>
        <v>0.96369863013698653</v>
      </c>
      <c r="AG64" s="637"/>
    </row>
    <row r="65" spans="1:33" ht="15.75" customHeight="1">
      <c r="A65" s="635" t="s">
        <v>315</v>
      </c>
      <c r="B65" s="318" t="s">
        <v>116</v>
      </c>
      <c r="C65" s="633" t="s">
        <v>150</v>
      </c>
      <c r="D65" s="633"/>
      <c r="E65" s="42">
        <v>23.89</v>
      </c>
      <c r="F65" s="318">
        <v>2308</v>
      </c>
      <c r="G65" s="308">
        <f t="shared" si="45"/>
        <v>55138.12</v>
      </c>
      <c r="H65" s="37" t="s">
        <v>91</v>
      </c>
      <c r="I65" s="316">
        <v>13</v>
      </c>
      <c r="J65" s="39">
        <v>2400</v>
      </c>
      <c r="K65" s="17">
        <f t="shared" si="1"/>
        <v>184.61538461538461</v>
      </c>
      <c r="L65" s="316">
        <v>13</v>
      </c>
      <c r="M65" s="18">
        <f t="shared" si="46"/>
        <v>2307.9999999999986</v>
      </c>
      <c r="N65" s="17">
        <f t="shared" si="3"/>
        <v>177.53846153846143</v>
      </c>
      <c r="O65" s="19">
        <f t="shared" si="4"/>
        <v>0</v>
      </c>
      <c r="P65" s="20">
        <f t="shared" si="5"/>
        <v>-7.0769230769231797</v>
      </c>
      <c r="Q65" s="307">
        <f t="shared" si="6"/>
        <v>0.96166666666666611</v>
      </c>
      <c r="R65" s="637"/>
      <c r="S65" s="40">
        <v>0.45902777777777776</v>
      </c>
      <c r="T65" s="40">
        <v>0.50069444444444444</v>
      </c>
      <c r="U65" s="308">
        <f t="shared" si="48"/>
        <v>5.9999999999999787</v>
      </c>
      <c r="V65" s="317">
        <f t="shared" si="47"/>
        <v>60.000000000000028</v>
      </c>
      <c r="W65" s="23"/>
      <c r="X65" s="23"/>
      <c r="Y65" s="23"/>
      <c r="Z65" s="23"/>
      <c r="AA65" s="632"/>
      <c r="AB65" s="632"/>
      <c r="AC65" s="135"/>
      <c r="AD65" s="25"/>
      <c r="AE65" s="19">
        <f t="shared" si="43"/>
        <v>-92.000000000001364</v>
      </c>
      <c r="AF65" s="307">
        <f t="shared" si="9"/>
        <v>0.96166666666666611</v>
      </c>
      <c r="AG65" s="637"/>
    </row>
    <row r="66" spans="1:33" ht="16.5" customHeight="1">
      <c r="A66" s="636" t="s">
        <v>315</v>
      </c>
      <c r="B66" s="42" t="s">
        <v>305</v>
      </c>
      <c r="C66" s="629"/>
      <c r="D66" s="630"/>
      <c r="E66" s="309"/>
      <c r="F66" s="44"/>
      <c r="G66" s="17"/>
      <c r="H66" s="318"/>
      <c r="I66" s="29">
        <v>16.5</v>
      </c>
      <c r="J66" s="39">
        <v>2400</v>
      </c>
      <c r="K66" s="17">
        <f t="shared" si="1"/>
        <v>145.45454545454547</v>
      </c>
      <c r="L66" s="29">
        <v>16.5</v>
      </c>
      <c r="M66" s="18">
        <f>AVERAGE(M60:M65)</f>
        <v>2311.5474508121438</v>
      </c>
      <c r="N66" s="17">
        <f t="shared" si="3"/>
        <v>140.09378489770569</v>
      </c>
      <c r="O66" s="19">
        <f t="shared" si="4"/>
        <v>0</v>
      </c>
      <c r="P66" s="20">
        <f t="shared" si="5"/>
        <v>-5.3607605568397787</v>
      </c>
      <c r="Q66" s="307">
        <f t="shared" si="6"/>
        <v>0.96314477117172648</v>
      </c>
      <c r="R66" s="637"/>
      <c r="S66" s="40"/>
      <c r="T66" s="40"/>
      <c r="U66" s="17"/>
      <c r="V66" s="317"/>
      <c r="W66" s="17"/>
      <c r="X66" s="17"/>
      <c r="Y66" s="30">
        <f>SUM(Y60:Y65)</f>
        <v>0</v>
      </c>
      <c r="Z66" s="30">
        <f>SUM(Z60:Z65)</f>
        <v>0</v>
      </c>
      <c r="AA66" s="631"/>
      <c r="AB66" s="631"/>
      <c r="AC66" s="30">
        <v>6</v>
      </c>
      <c r="AD66" s="30">
        <f>SUM(AD60:AD65)</f>
        <v>0</v>
      </c>
      <c r="AE66" s="19">
        <f t="shared" si="43"/>
        <v>-88.452549187856221</v>
      </c>
      <c r="AF66" s="307">
        <f t="shared" si="9"/>
        <v>0.96314477117172659</v>
      </c>
      <c r="AG66" s="637"/>
    </row>
    <row r="67" spans="1:33">
      <c r="D67" s="33"/>
      <c r="E67" s="33"/>
    </row>
  </sheetData>
  <mergeCells count="181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A13:AB13"/>
    <mergeCell ref="A14:A21"/>
    <mergeCell ref="C14:D14"/>
    <mergeCell ref="R14:R21"/>
    <mergeCell ref="AA14:AB14"/>
    <mergeCell ref="AG14:AG21"/>
    <mergeCell ref="C15:D15"/>
    <mergeCell ref="AA15:AB15"/>
    <mergeCell ref="C16:D16"/>
    <mergeCell ref="AA16:AB16"/>
    <mergeCell ref="A10:A13"/>
    <mergeCell ref="C10:D10"/>
    <mergeCell ref="R10:R13"/>
    <mergeCell ref="AA10:AB10"/>
    <mergeCell ref="AG10:AG13"/>
    <mergeCell ref="C11:D11"/>
    <mergeCell ref="AA11:AB11"/>
    <mergeCell ref="C12:D12"/>
    <mergeCell ref="AA12:AB12"/>
    <mergeCell ref="C13:D13"/>
    <mergeCell ref="AG22:AG29"/>
    <mergeCell ref="C23:D23"/>
    <mergeCell ref="AA23:AB23"/>
    <mergeCell ref="C24:D24"/>
    <mergeCell ref="AA24:AB24"/>
    <mergeCell ref="C25:D25"/>
    <mergeCell ref="C17:D17"/>
    <mergeCell ref="AA17:AB17"/>
    <mergeCell ref="C18:D18"/>
    <mergeCell ref="AA18:AB18"/>
    <mergeCell ref="C21:D21"/>
    <mergeCell ref="AA21:AB21"/>
    <mergeCell ref="C29:D29"/>
    <mergeCell ref="AA29:AB29"/>
    <mergeCell ref="A30:A34"/>
    <mergeCell ref="C30:D30"/>
    <mergeCell ref="R30:R34"/>
    <mergeCell ref="AA30:AB30"/>
    <mergeCell ref="AA25:AB25"/>
    <mergeCell ref="C26:D26"/>
    <mergeCell ref="AA26:AB26"/>
    <mergeCell ref="C27:D27"/>
    <mergeCell ref="AA27:AB27"/>
    <mergeCell ref="C28:D28"/>
    <mergeCell ref="AA28:AB28"/>
    <mergeCell ref="A22:A29"/>
    <mergeCell ref="C22:D22"/>
    <mergeCell ref="R22:R29"/>
    <mergeCell ref="AA22:AB22"/>
    <mergeCell ref="AG30:AG34"/>
    <mergeCell ref="C31:D31"/>
    <mergeCell ref="AA31:AB31"/>
    <mergeCell ref="C32:D32"/>
    <mergeCell ref="AA32:AB32"/>
    <mergeCell ref="C33:D33"/>
    <mergeCell ref="AA33:AB33"/>
    <mergeCell ref="C34:D34"/>
    <mergeCell ref="AA34:AB34"/>
    <mergeCell ref="A35:A41"/>
    <mergeCell ref="C35:D35"/>
    <mergeCell ref="R35:R41"/>
    <mergeCell ref="AA35:AB35"/>
    <mergeCell ref="AG35:AG41"/>
    <mergeCell ref="C36:D36"/>
    <mergeCell ref="AA36:AB36"/>
    <mergeCell ref="C37:D37"/>
    <mergeCell ref="AA37:AB37"/>
    <mergeCell ref="C38:D38"/>
    <mergeCell ref="AG42:AG46"/>
    <mergeCell ref="C43:D43"/>
    <mergeCell ref="AA43:AB43"/>
    <mergeCell ref="C44:D44"/>
    <mergeCell ref="AA44:AB44"/>
    <mergeCell ref="C45:D45"/>
    <mergeCell ref="AA38:AB38"/>
    <mergeCell ref="C39:D39"/>
    <mergeCell ref="AA39:AB39"/>
    <mergeCell ref="C40:D40"/>
    <mergeCell ref="AA40:AB40"/>
    <mergeCell ref="C41:D41"/>
    <mergeCell ref="AA41:AB41"/>
    <mergeCell ref="AA45:AB45"/>
    <mergeCell ref="C46:D46"/>
    <mergeCell ref="AA46:AB46"/>
    <mergeCell ref="A47:A54"/>
    <mergeCell ref="C47:D47"/>
    <mergeCell ref="R47:R54"/>
    <mergeCell ref="AA47:AB47"/>
    <mergeCell ref="AA53:AB53"/>
    <mergeCell ref="C54:D54"/>
    <mergeCell ref="AA54:AB54"/>
    <mergeCell ref="A42:A46"/>
    <mergeCell ref="C42:D42"/>
    <mergeCell ref="R42:R46"/>
    <mergeCell ref="AA42:AB42"/>
    <mergeCell ref="AG55:AG59"/>
    <mergeCell ref="C56:D56"/>
    <mergeCell ref="AA56:AB56"/>
    <mergeCell ref="C57:D57"/>
    <mergeCell ref="AA57:AB57"/>
    <mergeCell ref="C58:D58"/>
    <mergeCell ref="AG47:AG54"/>
    <mergeCell ref="C48:D48"/>
    <mergeCell ref="AA48:AB48"/>
    <mergeCell ref="C49:D49"/>
    <mergeCell ref="AA49:AB49"/>
    <mergeCell ref="AA50:AB50"/>
    <mergeCell ref="AA51:AB51"/>
    <mergeCell ref="C52:D52"/>
    <mergeCell ref="AA52:AB52"/>
    <mergeCell ref="C53:D53"/>
    <mergeCell ref="AA58:AB58"/>
    <mergeCell ref="C59:D59"/>
    <mergeCell ref="AA59:AB59"/>
    <mergeCell ref="A60:A66"/>
    <mergeCell ref="C60:D60"/>
    <mergeCell ref="R60:R66"/>
    <mergeCell ref="AA60:AB60"/>
    <mergeCell ref="AA65:AB65"/>
    <mergeCell ref="C66:D66"/>
    <mergeCell ref="AA66:AB66"/>
    <mergeCell ref="A55:A59"/>
    <mergeCell ref="C55:D55"/>
    <mergeCell ref="R55:R59"/>
    <mergeCell ref="AA55:AB55"/>
    <mergeCell ref="AG60:AG66"/>
    <mergeCell ref="C61:D61"/>
    <mergeCell ref="AA61:AB61"/>
    <mergeCell ref="C62:D62"/>
    <mergeCell ref="AA62:AB62"/>
    <mergeCell ref="C63:D63"/>
    <mergeCell ref="AA63:AB63"/>
    <mergeCell ref="C64:D64"/>
    <mergeCell ref="AA64:AB64"/>
    <mergeCell ref="C65:D65"/>
  </mergeCells>
  <phoneticPr fontId="3" type="noConversion"/>
  <conditionalFormatting sqref="O54:O55 O58:O66 O5:O10 O13:O15 O21:O52">
    <cfRule type="cellIs" dxfId="1165" priority="48" operator="greaterThan">
      <formula>0</formula>
    </cfRule>
  </conditionalFormatting>
  <conditionalFormatting sqref="P5:P8 P58 AE58 P60:P65 P30:P33 P55 P10 P13:P15 P22:P28 P47:P52 P35:P45 AE5:AE55 AE60:AE66">
    <cfRule type="cellIs" dxfId="1164" priority="52" operator="lessThan">
      <formula>0</formula>
    </cfRule>
  </conditionalFormatting>
  <conditionalFormatting sqref="AF58 Q54:Q55 Q58:Q66 Q5:Q10 Q13:Q15 Q21:Q52 AF5:AF55 AF60:AF66">
    <cfRule type="cellIs" dxfId="1163" priority="49" operator="greaterThan">
      <formula>1</formula>
    </cfRule>
    <cfRule type="cellIs" dxfId="1162" priority="50" operator="lessThan">
      <formula>0.8</formula>
    </cfRule>
  </conditionalFormatting>
  <conditionalFormatting sqref="AG14:AG15 R14:R15 AG58 R21:R27 AG21:AG27 AG54:AG55 R54:R55 R58:R66 AG5:AG10 R5:R10 AG29:AG52 R29:R52">
    <cfRule type="cellIs" dxfId="1161" priority="54" operator="lessThan">
      <formula>0.8</formula>
    </cfRule>
  </conditionalFormatting>
  <conditionalFormatting sqref="AG42">
    <cfRule type="cellIs" dxfId="1160" priority="56" operator="lessThan">
      <formula>0.8</formula>
    </cfRule>
  </conditionalFormatting>
  <conditionalFormatting sqref="AG22:AG27">
    <cfRule type="cellIs" dxfId="1159" priority="53" operator="lessThan">
      <formula>0.8</formula>
    </cfRule>
  </conditionalFormatting>
  <conditionalFormatting sqref="AG30">
    <cfRule type="cellIs" dxfId="1158" priority="55" operator="lessThan">
      <formula>0.8</formula>
    </cfRule>
  </conditionalFormatting>
  <conditionalFormatting sqref="AG35:AG40">
    <cfRule type="cellIs" dxfId="1157" priority="51" operator="lessThan">
      <formula>0.8</formula>
    </cfRule>
  </conditionalFormatting>
  <conditionalFormatting sqref="AE59">
    <cfRule type="cellIs" dxfId="1156" priority="47" operator="lessThan">
      <formula>0</formula>
    </cfRule>
  </conditionalFormatting>
  <conditionalFormatting sqref="AF59">
    <cfRule type="cellIs" dxfId="1155" priority="45" operator="greaterThan">
      <formula>1</formula>
    </cfRule>
    <cfRule type="cellIs" dxfId="1154" priority="46" operator="lessThan">
      <formula>0.8</formula>
    </cfRule>
  </conditionalFormatting>
  <conditionalFormatting sqref="O16:O17">
    <cfRule type="cellIs" dxfId="1153" priority="40" operator="greaterThan">
      <formula>0</formula>
    </cfRule>
  </conditionalFormatting>
  <conditionalFormatting sqref="P16:P17">
    <cfRule type="cellIs" dxfId="1152" priority="43" operator="lessThan">
      <formula>0</formula>
    </cfRule>
  </conditionalFormatting>
  <conditionalFormatting sqref="Q16:Q17">
    <cfRule type="cellIs" dxfId="1151" priority="41" operator="greaterThan">
      <formula>1</formula>
    </cfRule>
    <cfRule type="cellIs" dxfId="1150" priority="42" operator="lessThan">
      <formula>0.8</formula>
    </cfRule>
  </conditionalFormatting>
  <conditionalFormatting sqref="R16:R17 AG16:AG17">
    <cfRule type="cellIs" dxfId="1149" priority="44" operator="lessThan">
      <formula>0.8</formula>
    </cfRule>
  </conditionalFormatting>
  <conditionalFormatting sqref="O11:O12">
    <cfRule type="cellIs" dxfId="1148" priority="36" operator="greaterThan">
      <formula>0</formula>
    </cfRule>
  </conditionalFormatting>
  <conditionalFormatting sqref="P11:P12">
    <cfRule type="cellIs" dxfId="1147" priority="39" operator="lessThan">
      <formula>0</formula>
    </cfRule>
  </conditionalFormatting>
  <conditionalFormatting sqref="Q11:Q12">
    <cfRule type="cellIs" dxfId="1146" priority="37" operator="greaterThan">
      <formula>1</formula>
    </cfRule>
    <cfRule type="cellIs" dxfId="1145" priority="38" operator="lessThan">
      <formula>0.8</formula>
    </cfRule>
  </conditionalFormatting>
  <conditionalFormatting sqref="O53">
    <cfRule type="cellIs" dxfId="1144" priority="31" operator="greaterThan">
      <formula>0</formula>
    </cfRule>
  </conditionalFormatting>
  <conditionalFormatting sqref="P53">
    <cfRule type="cellIs" dxfId="1143" priority="34" operator="lessThan">
      <formula>0</formula>
    </cfRule>
  </conditionalFormatting>
  <conditionalFormatting sqref="Q53">
    <cfRule type="cellIs" dxfId="1142" priority="32" operator="greaterThan">
      <formula>1</formula>
    </cfRule>
    <cfRule type="cellIs" dxfId="1141" priority="33" operator="lessThan">
      <formula>0.8</formula>
    </cfRule>
  </conditionalFormatting>
  <conditionalFormatting sqref="R53 AG53">
    <cfRule type="cellIs" dxfId="1140" priority="35" operator="lessThan">
      <formula>0.8</formula>
    </cfRule>
  </conditionalFormatting>
  <conditionalFormatting sqref="O57">
    <cfRule type="cellIs" dxfId="1139" priority="26" operator="greaterThan">
      <formula>0</formula>
    </cfRule>
  </conditionalFormatting>
  <conditionalFormatting sqref="P57 AE57">
    <cfRule type="cellIs" dxfId="1138" priority="29" operator="lessThan">
      <formula>0</formula>
    </cfRule>
  </conditionalFormatting>
  <conditionalFormatting sqref="Q57 AF57">
    <cfRule type="cellIs" dxfId="1137" priority="27" operator="greaterThan">
      <formula>1</formula>
    </cfRule>
    <cfRule type="cellIs" dxfId="1136" priority="28" operator="lessThan">
      <formula>0.8</formula>
    </cfRule>
  </conditionalFormatting>
  <conditionalFormatting sqref="R57 AG57">
    <cfRule type="cellIs" dxfId="1135" priority="30" operator="lessThan">
      <formula>0.8</formula>
    </cfRule>
  </conditionalFormatting>
  <conditionalFormatting sqref="O18:O19">
    <cfRule type="cellIs" dxfId="1134" priority="21" operator="greaterThan">
      <formula>0</formula>
    </cfRule>
  </conditionalFormatting>
  <conditionalFormatting sqref="P18:P19">
    <cfRule type="cellIs" dxfId="1133" priority="24" operator="lessThan">
      <formula>0</formula>
    </cfRule>
  </conditionalFormatting>
  <conditionalFormatting sqref="Q18:Q19">
    <cfRule type="cellIs" dxfId="1132" priority="22" operator="greaterThan">
      <formula>1</formula>
    </cfRule>
    <cfRule type="cellIs" dxfId="1131" priority="23" operator="lessThan">
      <formula>0.8</formula>
    </cfRule>
  </conditionalFormatting>
  <conditionalFormatting sqref="R18:R19 AG18:AG19">
    <cfRule type="cellIs" dxfId="1130" priority="25" operator="lessThan">
      <formula>0.8</formula>
    </cfRule>
  </conditionalFormatting>
  <conditionalFormatting sqref="R28 AG28">
    <cfRule type="cellIs" dxfId="1129" priority="20" operator="lessThan">
      <formula>0.8</formula>
    </cfRule>
  </conditionalFormatting>
  <conditionalFormatting sqref="AG28">
    <cfRule type="cellIs" dxfId="1128" priority="19" operator="lessThan">
      <formula>0.8</formula>
    </cfRule>
  </conditionalFormatting>
  <conditionalFormatting sqref="O56">
    <cfRule type="cellIs" dxfId="1127" priority="14" operator="greaterThan">
      <formula>0</formula>
    </cfRule>
  </conditionalFormatting>
  <conditionalFormatting sqref="P56 AE56">
    <cfRule type="cellIs" dxfId="1126" priority="17" operator="lessThan">
      <formula>0</formula>
    </cfRule>
  </conditionalFormatting>
  <conditionalFormatting sqref="Q56 AF56">
    <cfRule type="cellIs" dxfId="1125" priority="15" operator="greaterThan">
      <formula>1</formula>
    </cfRule>
    <cfRule type="cellIs" dxfId="1124" priority="16" operator="lessThan">
      <formula>0.8</formula>
    </cfRule>
  </conditionalFormatting>
  <conditionalFormatting sqref="R56 AG56">
    <cfRule type="cellIs" dxfId="1123" priority="18" operator="lessThan">
      <formula>0.8</formula>
    </cfRule>
  </conditionalFormatting>
  <conditionalFormatting sqref="O20">
    <cfRule type="cellIs" dxfId="1122" priority="9" operator="greaterThan">
      <formula>0</formula>
    </cfRule>
  </conditionalFormatting>
  <conditionalFormatting sqref="P20">
    <cfRule type="cellIs" dxfId="1121" priority="12" operator="lessThan">
      <formula>0</formula>
    </cfRule>
  </conditionalFormatting>
  <conditionalFormatting sqref="Q20">
    <cfRule type="cellIs" dxfId="1120" priority="10" operator="greaterThan">
      <formula>1</formula>
    </cfRule>
    <cfRule type="cellIs" dxfId="1119" priority="11" operator="lessThan">
      <formula>0.8</formula>
    </cfRule>
  </conditionalFormatting>
  <conditionalFormatting sqref="AG20 R20">
    <cfRule type="cellIs" dxfId="1118" priority="13" operator="lessThan">
      <formula>0.8</formula>
    </cfRule>
  </conditionalFormatting>
  <conditionalFormatting sqref="P9">
    <cfRule type="cellIs" dxfId="1117" priority="8" operator="lessThan">
      <formula>0</formula>
    </cfRule>
  </conditionalFormatting>
  <conditionalFormatting sqref="P21">
    <cfRule type="cellIs" dxfId="1116" priority="7" operator="lessThan">
      <formula>0</formula>
    </cfRule>
  </conditionalFormatting>
  <conditionalFormatting sqref="P29">
    <cfRule type="cellIs" dxfId="1115" priority="6" operator="lessThan">
      <formula>0</formula>
    </cfRule>
  </conditionalFormatting>
  <conditionalFormatting sqref="P34">
    <cfRule type="cellIs" dxfId="1114" priority="5" operator="lessThan">
      <formula>0</formula>
    </cfRule>
  </conditionalFormatting>
  <conditionalFormatting sqref="P46">
    <cfRule type="cellIs" dxfId="1113" priority="4" operator="lessThan">
      <formula>0</formula>
    </cfRule>
  </conditionalFormatting>
  <conditionalFormatting sqref="P54">
    <cfRule type="cellIs" dxfId="1112" priority="3" operator="lessThan">
      <formula>0</formula>
    </cfRule>
  </conditionalFormatting>
  <conditionalFormatting sqref="P59">
    <cfRule type="cellIs" dxfId="1111" priority="2" operator="lessThan">
      <formula>0</formula>
    </cfRule>
  </conditionalFormatting>
  <conditionalFormatting sqref="P66">
    <cfRule type="cellIs" dxfId="1110" priority="1" operator="lessThan">
      <formula>0</formula>
    </cfRule>
  </conditionalFormatting>
  <dataValidations count="1">
    <dataValidation type="list" allowBlank="1" showInputMessage="1" showErrorMessage="1" sqref="AB9 AA5:AB8 AA9:AA58 AB11:AB55 AA59:AB66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F9" sqref="F9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612" t="s">
        <v>990</v>
      </c>
      <c r="C1" s="612"/>
      <c r="D1" s="612"/>
      <c r="E1" s="612"/>
      <c r="F1" s="612"/>
      <c r="G1" s="612"/>
      <c r="H1" s="612"/>
      <c r="I1" s="612"/>
      <c r="J1" s="612"/>
      <c r="K1" s="51"/>
      <c r="L1" s="51"/>
      <c r="M1" s="51"/>
      <c r="N1" s="51"/>
      <c r="O1" s="51"/>
      <c r="P1" s="51"/>
    </row>
    <row r="2" spans="2:17" ht="27.75" customHeight="1">
      <c r="B2" s="613"/>
      <c r="C2" s="613"/>
      <c r="D2" s="613"/>
      <c r="E2" s="613"/>
      <c r="F2" s="613"/>
      <c r="G2" s="613"/>
      <c r="H2" s="613"/>
      <c r="I2" s="613"/>
      <c r="J2" s="613"/>
      <c r="K2" s="53"/>
      <c r="L2" s="53"/>
      <c r="M2" s="53"/>
      <c r="N2" s="51"/>
      <c r="O2" s="51"/>
      <c r="P2" s="51"/>
    </row>
    <row r="3" spans="2:17" ht="46.5" customHeight="1">
      <c r="B3" s="54" t="s">
        <v>1375</v>
      </c>
      <c r="C3" s="614" t="str">
        <f>TEXT('0814 4度C'!A2,"yyyy.mm.ddaaaa")</f>
        <v>2026.08.14星期五</v>
      </c>
      <c r="D3" s="615"/>
      <c r="E3" s="54" t="s">
        <v>1376</v>
      </c>
      <c r="F3" s="616">
        <f>'0814 4度C'!D1</f>
        <v>129857</v>
      </c>
      <c r="G3" s="617"/>
      <c r="H3" s="54" t="s">
        <v>1377</v>
      </c>
      <c r="I3" s="618">
        <f>'0814 4度C'!F1</f>
        <v>4505896.2</v>
      </c>
      <c r="J3" s="619"/>
      <c r="K3" s="55"/>
      <c r="L3" s="56"/>
      <c r="M3" s="57"/>
      <c r="N3" s="57"/>
    </row>
    <row r="4" spans="2:17" ht="28.5" customHeight="1">
      <c r="B4" s="620" t="s">
        <v>1378</v>
      </c>
      <c r="C4" s="606" t="s">
        <v>1379</v>
      </c>
      <c r="D4" s="607"/>
      <c r="E4" s="623" t="s">
        <v>1380</v>
      </c>
      <c r="F4" s="624"/>
      <c r="G4" s="623" t="s">
        <v>1381</v>
      </c>
      <c r="H4" s="624"/>
      <c r="I4" s="623" t="s">
        <v>1382</v>
      </c>
      <c r="J4" s="624"/>
      <c r="K4" s="604" t="s">
        <v>1383</v>
      </c>
      <c r="L4" s="605"/>
      <c r="M4" s="605" t="s">
        <v>1384</v>
      </c>
      <c r="N4" s="605"/>
    </row>
    <row r="5" spans="2:17" ht="28.5" customHeight="1">
      <c r="B5" s="621"/>
      <c r="C5" s="606" t="s">
        <v>1385</v>
      </c>
      <c r="D5" s="607"/>
      <c r="E5" s="606" t="s">
        <v>1386</v>
      </c>
      <c r="F5" s="607"/>
      <c r="G5" s="608" t="s">
        <v>1387</v>
      </c>
      <c r="H5" s="609"/>
      <c r="I5" s="610" t="s">
        <v>1388</v>
      </c>
      <c r="J5" s="611"/>
      <c r="K5" s="58" t="s">
        <v>1389</v>
      </c>
      <c r="L5" s="59" t="s">
        <v>1390</v>
      </c>
      <c r="M5" s="58" t="s">
        <v>1389</v>
      </c>
      <c r="N5" s="59" t="s">
        <v>1391</v>
      </c>
    </row>
    <row r="6" spans="2:17" ht="28.5" customHeight="1">
      <c r="B6" s="621"/>
      <c r="C6" s="606" t="s">
        <v>169</v>
      </c>
      <c r="D6" s="607"/>
      <c r="E6" s="598">
        <f>AVERAGE(D13:M13)</f>
        <v>157.7034537249246</v>
      </c>
      <c r="F6" s="599">
        <f>AVERAGE(D31:O31,D13:J13)</f>
        <v>166.79167038914517</v>
      </c>
      <c r="G6" s="600">
        <f>AVERAGE(D13:J13)</f>
        <v>166.79167038914517</v>
      </c>
      <c r="H6" s="601"/>
      <c r="I6" s="600">
        <f>AVERAGE(K13:M13)</f>
        <v>136.49761484174326</v>
      </c>
      <c r="J6" s="601"/>
      <c r="K6" s="602">
        <f>'0814 4度C'!Y2</f>
        <v>0</v>
      </c>
      <c r="L6" s="587">
        <f>'0814 4度C'!Z2</f>
        <v>0</v>
      </c>
      <c r="M6" s="603">
        <f>'0814 4度C'!AC2</f>
        <v>50</v>
      </c>
      <c r="N6" s="587">
        <f>'0814 4度C'!AD2</f>
        <v>0</v>
      </c>
    </row>
    <row r="7" spans="2:17" ht="28.5" customHeight="1">
      <c r="B7" s="621"/>
      <c r="C7" s="588" t="s">
        <v>170</v>
      </c>
      <c r="D7" s="589"/>
      <c r="E7" s="590">
        <f>AVERAGE(D14:M14)</f>
        <v>151.65003941533476</v>
      </c>
      <c r="F7" s="591">
        <f>AVERAGE(D32:O32,D14:J14)</f>
        <v>160.76737916740325</v>
      </c>
      <c r="G7" s="592">
        <f>AVERAGE(D14:J14)</f>
        <v>160.76737916740325</v>
      </c>
      <c r="H7" s="593"/>
      <c r="I7" s="592">
        <f>AVERAGE(K14:M14)</f>
        <v>130.37624666050826</v>
      </c>
      <c r="J7" s="593"/>
      <c r="K7" s="602"/>
      <c r="L7" s="587"/>
      <c r="M7" s="603"/>
      <c r="N7" s="587"/>
    </row>
    <row r="8" spans="2:17" ht="28.5" customHeight="1">
      <c r="B8" s="622"/>
      <c r="C8" s="588" t="s">
        <v>171</v>
      </c>
      <c r="D8" s="589"/>
      <c r="E8" s="594">
        <f>AVERAGE(D15:M15)</f>
        <v>0.96006186009446748</v>
      </c>
      <c r="F8" s="595">
        <f>AVERAGE(D15:J15,D33:O33)</f>
        <v>0.96220056828466627</v>
      </c>
      <c r="G8" s="596">
        <f>AVERAGE(D15:J15)</f>
        <v>0.96220056828466627</v>
      </c>
      <c r="H8" s="597"/>
      <c r="I8" s="596">
        <f>AVERAGE(K15:M15)</f>
        <v>0.9550715409840036</v>
      </c>
      <c r="J8" s="597"/>
      <c r="K8" s="602"/>
      <c r="L8" s="587"/>
      <c r="M8" s="603"/>
      <c r="N8" s="587"/>
    </row>
    <row r="9" spans="2:17" ht="28.5" customHeight="1" thickBot="1">
      <c r="H9" s="61"/>
      <c r="K9" s="62" t="s">
        <v>1008</v>
      </c>
      <c r="N9" s="57"/>
      <c r="O9" s="57"/>
      <c r="P9" s="57"/>
      <c r="Q9" s="57"/>
    </row>
    <row r="10" spans="2:17" ht="30" customHeight="1">
      <c r="B10" s="570" t="s">
        <v>1392</v>
      </c>
      <c r="C10" s="571"/>
      <c r="D10" s="572" t="s">
        <v>1393</v>
      </c>
      <c r="E10" s="573"/>
      <c r="F10" s="573"/>
      <c r="G10" s="573"/>
      <c r="H10" s="573"/>
      <c r="I10" s="573"/>
      <c r="J10" s="574"/>
      <c r="K10" s="575" t="s">
        <v>1394</v>
      </c>
      <c r="L10" s="576"/>
      <c r="M10" s="577"/>
      <c r="P10" s="63"/>
      <c r="Q10" s="63"/>
    </row>
    <row r="11" spans="2:17" ht="17.25" customHeight="1">
      <c r="B11" s="578" t="s">
        <v>1395</v>
      </c>
      <c r="C11" s="579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80"/>
      <c r="C12" s="581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582" t="s">
        <v>1396</v>
      </c>
      <c r="C13" s="70" t="s">
        <v>1397</v>
      </c>
      <c r="D13" s="71">
        <f>SUMIFS('0814 4度C'!$K:$K,'0814 4度C'!$A:$A,"新豐6線",'0814 4度C'!$B:$B,"平均")</f>
        <v>130.43478260869566</v>
      </c>
      <c r="E13" s="72">
        <f>SUMIFS('0814 4度C'!$K:$K,'0814 4度C'!$A:$A,"新豐2線",'0814 4度C'!$B:$B,"平均")</f>
        <v>85.714285714285708</v>
      </c>
      <c r="F13" s="73">
        <f>SUMIFS('0814 4度C'!$K:$K,'0814 4度C'!$A:$A,"新豐5線",'0814 4度C'!$B:$B,"平均")</f>
        <v>90.517241379310349</v>
      </c>
      <c r="G13" s="73">
        <f>SUMIFS('0814 4度C'!$K:$K,'0814 4度C'!$A:$A,"新豐7線",'0814 4度C'!$B:$B,"平均")</f>
        <v>131.86813186813188</v>
      </c>
      <c r="H13" s="73">
        <f>SUMIFS('0814 4度C'!$K:$K,'0814 4度C'!$A:$A,"新豐3線",'0814 4度C'!$B:$B,"平均")</f>
        <v>324.32432432432432</v>
      </c>
      <c r="I13" s="73">
        <f>SUMIFS('0814 4度C'!$K:$K,'0814 4度C'!$A:$A,"新豐1線",'0814 4度C'!$B:$B,"平均")</f>
        <v>112</v>
      </c>
      <c r="J13" s="74">
        <f>SUMIFS('0814 4度C'!$K:$K,'0814 4度C'!$A:$A,"新豐10線",'0814 4度C'!$B:$B,"平均")</f>
        <v>292.6829268292683</v>
      </c>
      <c r="K13" s="75">
        <f>SUMIFS('0814 4度C'!$K:$K,'0814 4度C'!$A:$A,"新豐8線",'0814 4度C'!$B:$B,"平均")</f>
        <v>143.28358208955223</v>
      </c>
      <c r="L13" s="76">
        <f>SUMIFS('0814 4度C'!$K:$K,'0814 4度C'!$A:$A,"新豐9線",'0814 4度C'!$B:$B,"平均")</f>
        <v>120.75471698113208</v>
      </c>
      <c r="M13" s="74">
        <f>SUMIFS('0814 4度C'!$K:$K,'0814 4度C'!$A:$A,"新豐4線",'0814 4度C'!$B:$B,"平均")</f>
        <v>145.45454545454547</v>
      </c>
    </row>
    <row r="14" spans="2:17" ht="39.6" customHeight="1">
      <c r="B14" s="583"/>
      <c r="C14" s="77" t="s">
        <v>1398</v>
      </c>
      <c r="D14" s="78">
        <f>SUMIFS('0814 4度C'!$N:$N,'0814 4度C'!$A:$A,"新豐6線",'0814 4度C'!$B:$B,"平均")</f>
        <v>125.16889736949712</v>
      </c>
      <c r="E14" s="79">
        <f>SUMIFS('0814 4度C'!$N:$N,'0814 4度C'!$A:$A,"新豐2線",'0814 4度C'!$B:$B,"平均")</f>
        <v>81.88668721522167</v>
      </c>
      <c r="F14" s="79">
        <f>SUMIFS('0814 4度C'!$N:$N,'0814 4度C'!$A:$A,"新豐5線",'0814 4度C'!$B:$B,"平均")</f>
        <v>86.969725951974368</v>
      </c>
      <c r="G14" s="79">
        <f>SUMIFS('0814 4度C'!$N:$N,'0814 4度C'!$A:$A,"新豐7線",'0814 4度C'!$B:$B,"平均")</f>
        <v>127.24187465077293</v>
      </c>
      <c r="H14" s="79">
        <f>SUMIFS('0814 4度C'!$N:$N,'0814 4度C'!$A:$A,"新豐3線",'0814 4度C'!$B:$B,"平均")</f>
        <v>315.31686350835315</v>
      </c>
      <c r="I14" s="79">
        <f>SUMIFS('0814 4度C'!$N:$N,'0814 4度C'!$A:$A,"新豐1線",'0814 4度C'!$B:$B,"平均")</f>
        <v>107.78859723166161</v>
      </c>
      <c r="J14" s="80">
        <f>SUMIFS('0814 4度C'!$N:$N,'0814 4度C'!$A:$A,"新豐10線",'0814 4度C'!$B:$B,"平均")</f>
        <v>280.99900824434178</v>
      </c>
      <c r="K14" s="81">
        <f>SUMIFS('0814 4度C'!$N:$N,'0814 4度C'!$A:$A,"新豐8線",'0814 4度C'!$B:$B,"平均")</f>
        <v>136.82968191464028</v>
      </c>
      <c r="L14" s="82">
        <f>SUMIFS('0814 4度C'!$N:$N,'0814 4度C'!$A:$A,"新豐9線",'0814 4度C'!$B:$B,"平均")</f>
        <v>115.16547108474325</v>
      </c>
      <c r="M14" s="80">
        <f>SUMIFS('0814 4度C'!$N:$N,'0814 4度C'!$A:$A,"新豐4線",'0814 4度C'!$B:$B,"平均")</f>
        <v>139.13358698214122</v>
      </c>
    </row>
    <row r="15" spans="2:17" ht="40.15" customHeight="1">
      <c r="B15" s="584"/>
      <c r="C15" s="83" t="s">
        <v>1399</v>
      </c>
      <c r="D15" s="84">
        <f t="shared" ref="D15:M15" si="0">D14/D13</f>
        <v>0.95962821316614455</v>
      </c>
      <c r="E15" s="85">
        <f t="shared" si="0"/>
        <v>0.95534468417758622</v>
      </c>
      <c r="F15" s="85">
        <f t="shared" si="0"/>
        <v>0.96080840099324061</v>
      </c>
      <c r="G15" s="85">
        <f t="shared" si="0"/>
        <v>0.96491754943502794</v>
      </c>
      <c r="H15" s="85">
        <f t="shared" si="0"/>
        <v>0.97222699581742222</v>
      </c>
      <c r="I15" s="85">
        <f t="shared" si="0"/>
        <v>0.96239818956840728</v>
      </c>
      <c r="J15" s="86">
        <f t="shared" si="0"/>
        <v>0.96007994483483439</v>
      </c>
      <c r="K15" s="84">
        <f t="shared" si="0"/>
        <v>0.95495715502926037</v>
      </c>
      <c r="L15" s="85">
        <f t="shared" si="0"/>
        <v>0.95371405742052995</v>
      </c>
      <c r="M15" s="86">
        <f t="shared" si="0"/>
        <v>0.9565434105022208</v>
      </c>
    </row>
    <row r="16" spans="2:17" ht="17.25" customHeight="1">
      <c r="B16" s="585" t="s">
        <v>1400</v>
      </c>
      <c r="C16" s="87" t="s">
        <v>1401</v>
      </c>
      <c r="D16" s="88">
        <f>VLOOKUP("新豐6線",'0814 4度C'!$A:$T,19,0)</f>
        <v>0.70833333333333337</v>
      </c>
      <c r="E16" s="89">
        <f>VLOOKUP("新豐2線",'0814 4度C'!$A:$T,19,0)</f>
        <v>8.3333333333333329E-2</v>
      </c>
      <c r="F16" s="89">
        <f>VLOOKUP("新豐5線",'0814 4度C'!$A:$T,19,0)</f>
        <v>0.20833333333333334</v>
      </c>
      <c r="G16" s="89">
        <f>VLOOKUP("新豐7線",'0814 4度C'!$A:$T,19,0)</f>
        <v>0.20833333333333334</v>
      </c>
      <c r="H16" s="89">
        <f>VLOOKUP("新豐3線",'0814 4度C'!$A:$T,19,0)</f>
        <v>0.20833333333333334</v>
      </c>
      <c r="I16" s="89">
        <f>VLOOKUP("新豐1線",'0814 4度C'!$A:$T,19,0)</f>
        <v>0.20833333333333334</v>
      </c>
      <c r="J16" s="90">
        <f>VLOOKUP("新豐10線",'0814 4度C'!$A:$T,19,0)</f>
        <v>0.20833333333333334</v>
      </c>
      <c r="K16" s="91">
        <f>VLOOKUP("新豐8線",'0814 4度C'!$A:$T,19,0)</f>
        <v>8.3333333333333329E-2</v>
      </c>
      <c r="L16" s="92">
        <f>VLOOKUP("新豐9線",'0814 4度C'!$A:$T,19,0)</f>
        <v>8.3333333333333329E-2</v>
      </c>
      <c r="M16" s="93">
        <f>VLOOKUP("新豐4線",'0814 4度C'!$A:$T,19,0)</f>
        <v>8.3333333333333329E-2</v>
      </c>
    </row>
    <row r="17" spans="2:13" ht="17.25" customHeight="1">
      <c r="B17" s="586"/>
      <c r="C17" s="87" t="s">
        <v>1402</v>
      </c>
      <c r="D17" s="91">
        <f>LOOKUP(2,1/(('0814 4度C'!$A:$A="新豐6線")*('0814 4度C'!$T:$T&lt;&gt;"")),'0814 4度C'!$T:$T)</f>
        <v>0.82986111111111105</v>
      </c>
      <c r="E17" s="89">
        <f>LOOKUP(2,1/(('0814 4度C'!$A:$A="新豐2線")*('0814 4度C'!$T:$T&lt;&gt;"")),'0814 4度C'!$T:$T)</f>
        <v>0.5083333333333333</v>
      </c>
      <c r="F17" s="89">
        <f>LOOKUP(2,1/(('0814 4度C'!$A:$A="新豐5線")*('0814 4度C'!$T:$T&lt;&gt;"")),'0814 4度C'!$T:$T)</f>
        <v>0.8</v>
      </c>
      <c r="G17" s="89">
        <f>LOOKUP(2,1/(('0814 4度C'!$A:$A="新豐7線")*('0814 4度C'!$T:$T&lt;&gt;"")),'0814 4度C'!$T:$T)</f>
        <v>0.82777777777777783</v>
      </c>
      <c r="H17" s="89">
        <f>LOOKUP(2,1/(('0814 4度C'!$A:$A="新豐3線")*('0814 4度C'!$T:$T&lt;&gt;"")),'0814 4度C'!$T:$T)</f>
        <v>0.36527777777777776</v>
      </c>
      <c r="I17" s="89">
        <f>LOOKUP(2,1/(('0814 4度C'!$A:$A="新豐1線")*('0814 4度C'!$T:$T&lt;&gt;"")),'0814 4度C'!$T:$T)</f>
        <v>0.8041666666666667</v>
      </c>
      <c r="J17" s="90">
        <f>LOOKUP(2,1/(('0814 4度C'!$A:$A="新豐10線")*('0814 4度C'!$T:$T&lt;&gt;"")),'0814 4度C'!$T:$T)</f>
        <v>0.34930555555555554</v>
      </c>
      <c r="K17" s="88">
        <f>LOOKUP(2,1/(('0814 4度C'!$A:$A="新豐8線")*('0814 4度C'!$T:$T&lt;&gt;"")),'0814 4度C'!$T:$T)</f>
        <v>0.4590277777777777</v>
      </c>
      <c r="L17" s="89">
        <f>LOOKUP(2,1/(('0814 4度C'!$A:$A="新豐9線")*('0814 4度C'!$T:$T&lt;&gt;"")),'0814 4度C'!$T:$T)</f>
        <v>0.59375</v>
      </c>
      <c r="M17" s="90">
        <f>LOOKUP(2,1/(('0814 4度C'!$A:$A="新豐4線")*('0814 4度C'!$T:$T&lt;&gt;"")),'0814 4度C'!$T:$T)</f>
        <v>0.48402777777777772</v>
      </c>
    </row>
    <row r="18" spans="2:13" ht="17.25" customHeight="1">
      <c r="B18" s="564" t="s">
        <v>1403</v>
      </c>
      <c r="C18" s="94" t="s">
        <v>1404</v>
      </c>
      <c r="D18" s="95">
        <f>SUMIFS('0814 4度C'!$Y:$Y,'0814 4度C'!$A:$A,"新豐6線",'0814 4度C'!$B:$B,"平均")</f>
        <v>0</v>
      </c>
      <c r="E18" s="96">
        <f>SUMIFS('0814 4度C'!$Y:$Y,'0814 4度C'!$A:$A,"新豐2線",'0814 4度C'!$B:$B,"平均")</f>
        <v>0</v>
      </c>
      <c r="F18" s="96">
        <f>SUMIFS('0814 4度C'!$Y:$Y,'0814 4度C'!$A:$A,"新豐5線",'0814 4度C'!$B:$B,"平均")</f>
        <v>0</v>
      </c>
      <c r="G18" s="96">
        <f>SUMIFS('0814 4度C'!$Y:$Y,'0814 4度C'!$A:$A,"新豐7線",'0814 4度C'!$B:$B,"平均")</f>
        <v>0</v>
      </c>
      <c r="H18" s="96">
        <f>SUMIFS('0814 4度C'!$Y:$Y,'0814 4度C'!$A:$A,"新豐3線",'0814 4度C'!$B:$B,"平均")</f>
        <v>0</v>
      </c>
      <c r="I18" s="96">
        <f>SUMIFS('0814 4度C'!$Y:$Y,'0814 4度C'!$A:$A,"新豐1線",'0814 4度C'!$B:$B,"平均")</f>
        <v>0</v>
      </c>
      <c r="J18" s="97">
        <f>SUMIFS('0814 4度C'!$Y:$Y,'0814 4度C'!$A:$A,"新豐10線",'0814 4度C'!$B:$B,"平均")</f>
        <v>0</v>
      </c>
      <c r="K18" s="98">
        <f>SUMIFS('0814 4度C'!$Y:$Y,'0814 4度C'!$A:$A,"新豐8線",'0814 4度C'!$B:$B,"平均")</f>
        <v>0</v>
      </c>
      <c r="L18" s="96">
        <f>SUMIFS('0814 4度C'!$Y:$Y,'0814 4度C'!$A:$A,"新豐9線",'0814 4度C'!$B:$B,"平均")</f>
        <v>0</v>
      </c>
      <c r="M18" s="97">
        <f>SUMIFS('0814 4度C'!$Y:$Y,'0814 4度C'!$A:$A,"新豐4線",'0814 4度C'!$B:$B,"平均")</f>
        <v>0</v>
      </c>
    </row>
    <row r="19" spans="2:13" ht="17.25" customHeight="1">
      <c r="B19" s="565"/>
      <c r="C19" s="94" t="s">
        <v>1405</v>
      </c>
      <c r="D19" s="95">
        <f>SUMIFS('0814 4度C'!$Z:$Z,'0814 4度C'!$A:$A,"新豐6線",'0814 4度C'!$B:$B,"平均")</f>
        <v>0</v>
      </c>
      <c r="E19" s="96">
        <f>SUMIFS('0814 4度C'!$Z:$Z,'0814 4度C'!$A:$A,"新豐2線",'0814 4度C'!$B:$B,"平均")</f>
        <v>0</v>
      </c>
      <c r="F19" s="96">
        <f>SUMIFS('0814 4度C'!$Z:$Z,'0814 4度C'!$A:$A,"新豐5線",'0814 4度C'!$B:$B,"平均")</f>
        <v>0</v>
      </c>
      <c r="G19" s="96">
        <f>SUMIFS('0814 4度C'!$Z:$Z,'0814 4度C'!$A:$A,"新豐7線",'0814 4度C'!$B:$B,"平均")</f>
        <v>0</v>
      </c>
      <c r="H19" s="96">
        <f>SUMIFS('0814 4度C'!$Z:$Z,'0814 4度C'!$A:$A,"新豐3線",'0814 4度C'!$B:$B,"平均")</f>
        <v>0</v>
      </c>
      <c r="I19" s="96">
        <f>SUMIFS('0814 4度C'!$Z:$Z,'0814 4度C'!$A:$A,"新豐1線",'0814 4度C'!$B:$B,"平均")</f>
        <v>0</v>
      </c>
      <c r="J19" s="97">
        <f>SUMIFS('0814 4度C'!$Z:$Z,'0814 4度C'!$A:$A,"新豐10線",'0814 4度C'!$B:$B,"平均")</f>
        <v>0</v>
      </c>
      <c r="K19" s="98">
        <f>SUMIFS('0814 4度C'!$Z:$Z,'0814 4度C'!$A:$A,"新豐8線",'0814 4度C'!$B:$B,"平均")</f>
        <v>0</v>
      </c>
      <c r="L19" s="96">
        <f>SUMIFS('0814 4度C'!$Z:$Z,'0814 4度C'!$A:$A,"新豐9線",'0814 4度C'!$B:$B,"平均")</f>
        <v>0</v>
      </c>
      <c r="M19" s="97">
        <f>SUMIFS('0814 4度C'!$Z:$Z,'0814 4度C'!$A:$A,"新豐4線",'0814 4度C'!$B:$B,"平均")</f>
        <v>0</v>
      </c>
    </row>
    <row r="20" spans="2:13" ht="17.25" customHeight="1">
      <c r="B20" s="564" t="s">
        <v>1406</v>
      </c>
      <c r="C20" s="94" t="s">
        <v>1404</v>
      </c>
      <c r="D20" s="95">
        <f>SUMIFS('0814 4度C'!$AC:$AC,'0814 4度C'!$A:$A,"新豐6線",'0814 4度C'!$B:$B,"平均")</f>
        <v>3</v>
      </c>
      <c r="E20" s="96">
        <f>SUMIFS('0814 4度C'!$AC:$AC,'0814 4度C'!$A:$A,"新豐2線",'0814 4度C'!$B:$B,"平均")</f>
        <v>4</v>
      </c>
      <c r="F20" s="96">
        <f>SUMIFS('0814 4度C'!$AC:$AC,'0814 4度C'!$A:$A,"新豐5線",'0814 4度C'!$B:$B,"平均")</f>
        <v>6</v>
      </c>
      <c r="G20" s="96">
        <f>SUMIFS('0814 4度C'!$AC:$AC,'0814 4度C'!$A:$A,"新豐7線",'0814 4度C'!$B:$B,"平均")</f>
        <v>6</v>
      </c>
      <c r="H20" s="96">
        <f>SUMIFS('0814 4度C'!$AC:$AC,'0814 4度C'!$A:$A,"新豐3線",'0814 4度C'!$B:$B,"平均")</f>
        <v>4</v>
      </c>
      <c r="I20" s="96">
        <f>SUMIFS('0814 4度C'!$AC:$AC,'0814 4度C'!$A:$A,"新豐1線",'0814 4度C'!$B:$B,"平均")</f>
        <v>7</v>
      </c>
      <c r="J20" s="97">
        <f>SUMIFS('0814 4度C'!$AC:$AC,'0814 4度C'!$A:$A,"新豐10線",'0814 4度C'!$B:$B,"平均")</f>
        <v>4</v>
      </c>
      <c r="K20" s="98">
        <f>SUMIFS('0814 4度C'!$AC:$AC,'0814 4度C'!$A:$A,"新豐8線",'0814 4度C'!$B:$B,"平均")</f>
        <v>4</v>
      </c>
      <c r="L20" s="96">
        <f>SUMIFS('0814 4度C'!$AC:$AC,'0814 4度C'!$A:$A,"新豐9線",'0814 4度C'!$B:$B,"平均")</f>
        <v>6</v>
      </c>
      <c r="M20" s="97">
        <f>SUMIFS('0814 4度C'!$AC:$AC,'0814 4度C'!$A:$A,"新豐4線",'0814 4度C'!$B:$B,"平均")</f>
        <v>6</v>
      </c>
    </row>
    <row r="21" spans="2:13" ht="17.25" customHeight="1">
      <c r="B21" s="565"/>
      <c r="C21" s="94" t="s">
        <v>1407</v>
      </c>
      <c r="D21" s="95">
        <f>SUMIFS('0814 4度C'!$AD:$AD,'0814 4度C'!$A:$A,"新豐6線",'0814 4度C'!$B:$B,"平均")</f>
        <v>0</v>
      </c>
      <c r="E21" s="96">
        <f>SUMIFS('0814 4度C'!$AD:$AD,'0814 4度C'!$A:$A,"新豐2線",'0814 4度C'!$B:$B,"平均")</f>
        <v>0</v>
      </c>
      <c r="F21" s="96">
        <f>SUMIFS('0814 4度C'!$AD:$AD,'0814 4度C'!$A:$A,"新豐5線",'0814 4度C'!$B:$B,"平均")</f>
        <v>0</v>
      </c>
      <c r="G21" s="96">
        <f>SUMIFS('0814 4度C'!$AD:$AD,'0814 4度C'!$A:$A,"新豐7線",'0814 4度C'!$B:$B,"平均")</f>
        <v>0</v>
      </c>
      <c r="H21" s="96">
        <f>SUMIFS('0814 4度C'!$AD:$AD,'0814 4度C'!$A:$A,"新豐3線",'0814 4度C'!$B:$B,"平均")</f>
        <v>0</v>
      </c>
      <c r="I21" s="96">
        <f>SUMIFS('0814 4度C'!$AD:$AD,'0814 4度C'!$A:$A,"新豐1線",'0814 4度C'!$B:$B,"平均")</f>
        <v>0</v>
      </c>
      <c r="J21" s="97">
        <f>SUMIFS('0814 4度C'!$AD:$AD,'0814 4度C'!$A:$A,"新豐10線",'0814 4度C'!$B:$B,"平均")</f>
        <v>0</v>
      </c>
      <c r="K21" s="98">
        <f>SUMIFS('0814 4度C'!$AD:$AD,'0814 4度C'!$A:$A,"新豐8線",'0814 4度C'!$B:$B,"平均")</f>
        <v>0</v>
      </c>
      <c r="L21" s="96">
        <f>SUMIFS('0814 4度C'!$AD:$AD,'0814 4度C'!$A:$A,"新豐9線",'0814 4度C'!$B:$B,"平均")</f>
        <v>0</v>
      </c>
      <c r="M21" s="97">
        <f>SUMIFS('0814 4度C'!$AD:$AD,'0814 4度C'!$A:$A,"新豐4線",'0814 4度C'!$B:$B,"平均")</f>
        <v>0</v>
      </c>
    </row>
    <row r="22" spans="2:13" ht="17.25" customHeight="1">
      <c r="B22" s="566" t="s">
        <v>1408</v>
      </c>
      <c r="C22" s="567"/>
      <c r="D22" s="99">
        <f>SUMIFS('0814 4度C'!$I:$I,'0814 4度C'!$A:$A,"新豐6線",'0814 4度C'!$B:$B,"平均")</f>
        <v>15.333333333333334</v>
      </c>
      <c r="E22" s="100">
        <f>SUMIFS('0814 4度C'!$I:$I,'0814 4度C'!$A:$A,"新豐2線",'0814 4度C'!$B:$B,"平均")</f>
        <v>17.5</v>
      </c>
      <c r="F22" s="100">
        <f>SUMIFS('0814 4度C'!$I:$I,'0814 4度C'!$A:$A,"新豐5線",'0814 4度C'!$B:$B,"平均")</f>
        <v>19.333333333333332</v>
      </c>
      <c r="G22" s="100">
        <f>SUMIFS('0814 4度C'!$I:$I,'0814 4度C'!$A:$A,"新豐7線",'0814 4度C'!$B:$B,"平均")</f>
        <v>15.166666666666666</v>
      </c>
      <c r="H22" s="100">
        <f>SUMIFS('0814 4度C'!$I:$I,'0814 4度C'!$A:$A,"新豐3線",'0814 4度C'!$B:$B,"平均")</f>
        <v>9.25</v>
      </c>
      <c r="I22" s="100">
        <f>SUMIFS('0814 4度C'!$I:$I,'0814 4度C'!$A:$A,"新豐1線",'0814 4度C'!$B:$B,"平均")</f>
        <v>17.857142857142858</v>
      </c>
      <c r="J22" s="101">
        <f>SUMIFS('0814 4度C'!$I:$I,'0814 4度C'!$A:$A,"新豐10線",'0814 4度C'!$B:$B,"平均")</f>
        <v>10.25</v>
      </c>
      <c r="K22" s="99">
        <f>SUMIFS('0814 4度C'!$I:$I,'0814 4度C'!$A:$A,"新豐8線",'0814 4度C'!$B:$B,"平均")</f>
        <v>16.75</v>
      </c>
      <c r="L22" s="100">
        <f>SUMIFS('0814 4度C'!$I:$I,'0814 4度C'!$A:$A,"新豐9線",'0814 4度C'!$B:$B,"平均")</f>
        <v>17.666666666666668</v>
      </c>
      <c r="M22" s="101">
        <f>SUMIFS('0814 4度C'!$I:$I,'0814 4度C'!$A:$A,"新豐4線",'0814 4度C'!$B:$B,"平均")</f>
        <v>16.5</v>
      </c>
    </row>
    <row r="23" spans="2:13" ht="17.25" customHeight="1">
      <c r="B23" s="566" t="s">
        <v>1409</v>
      </c>
      <c r="C23" s="567"/>
      <c r="D23" s="102" t="s">
        <v>202</v>
      </c>
      <c r="E23" s="103" t="s">
        <v>203</v>
      </c>
      <c r="F23" s="103" t="s">
        <v>1024</v>
      </c>
      <c r="G23" s="103" t="s">
        <v>1410</v>
      </c>
      <c r="H23" s="103" t="s">
        <v>205</v>
      </c>
      <c r="I23" s="103" t="s">
        <v>202</v>
      </c>
      <c r="J23" s="104" t="s">
        <v>205</v>
      </c>
      <c r="K23" s="102" t="s">
        <v>1411</v>
      </c>
      <c r="L23" s="103" t="s">
        <v>1025</v>
      </c>
      <c r="M23" s="104" t="s">
        <v>1025</v>
      </c>
    </row>
    <row r="24" spans="2:13" ht="17.25" customHeight="1">
      <c r="B24" s="566" t="s">
        <v>1412</v>
      </c>
      <c r="C24" s="567"/>
      <c r="D24" s="102"/>
      <c r="E24" s="103"/>
      <c r="F24" s="103" t="s">
        <v>1413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68" t="s">
        <v>1028</v>
      </c>
      <c r="C25" s="569"/>
      <c r="D25" s="105"/>
      <c r="E25" s="106" t="s">
        <v>1414</v>
      </c>
      <c r="F25" s="562" t="s">
        <v>1415</v>
      </c>
      <c r="G25" s="563"/>
      <c r="H25" s="106" t="s">
        <v>1416</v>
      </c>
      <c r="I25" s="106" t="s">
        <v>1417</v>
      </c>
      <c r="J25" s="107" t="s">
        <v>1416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10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65"/>
  <sheetViews>
    <sheetView zoomScale="80" zoomScaleNormal="80" workbookViewId="0">
      <pane ySplit="4" topLeftCell="A5" activePane="bottomLeft" state="frozen"/>
      <selection activeCell="F9" sqref="F9"/>
      <selection pane="bottomLeft" activeCell="F9" sqref="F9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41" customWidth="1"/>
    <col min="20" max="20" width="7.625" style="41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29" width="15.125" style="41" customWidth="1"/>
    <col min="30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1418</v>
      </c>
      <c r="B1" s="1"/>
      <c r="C1" s="2" t="s">
        <v>1419</v>
      </c>
      <c r="D1" s="3">
        <f>SUM(F5:F64)</f>
        <v>129857</v>
      </c>
      <c r="E1" s="299" t="s">
        <v>1420</v>
      </c>
      <c r="F1" s="1">
        <f>SUM(G5:G64)</f>
        <v>4505896.2</v>
      </c>
      <c r="G1" s="1" t="s">
        <v>1421</v>
      </c>
      <c r="H1" s="5">
        <f>L8+L13+L44+L52+L20+L57+L32+L39+L27+L64</f>
        <v>155.60714285714286</v>
      </c>
      <c r="I1" s="676" t="s">
        <v>1422</v>
      </c>
      <c r="J1" s="676"/>
      <c r="K1" s="676"/>
      <c r="L1" s="676" t="s">
        <v>1423</v>
      </c>
      <c r="M1" s="676"/>
      <c r="N1" s="676"/>
      <c r="O1" s="676" t="s">
        <v>1424</v>
      </c>
      <c r="P1" s="676"/>
      <c r="Q1" s="676"/>
      <c r="R1" s="676"/>
      <c r="S1" s="676" t="s">
        <v>1425</v>
      </c>
      <c r="T1" s="676"/>
      <c r="U1" s="676"/>
      <c r="V1" s="676"/>
      <c r="W1" s="676"/>
      <c r="X1" s="676"/>
      <c r="Y1" s="6" t="s">
        <v>1426</v>
      </c>
      <c r="Z1" s="7" t="s">
        <v>1427</v>
      </c>
      <c r="AA1" s="677" t="s">
        <v>1428</v>
      </c>
      <c r="AB1" s="677"/>
      <c r="AC1" s="199" t="s">
        <v>1426</v>
      </c>
      <c r="AD1" s="7" t="s">
        <v>1429</v>
      </c>
      <c r="AE1" s="676" t="s">
        <v>1430</v>
      </c>
      <c r="AF1" s="678"/>
      <c r="AG1" s="678"/>
    </row>
    <row r="2" spans="1:33" ht="26.25" customHeight="1">
      <c r="A2" s="35">
        <v>46248</v>
      </c>
      <c r="B2" s="36" t="s">
        <v>780</v>
      </c>
      <c r="C2" s="2" t="s">
        <v>1396</v>
      </c>
      <c r="D2" s="10">
        <f>AVERAGE(N8,N13,N44,N52,N20,N57,N27,N32,N39,N64)</f>
        <v>151.65003941533476</v>
      </c>
      <c r="E2" s="11" t="s">
        <v>14</v>
      </c>
      <c r="F2" s="12">
        <f>F1/D1</f>
        <v>34.69890879967965</v>
      </c>
      <c r="G2" s="1" t="s">
        <v>1431</v>
      </c>
      <c r="H2" s="306">
        <f>COUNT(H5:H64)</f>
        <v>1</v>
      </c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14">
        <f>SUM(Y8+Y13+Y20+Y27+Y32+Y39+Y44+Y52+Y57+Y64)</f>
        <v>0</v>
      </c>
      <c r="Z2" s="14">
        <f>SUM(Z8+Z13+Z20+Z27+Z32+Z39+Z44+Z52+Z57+Z64)</f>
        <v>0</v>
      </c>
      <c r="AA2" s="677"/>
      <c r="AB2" s="677"/>
      <c r="AC2" s="200">
        <v>50</v>
      </c>
      <c r="AD2" s="14">
        <f>SUM(AD8+AD13+AD20+AD27+AD32+AD39+AD44+AD52+AD57+AD64)</f>
        <v>0</v>
      </c>
      <c r="AE2" s="678"/>
      <c r="AF2" s="678"/>
      <c r="AG2" s="678"/>
    </row>
    <row r="3" spans="1:33" ht="40.5" customHeight="1">
      <c r="A3" s="632" t="s">
        <v>1432</v>
      </c>
      <c r="B3" s="632" t="s">
        <v>1433</v>
      </c>
      <c r="C3" s="632" t="s">
        <v>1434</v>
      </c>
      <c r="D3" s="632"/>
      <c r="E3" s="674" t="s">
        <v>1435</v>
      </c>
      <c r="F3" s="632" t="s">
        <v>1436</v>
      </c>
      <c r="G3" s="674" t="s">
        <v>1437</v>
      </c>
      <c r="H3" s="667" t="s">
        <v>1438</v>
      </c>
      <c r="I3" s="665" t="s">
        <v>1439</v>
      </c>
      <c r="J3" s="662" t="s">
        <v>1440</v>
      </c>
      <c r="K3" s="672" t="s">
        <v>1396</v>
      </c>
      <c r="L3" s="665" t="s">
        <v>1439</v>
      </c>
      <c r="M3" s="662" t="s">
        <v>1440</v>
      </c>
      <c r="N3" s="672" t="s">
        <v>1396</v>
      </c>
      <c r="O3" s="665" t="s">
        <v>1439</v>
      </c>
      <c r="P3" s="672" t="s">
        <v>1396</v>
      </c>
      <c r="Q3" s="663" t="s">
        <v>1441</v>
      </c>
      <c r="R3" s="641" t="s">
        <v>1442</v>
      </c>
      <c r="S3" s="673" t="s">
        <v>29</v>
      </c>
      <c r="T3" s="673"/>
      <c r="U3" s="667" t="s">
        <v>30</v>
      </c>
      <c r="V3" s="667" t="s">
        <v>1443</v>
      </c>
      <c r="W3" s="632" t="s">
        <v>1444</v>
      </c>
      <c r="X3" s="632"/>
      <c r="Y3" s="668" t="s">
        <v>1445</v>
      </c>
      <c r="Z3" s="631"/>
      <c r="AA3" s="669" t="s">
        <v>1446</v>
      </c>
      <c r="AB3" s="670"/>
      <c r="AC3" s="668" t="s">
        <v>1447</v>
      </c>
      <c r="AD3" s="631"/>
      <c r="AE3" s="662" t="s">
        <v>1440</v>
      </c>
      <c r="AF3" s="663" t="s">
        <v>1448</v>
      </c>
      <c r="AG3" s="641" t="s">
        <v>1442</v>
      </c>
    </row>
    <row r="4" spans="1:33" ht="15.75" customHeight="1">
      <c r="A4" s="632"/>
      <c r="B4" s="632"/>
      <c r="C4" s="632"/>
      <c r="D4" s="632"/>
      <c r="E4" s="675"/>
      <c r="F4" s="632"/>
      <c r="G4" s="675"/>
      <c r="H4" s="667"/>
      <c r="I4" s="665"/>
      <c r="J4" s="662"/>
      <c r="K4" s="672"/>
      <c r="L4" s="665"/>
      <c r="M4" s="662"/>
      <c r="N4" s="672"/>
      <c r="O4" s="665"/>
      <c r="P4" s="672"/>
      <c r="Q4" s="663"/>
      <c r="R4" s="641"/>
      <c r="S4" s="305" t="s">
        <v>39</v>
      </c>
      <c r="T4" s="305" t="s">
        <v>40</v>
      </c>
      <c r="U4" s="667"/>
      <c r="V4" s="667"/>
      <c r="W4" s="299" t="s">
        <v>1449</v>
      </c>
      <c r="X4" s="299" t="s">
        <v>1450</v>
      </c>
      <c r="Y4" s="297" t="s">
        <v>1451</v>
      </c>
      <c r="Z4" s="297" t="s">
        <v>1452</v>
      </c>
      <c r="AA4" s="671"/>
      <c r="AB4" s="670"/>
      <c r="AC4" s="297" t="s">
        <v>1453</v>
      </c>
      <c r="AD4" s="297" t="s">
        <v>1454</v>
      </c>
      <c r="AE4" s="662"/>
      <c r="AF4" s="663"/>
      <c r="AG4" s="641"/>
    </row>
    <row r="5" spans="1:33">
      <c r="A5" s="664" t="s">
        <v>1455</v>
      </c>
      <c r="B5" s="42" t="s">
        <v>92</v>
      </c>
      <c r="C5" s="666" t="s">
        <v>93</v>
      </c>
      <c r="D5" s="666"/>
      <c r="E5" s="42">
        <v>50.92</v>
      </c>
      <c r="F5" s="305">
        <v>1763</v>
      </c>
      <c r="G5" s="299">
        <f t="shared" ref="G5:G7" si="0">E5*F5</f>
        <v>89771.96</v>
      </c>
      <c r="H5" s="37" t="s">
        <v>91</v>
      </c>
      <c r="I5" s="303">
        <v>15</v>
      </c>
      <c r="J5" s="39">
        <v>2000</v>
      </c>
      <c r="K5" s="17">
        <f t="shared" ref="K5:K64" si="1">J5/I5</f>
        <v>133.33333333333334</v>
      </c>
      <c r="L5" s="303">
        <v>15</v>
      </c>
      <c r="M5" s="18">
        <f t="shared" ref="M5:M7" si="2">F5/V5*60</f>
        <v>1923.2727272727286</v>
      </c>
      <c r="N5" s="17">
        <f t="shared" ref="N5:N64" si="3">M5/L5</f>
        <v>128.2181818181819</v>
      </c>
      <c r="O5" s="19">
        <f t="shared" ref="O5:O64" si="4">L5-I5</f>
        <v>0</v>
      </c>
      <c r="P5" s="20">
        <f t="shared" ref="P5:P64" si="5">N5-K5</f>
        <v>-5.1151515151514388</v>
      </c>
      <c r="Q5" s="298">
        <f t="shared" ref="Q5:Q64" si="6">N5/K5</f>
        <v>0.96163636363636418</v>
      </c>
      <c r="R5" s="637">
        <f>Q8</f>
        <v>0.95962821316614455</v>
      </c>
      <c r="S5" s="40">
        <v>0.70833333333333337</v>
      </c>
      <c r="T5" s="40">
        <v>0.74652777777777779</v>
      </c>
      <c r="U5" s="299"/>
      <c r="V5" s="304">
        <f t="shared" ref="V5:V7" si="7">(T5-S5)*24*60</f>
        <v>54.999999999999964</v>
      </c>
      <c r="W5" s="23"/>
      <c r="X5" s="23"/>
      <c r="Y5" s="24"/>
      <c r="Z5" s="24"/>
      <c r="AA5" s="632"/>
      <c r="AB5" s="632"/>
      <c r="AC5" s="135">
        <v>3</v>
      </c>
      <c r="AD5" s="25"/>
      <c r="AE5" s="19">
        <f t="shared" ref="AE5:AE51" si="8">M5-J5</f>
        <v>-76.727272727271384</v>
      </c>
      <c r="AF5" s="298">
        <f t="shared" ref="AF5:AF64" si="9">M5/J5</f>
        <v>0.96163636363636429</v>
      </c>
      <c r="AG5" s="637">
        <f>AF8</f>
        <v>0.95962821316614466</v>
      </c>
    </row>
    <row r="6" spans="1:33">
      <c r="A6" s="665" t="s">
        <v>1456</v>
      </c>
      <c r="B6" s="42" t="s">
        <v>92</v>
      </c>
      <c r="C6" s="666" t="s">
        <v>94</v>
      </c>
      <c r="D6" s="666"/>
      <c r="E6" s="42">
        <v>50.98</v>
      </c>
      <c r="F6" s="305">
        <v>1853</v>
      </c>
      <c r="G6" s="299">
        <f t="shared" si="0"/>
        <v>94465.939999999988</v>
      </c>
      <c r="H6" s="37" t="s">
        <v>91</v>
      </c>
      <c r="I6" s="303">
        <v>16</v>
      </c>
      <c r="J6" s="39">
        <v>2000</v>
      </c>
      <c r="K6" s="17">
        <f t="shared" si="1"/>
        <v>125</v>
      </c>
      <c r="L6" s="303">
        <v>16</v>
      </c>
      <c r="M6" s="18">
        <f t="shared" si="2"/>
        <v>1916.8965517241393</v>
      </c>
      <c r="N6" s="17">
        <f t="shared" si="3"/>
        <v>119.8060344827587</v>
      </c>
      <c r="O6" s="19">
        <f t="shared" si="4"/>
        <v>0</v>
      </c>
      <c r="P6" s="20">
        <f t="shared" si="5"/>
        <v>-5.1939655172412955</v>
      </c>
      <c r="Q6" s="298">
        <f t="shared" si="6"/>
        <v>0.9584482758620696</v>
      </c>
      <c r="R6" s="637"/>
      <c r="S6" s="40">
        <v>0.75</v>
      </c>
      <c r="T6" s="40">
        <v>0.79027777777777775</v>
      </c>
      <c r="U6" s="299">
        <f t="shared" ref="U6:U7" si="10">IF(S6=TIME(17,0,0),"",(S6-T5)*24*60)</f>
        <v>4.9999999999999822</v>
      </c>
      <c r="V6" s="304">
        <f t="shared" si="7"/>
        <v>57.999999999999957</v>
      </c>
      <c r="W6" s="23"/>
      <c r="X6" s="23"/>
      <c r="Y6" s="23"/>
      <c r="Z6" s="23"/>
      <c r="AA6" s="632"/>
      <c r="AB6" s="632"/>
      <c r="AC6" s="135"/>
      <c r="AD6" s="25"/>
      <c r="AE6" s="19">
        <f t="shared" si="8"/>
        <v>-83.103448275860728</v>
      </c>
      <c r="AF6" s="298">
        <f t="shared" si="9"/>
        <v>0.9584482758620696</v>
      </c>
      <c r="AG6" s="637"/>
    </row>
    <row r="7" spans="1:33">
      <c r="A7" s="665" t="s">
        <v>1455</v>
      </c>
      <c r="B7" s="42" t="s">
        <v>92</v>
      </c>
      <c r="C7" s="660" t="s">
        <v>109</v>
      </c>
      <c r="D7" s="661"/>
      <c r="E7" s="42">
        <v>50.49</v>
      </c>
      <c r="F7" s="305">
        <v>1598</v>
      </c>
      <c r="G7" s="299">
        <f t="shared" si="0"/>
        <v>80683.02</v>
      </c>
      <c r="H7" s="37" t="s">
        <v>91</v>
      </c>
      <c r="I7" s="303">
        <v>15</v>
      </c>
      <c r="J7" s="39">
        <v>2000</v>
      </c>
      <c r="K7" s="17">
        <f t="shared" si="1"/>
        <v>133.33333333333334</v>
      </c>
      <c r="L7" s="303">
        <v>15</v>
      </c>
      <c r="M7" s="18">
        <f t="shared" si="2"/>
        <v>1917.6000000000004</v>
      </c>
      <c r="N7" s="17">
        <f t="shared" si="3"/>
        <v>127.84000000000002</v>
      </c>
      <c r="O7" s="19">
        <f t="shared" si="4"/>
        <v>0</v>
      </c>
      <c r="P7" s="20">
        <f t="shared" si="5"/>
        <v>-5.4933333333333252</v>
      </c>
      <c r="Q7" s="298">
        <f t="shared" si="6"/>
        <v>0.9588000000000001</v>
      </c>
      <c r="R7" s="637"/>
      <c r="S7" s="40">
        <v>0.79513888888888884</v>
      </c>
      <c r="T7" s="40">
        <v>0.82986111111111105</v>
      </c>
      <c r="U7" s="299">
        <f t="shared" si="10"/>
        <v>6.9999999999999751</v>
      </c>
      <c r="V7" s="304">
        <f t="shared" si="7"/>
        <v>49.999999999999986</v>
      </c>
      <c r="W7" s="23"/>
      <c r="X7" s="23"/>
      <c r="Y7" s="26"/>
      <c r="Z7" s="26"/>
      <c r="AA7" s="627"/>
      <c r="AB7" s="628"/>
      <c r="AC7" s="135"/>
      <c r="AD7" s="27"/>
      <c r="AE7" s="19">
        <f t="shared" si="8"/>
        <v>-82.399999999999636</v>
      </c>
      <c r="AF7" s="298">
        <f t="shared" si="9"/>
        <v>0.95880000000000021</v>
      </c>
      <c r="AG7" s="637"/>
    </row>
    <row r="8" spans="1:33">
      <c r="A8" s="665" t="s">
        <v>1456</v>
      </c>
      <c r="B8" s="42" t="s">
        <v>1457</v>
      </c>
      <c r="C8" s="638"/>
      <c r="D8" s="638"/>
      <c r="E8" s="300"/>
      <c r="F8" s="44"/>
      <c r="G8" s="17"/>
      <c r="H8" s="305"/>
      <c r="I8" s="29">
        <v>15.333333333333334</v>
      </c>
      <c r="J8" s="39">
        <v>2000</v>
      </c>
      <c r="K8" s="17">
        <f t="shared" si="1"/>
        <v>130.43478260869566</v>
      </c>
      <c r="L8" s="29">
        <v>15.333333333333334</v>
      </c>
      <c r="M8" s="18">
        <f>AVERAGE(M5:M7)</f>
        <v>1919.2564263322893</v>
      </c>
      <c r="N8" s="17">
        <f t="shared" si="3"/>
        <v>125.16889736949712</v>
      </c>
      <c r="O8" s="19">
        <f t="shared" si="4"/>
        <v>0</v>
      </c>
      <c r="P8" s="20">
        <f t="shared" si="5"/>
        <v>-5.2658852391985391</v>
      </c>
      <c r="Q8" s="298">
        <f t="shared" si="6"/>
        <v>0.95962821316614455</v>
      </c>
      <c r="R8" s="637"/>
      <c r="S8" s="40"/>
      <c r="T8" s="40"/>
      <c r="U8" s="299"/>
      <c r="V8" s="304"/>
      <c r="W8" s="17"/>
      <c r="X8" s="17"/>
      <c r="Y8" s="30">
        <f>SUM(Y5:Y7)</f>
        <v>0</v>
      </c>
      <c r="Z8" s="30">
        <f>SUM(Z5:Z7)</f>
        <v>0</v>
      </c>
      <c r="AA8" s="631"/>
      <c r="AB8" s="631"/>
      <c r="AC8" s="30">
        <v>3</v>
      </c>
      <c r="AD8" s="30">
        <f>SUM(AD5:AD7)</f>
        <v>0</v>
      </c>
      <c r="AE8" s="19">
        <f t="shared" si="8"/>
        <v>-80.743573667710734</v>
      </c>
      <c r="AF8" s="298">
        <f t="shared" si="9"/>
        <v>0.95962821316614466</v>
      </c>
      <c r="AG8" s="637"/>
    </row>
    <row r="9" spans="1:33" ht="15.75" customHeight="1">
      <c r="A9" s="659" t="s">
        <v>1458</v>
      </c>
      <c r="B9" s="42" t="s">
        <v>96</v>
      </c>
      <c r="C9" s="660" t="s">
        <v>97</v>
      </c>
      <c r="D9" s="661"/>
      <c r="E9" s="42">
        <v>39.799999999999997</v>
      </c>
      <c r="F9" s="305">
        <v>5743</v>
      </c>
      <c r="G9" s="299">
        <f t="shared" ref="G9:G12" si="11">E9*F9</f>
        <v>228571.4</v>
      </c>
      <c r="H9" s="37" t="s">
        <v>91</v>
      </c>
      <c r="I9" s="303">
        <v>17</v>
      </c>
      <c r="J9" s="39">
        <v>1500</v>
      </c>
      <c r="K9" s="17">
        <f t="shared" si="1"/>
        <v>88.235294117647058</v>
      </c>
      <c r="L9" s="303">
        <v>17</v>
      </c>
      <c r="M9" s="18">
        <f t="shared" ref="M9:M12" si="12">F9/V9*60</f>
        <v>1429.7925311203317</v>
      </c>
      <c r="N9" s="17">
        <f t="shared" si="3"/>
        <v>84.105443007078335</v>
      </c>
      <c r="O9" s="19">
        <f t="shared" si="4"/>
        <v>0</v>
      </c>
      <c r="P9" s="20">
        <f t="shared" si="5"/>
        <v>-4.1298511105687226</v>
      </c>
      <c r="Q9" s="298">
        <f t="shared" si="6"/>
        <v>0.95319502074688778</v>
      </c>
      <c r="R9" s="637">
        <f>Q13</f>
        <v>0.95534468417758622</v>
      </c>
      <c r="S9" s="40">
        <v>8.3333333333333329E-2</v>
      </c>
      <c r="T9" s="40">
        <v>0.25069444444444444</v>
      </c>
      <c r="U9" s="299"/>
      <c r="V9" s="304">
        <f t="shared" ref="V9:V12" si="13">(T9-S9)*24*60</f>
        <v>241.00000000000006</v>
      </c>
      <c r="W9" s="23">
        <f>T9</f>
        <v>0.25069444444444444</v>
      </c>
      <c r="X9" s="23">
        <f>S10</f>
        <v>0.26944444444444443</v>
      </c>
      <c r="Y9" s="23"/>
      <c r="Z9" s="23"/>
      <c r="AA9" s="632"/>
      <c r="AB9" s="632"/>
      <c r="AC9" s="135">
        <v>4</v>
      </c>
      <c r="AD9" s="25"/>
      <c r="AE9" s="19">
        <f t="shared" si="8"/>
        <v>-70.20746887966834</v>
      </c>
      <c r="AF9" s="298">
        <f t="shared" si="9"/>
        <v>0.95319502074688778</v>
      </c>
      <c r="AG9" s="637">
        <f>AF13</f>
        <v>0.95534468417758611</v>
      </c>
    </row>
    <row r="10" spans="1:33" ht="15.75" customHeight="1">
      <c r="A10" s="659" t="s">
        <v>1458</v>
      </c>
      <c r="B10" s="42" t="s">
        <v>96</v>
      </c>
      <c r="C10" s="660" t="s">
        <v>98</v>
      </c>
      <c r="D10" s="661"/>
      <c r="E10" s="42">
        <v>39.46</v>
      </c>
      <c r="F10" s="305">
        <v>2048</v>
      </c>
      <c r="G10" s="299">
        <f t="shared" si="11"/>
        <v>80814.080000000002</v>
      </c>
      <c r="H10" s="37" t="s">
        <v>91</v>
      </c>
      <c r="I10" s="303">
        <v>15</v>
      </c>
      <c r="J10" s="39">
        <v>1500</v>
      </c>
      <c r="K10" s="17">
        <f t="shared" si="1"/>
        <v>100</v>
      </c>
      <c r="L10" s="303">
        <v>15</v>
      </c>
      <c r="M10" s="18">
        <f t="shared" si="12"/>
        <v>1445.6470588235293</v>
      </c>
      <c r="N10" s="17">
        <f t="shared" si="3"/>
        <v>96.376470588235279</v>
      </c>
      <c r="O10" s="19">
        <f t="shared" si="4"/>
        <v>0</v>
      </c>
      <c r="P10" s="20">
        <f t="shared" si="5"/>
        <v>-3.6235294117647214</v>
      </c>
      <c r="Q10" s="298">
        <f t="shared" si="6"/>
        <v>0.96376470588235275</v>
      </c>
      <c r="R10" s="637"/>
      <c r="S10" s="40">
        <v>0.26944444444444443</v>
      </c>
      <c r="T10" s="40">
        <v>0.32847222222222222</v>
      </c>
      <c r="U10" s="299">
        <f t="shared" ref="U10:U12" si="14">IF(S10=TIME(17,0,0),"",(S10-T9)*24*60)</f>
        <v>26.999999999999986</v>
      </c>
      <c r="V10" s="304">
        <f t="shared" si="13"/>
        <v>85.000000000000014</v>
      </c>
      <c r="W10" s="23"/>
      <c r="X10" s="23"/>
      <c r="Y10" s="23"/>
      <c r="Z10" s="23"/>
      <c r="AA10" s="632"/>
      <c r="AB10" s="632"/>
      <c r="AC10" s="135"/>
      <c r="AD10" s="25"/>
      <c r="AE10" s="19">
        <f t="shared" si="8"/>
        <v>-54.352941176470722</v>
      </c>
      <c r="AF10" s="298">
        <f t="shared" si="9"/>
        <v>0.96376470588235286</v>
      </c>
      <c r="AG10" s="637"/>
    </row>
    <row r="11" spans="1:33" ht="15.75" customHeight="1">
      <c r="A11" s="659" t="s">
        <v>1458</v>
      </c>
      <c r="B11" s="42" t="s">
        <v>96</v>
      </c>
      <c r="C11" s="660" t="s">
        <v>99</v>
      </c>
      <c r="D11" s="661"/>
      <c r="E11" s="42">
        <v>39.520000000000003</v>
      </c>
      <c r="F11" s="305">
        <v>1878</v>
      </c>
      <c r="G11" s="299">
        <f t="shared" si="11"/>
        <v>74218.560000000012</v>
      </c>
      <c r="H11" s="37" t="s">
        <v>91</v>
      </c>
      <c r="I11" s="303">
        <v>19</v>
      </c>
      <c r="J11" s="39">
        <v>1500</v>
      </c>
      <c r="K11" s="17">
        <f t="shared" si="1"/>
        <v>78.94736842105263</v>
      </c>
      <c r="L11" s="303">
        <v>19</v>
      </c>
      <c r="M11" s="18">
        <f t="shared" si="12"/>
        <v>1426.3291139240514</v>
      </c>
      <c r="N11" s="17">
        <f t="shared" si="3"/>
        <v>75.069953364423753</v>
      </c>
      <c r="O11" s="19">
        <f t="shared" si="4"/>
        <v>0</v>
      </c>
      <c r="P11" s="20">
        <f t="shared" si="5"/>
        <v>-3.8774150566288768</v>
      </c>
      <c r="Q11" s="298">
        <f t="shared" si="6"/>
        <v>0.95088607594936758</v>
      </c>
      <c r="R11" s="637"/>
      <c r="S11" s="40">
        <v>0.33402777777777776</v>
      </c>
      <c r="T11" s="40">
        <v>0.38888888888888884</v>
      </c>
      <c r="U11" s="299">
        <f t="shared" si="14"/>
        <v>7.9999999999999716</v>
      </c>
      <c r="V11" s="304">
        <f t="shared" si="13"/>
        <v>78.999999999999957</v>
      </c>
      <c r="W11" s="23"/>
      <c r="X11" s="23"/>
      <c r="Y11" s="23"/>
      <c r="Z11" s="23"/>
      <c r="AA11" s="632"/>
      <c r="AB11" s="632"/>
      <c r="AC11" s="135"/>
      <c r="AD11" s="25"/>
      <c r="AE11" s="19">
        <f t="shared" si="8"/>
        <v>-73.670886075948602</v>
      </c>
      <c r="AF11" s="298">
        <f t="shared" si="9"/>
        <v>0.95088607594936758</v>
      </c>
      <c r="AG11" s="637"/>
    </row>
    <row r="12" spans="1:33" ht="15.75" customHeight="1">
      <c r="A12" s="659" t="s">
        <v>1458</v>
      </c>
      <c r="B12" s="42" t="s">
        <v>96</v>
      </c>
      <c r="C12" s="660" t="s">
        <v>100</v>
      </c>
      <c r="D12" s="661"/>
      <c r="E12" s="42">
        <v>39.619999999999997</v>
      </c>
      <c r="F12" s="305">
        <v>3981</v>
      </c>
      <c r="G12" s="299">
        <f t="shared" si="11"/>
        <v>157727.22</v>
      </c>
      <c r="H12" s="37" t="s">
        <v>91</v>
      </c>
      <c r="I12" s="303">
        <v>19</v>
      </c>
      <c r="J12" s="39">
        <v>1500</v>
      </c>
      <c r="K12" s="17">
        <f t="shared" si="1"/>
        <v>78.94736842105263</v>
      </c>
      <c r="L12" s="303">
        <v>19</v>
      </c>
      <c r="M12" s="18">
        <f t="shared" si="12"/>
        <v>1430.2994011976043</v>
      </c>
      <c r="N12" s="17">
        <f t="shared" si="3"/>
        <v>75.278915852505492</v>
      </c>
      <c r="O12" s="19">
        <f t="shared" si="4"/>
        <v>0</v>
      </c>
      <c r="P12" s="20">
        <f t="shared" si="5"/>
        <v>-3.6684525685471385</v>
      </c>
      <c r="Q12" s="298">
        <f t="shared" si="6"/>
        <v>0.95353293413173623</v>
      </c>
      <c r="R12" s="637"/>
      <c r="S12" s="40">
        <v>0.39236111111111105</v>
      </c>
      <c r="T12" s="40">
        <v>0.5083333333333333</v>
      </c>
      <c r="U12" s="299">
        <f t="shared" si="14"/>
        <v>4.9999999999999822</v>
      </c>
      <c r="V12" s="304">
        <f t="shared" si="13"/>
        <v>167.00000000000006</v>
      </c>
      <c r="W12" s="23"/>
      <c r="X12" s="23"/>
      <c r="Y12" s="23"/>
      <c r="Z12" s="23"/>
      <c r="AA12" s="627"/>
      <c r="AB12" s="628"/>
      <c r="AC12" s="135"/>
      <c r="AD12" s="25"/>
      <c r="AE12" s="19">
        <f t="shared" si="8"/>
        <v>-69.700598802395689</v>
      </c>
      <c r="AF12" s="298">
        <f t="shared" si="9"/>
        <v>0.95353293413173623</v>
      </c>
      <c r="AG12" s="637"/>
    </row>
    <row r="13" spans="1:33" ht="16.5" customHeight="1">
      <c r="A13" s="659" t="s">
        <v>1458</v>
      </c>
      <c r="B13" s="42" t="s">
        <v>1459</v>
      </c>
      <c r="C13" s="638"/>
      <c r="D13" s="638"/>
      <c r="E13" s="300"/>
      <c r="F13" s="39"/>
      <c r="G13" s="18"/>
      <c r="H13" s="305"/>
      <c r="I13" s="29">
        <v>17.5</v>
      </c>
      <c r="J13" s="39">
        <v>1500</v>
      </c>
      <c r="K13" s="17">
        <f t="shared" si="1"/>
        <v>85.714285714285708</v>
      </c>
      <c r="L13" s="29">
        <v>17.5</v>
      </c>
      <c r="M13" s="18">
        <f>AVERAGE(M9:M12)</f>
        <v>1433.0170262663792</v>
      </c>
      <c r="N13" s="17">
        <f t="shared" si="3"/>
        <v>81.88668721522167</v>
      </c>
      <c r="O13" s="19">
        <f t="shared" si="4"/>
        <v>0</v>
      </c>
      <c r="P13" s="20">
        <f t="shared" si="5"/>
        <v>-3.8275984990640382</v>
      </c>
      <c r="Q13" s="298">
        <f t="shared" si="6"/>
        <v>0.95534468417758622</v>
      </c>
      <c r="R13" s="637"/>
      <c r="S13" s="40"/>
      <c r="T13" s="40"/>
      <c r="U13" s="17"/>
      <c r="V13" s="304"/>
      <c r="W13" s="17"/>
      <c r="X13" s="17"/>
      <c r="Y13" s="30">
        <f>SUM(Y9:Y12)</f>
        <v>0</v>
      </c>
      <c r="Z13" s="30">
        <f>SUM(Z9:Z12)</f>
        <v>0</v>
      </c>
      <c r="AA13" s="631"/>
      <c r="AB13" s="631"/>
      <c r="AC13" s="30">
        <v>4</v>
      </c>
      <c r="AD13" s="30">
        <f>SUM(AD9:AD12)</f>
        <v>0</v>
      </c>
      <c r="AE13" s="19">
        <f t="shared" si="8"/>
        <v>-66.982973733620838</v>
      </c>
      <c r="AF13" s="298">
        <f t="shared" si="9"/>
        <v>0.95534468417758611</v>
      </c>
      <c r="AG13" s="637"/>
    </row>
    <row r="14" spans="1:33" ht="16.5" customHeight="1">
      <c r="A14" s="657" t="s">
        <v>1460</v>
      </c>
      <c r="B14" s="305" t="s">
        <v>101</v>
      </c>
      <c r="C14" s="653" t="s">
        <v>102</v>
      </c>
      <c r="D14" s="653"/>
      <c r="E14" s="42">
        <v>31.11</v>
      </c>
      <c r="F14" s="305">
        <v>3080</v>
      </c>
      <c r="G14" s="299">
        <f t="shared" ref="G14:G19" si="15">E14*F14</f>
        <v>95818.8</v>
      </c>
      <c r="H14" s="37" t="s">
        <v>91</v>
      </c>
      <c r="I14" s="303">
        <v>14</v>
      </c>
      <c r="J14" s="39">
        <v>2000</v>
      </c>
      <c r="K14" s="17">
        <f t="shared" si="1"/>
        <v>142.85714285714286</v>
      </c>
      <c r="L14" s="303">
        <v>14</v>
      </c>
      <c r="M14" s="18">
        <f t="shared" ref="M14:M19" si="16">F14/V14*60</f>
        <v>1905.1546391752574</v>
      </c>
      <c r="N14" s="17">
        <f t="shared" si="3"/>
        <v>136.08247422680409</v>
      </c>
      <c r="O14" s="19">
        <f t="shared" si="4"/>
        <v>0</v>
      </c>
      <c r="P14" s="20">
        <f t="shared" si="5"/>
        <v>-6.7746686303387662</v>
      </c>
      <c r="Q14" s="298">
        <f t="shared" si="6"/>
        <v>0.95257731958762859</v>
      </c>
      <c r="R14" s="637">
        <f>Q20</f>
        <v>0.96080840099324061</v>
      </c>
      <c r="S14" s="40">
        <v>0.20833333333333334</v>
      </c>
      <c r="T14" s="40">
        <v>0.27569444444444446</v>
      </c>
      <c r="U14" s="299"/>
      <c r="V14" s="304">
        <f t="shared" ref="V14:V19" si="17">(T14-S14)*24*60</f>
        <v>97.000000000000014</v>
      </c>
      <c r="W14" s="23"/>
      <c r="X14" s="23"/>
      <c r="Y14" s="28"/>
      <c r="Z14" s="28"/>
      <c r="AA14" s="632"/>
      <c r="AB14" s="632"/>
      <c r="AC14" s="135">
        <v>6</v>
      </c>
      <c r="AD14" s="25"/>
      <c r="AE14" s="19">
        <f t="shared" si="8"/>
        <v>-94.845360824742556</v>
      </c>
      <c r="AF14" s="298">
        <f t="shared" si="9"/>
        <v>0.9525773195876287</v>
      </c>
      <c r="AG14" s="637">
        <f>AF20</f>
        <v>0.96080840099324061</v>
      </c>
    </row>
    <row r="15" spans="1:33" ht="16.5" customHeight="1">
      <c r="A15" s="658" t="s">
        <v>1460</v>
      </c>
      <c r="B15" s="305" t="s">
        <v>103</v>
      </c>
      <c r="C15" s="653" t="s">
        <v>104</v>
      </c>
      <c r="D15" s="653"/>
      <c r="E15" s="42">
        <v>38.619999999999997</v>
      </c>
      <c r="F15" s="305">
        <v>1896</v>
      </c>
      <c r="G15" s="299">
        <f t="shared" si="15"/>
        <v>73223.51999999999</v>
      </c>
      <c r="H15" s="37" t="s">
        <v>91</v>
      </c>
      <c r="I15" s="303">
        <v>24</v>
      </c>
      <c r="J15" s="39">
        <v>1500</v>
      </c>
      <c r="K15" s="17">
        <f t="shared" si="1"/>
        <v>62.5</v>
      </c>
      <c r="L15" s="303">
        <v>24</v>
      </c>
      <c r="M15" s="18">
        <f t="shared" si="16"/>
        <v>1439.9999999999991</v>
      </c>
      <c r="N15" s="17">
        <f t="shared" si="3"/>
        <v>59.999999999999964</v>
      </c>
      <c r="O15" s="19">
        <f t="shared" si="4"/>
        <v>0</v>
      </c>
      <c r="P15" s="20">
        <f t="shared" si="5"/>
        <v>-2.5000000000000355</v>
      </c>
      <c r="Q15" s="298">
        <f t="shared" si="6"/>
        <v>0.95999999999999941</v>
      </c>
      <c r="R15" s="637"/>
      <c r="S15" s="40">
        <v>0.28055555555555556</v>
      </c>
      <c r="T15" s="40">
        <v>0.3354166666666667</v>
      </c>
      <c r="U15" s="299">
        <f t="shared" ref="U15:U19" si="18">IF(S15=TIME(17,0,0),"",(S15-T14)*24*60)</f>
        <v>6.9999999999999751</v>
      </c>
      <c r="V15" s="304">
        <f t="shared" si="17"/>
        <v>79.000000000000043</v>
      </c>
      <c r="W15" s="23"/>
      <c r="X15" s="23"/>
      <c r="Y15" s="23"/>
      <c r="Z15" s="23"/>
      <c r="AA15" s="632"/>
      <c r="AB15" s="632"/>
      <c r="AC15" s="135"/>
      <c r="AD15" s="25"/>
      <c r="AE15" s="19">
        <f t="shared" si="8"/>
        <v>-60.000000000000909</v>
      </c>
      <c r="AF15" s="298">
        <f t="shared" si="9"/>
        <v>0.95999999999999941</v>
      </c>
      <c r="AG15" s="637"/>
    </row>
    <row r="16" spans="1:33" ht="16.5" customHeight="1">
      <c r="A16" s="658" t="s">
        <v>1460</v>
      </c>
      <c r="B16" s="305" t="s">
        <v>103</v>
      </c>
      <c r="C16" s="653" t="s">
        <v>105</v>
      </c>
      <c r="D16" s="653"/>
      <c r="E16" s="42">
        <v>41</v>
      </c>
      <c r="F16" s="305">
        <v>1565</v>
      </c>
      <c r="G16" s="299">
        <f t="shared" si="15"/>
        <v>64165</v>
      </c>
      <c r="H16" s="37" t="s">
        <v>91</v>
      </c>
      <c r="I16" s="303">
        <v>26</v>
      </c>
      <c r="J16" s="39">
        <v>1500</v>
      </c>
      <c r="K16" s="17">
        <f t="shared" si="1"/>
        <v>57.692307692307693</v>
      </c>
      <c r="L16" s="303">
        <v>26</v>
      </c>
      <c r="M16" s="18">
        <f t="shared" si="16"/>
        <v>1444.6153846153843</v>
      </c>
      <c r="N16" s="17">
        <f t="shared" si="3"/>
        <v>55.562130177514781</v>
      </c>
      <c r="O16" s="19">
        <f t="shared" si="4"/>
        <v>0</v>
      </c>
      <c r="P16" s="20">
        <f t="shared" si="5"/>
        <v>-2.1301775147929121</v>
      </c>
      <c r="Q16" s="298">
        <f t="shared" si="6"/>
        <v>0.96307692307692283</v>
      </c>
      <c r="R16" s="637"/>
      <c r="S16" s="40">
        <v>0.33888888888888891</v>
      </c>
      <c r="T16" s="40">
        <v>0.3840277777777778</v>
      </c>
      <c r="U16" s="299">
        <f t="shared" si="18"/>
        <v>4.9999999999999822</v>
      </c>
      <c r="V16" s="304">
        <f t="shared" si="17"/>
        <v>65.000000000000014</v>
      </c>
      <c r="W16" s="23"/>
      <c r="X16" s="23"/>
      <c r="Y16" s="23"/>
      <c r="Z16" s="23"/>
      <c r="AA16" s="632"/>
      <c r="AB16" s="632"/>
      <c r="AC16" s="135"/>
      <c r="AD16" s="25"/>
      <c r="AE16" s="19">
        <f t="shared" si="8"/>
        <v>-55.384615384615699</v>
      </c>
      <c r="AF16" s="298">
        <f t="shared" si="9"/>
        <v>0.96307692307692283</v>
      </c>
      <c r="AG16" s="637"/>
    </row>
    <row r="17" spans="1:33" ht="16.5" customHeight="1">
      <c r="A17" s="658" t="s">
        <v>1460</v>
      </c>
      <c r="B17" s="305" t="s">
        <v>92</v>
      </c>
      <c r="C17" s="653" t="s">
        <v>108</v>
      </c>
      <c r="D17" s="653"/>
      <c r="E17" s="42">
        <v>54.5</v>
      </c>
      <c r="F17" s="305">
        <v>1095</v>
      </c>
      <c r="G17" s="299">
        <f t="shared" si="15"/>
        <v>59677.5</v>
      </c>
      <c r="H17" s="37" t="s">
        <v>91</v>
      </c>
      <c r="I17" s="303">
        <v>20</v>
      </c>
      <c r="J17" s="39">
        <v>1500</v>
      </c>
      <c r="K17" s="17">
        <f t="shared" si="1"/>
        <v>75</v>
      </c>
      <c r="L17" s="303">
        <v>20</v>
      </c>
      <c r="M17" s="18">
        <f t="shared" si="16"/>
        <v>1428.2608695652175</v>
      </c>
      <c r="N17" s="17">
        <f t="shared" si="3"/>
        <v>71.413043478260875</v>
      </c>
      <c r="O17" s="19">
        <f t="shared" si="4"/>
        <v>0</v>
      </c>
      <c r="P17" s="20">
        <f t="shared" si="5"/>
        <v>-3.5869565217391255</v>
      </c>
      <c r="Q17" s="298">
        <f t="shared" si="6"/>
        <v>0.95217391304347831</v>
      </c>
      <c r="R17" s="637"/>
      <c r="S17" s="40">
        <v>0.70833333333333337</v>
      </c>
      <c r="T17" s="40">
        <v>0.74027777777777781</v>
      </c>
      <c r="U17" s="299" t="str">
        <f t="shared" si="18"/>
        <v/>
      </c>
      <c r="V17" s="304">
        <f t="shared" si="17"/>
        <v>46</v>
      </c>
      <c r="W17" s="23"/>
      <c r="X17" s="23"/>
      <c r="Y17" s="23"/>
      <c r="Z17" s="23"/>
      <c r="AA17" s="632"/>
      <c r="AB17" s="632"/>
      <c r="AC17" s="135"/>
      <c r="AD17" s="25"/>
      <c r="AE17" s="19">
        <f t="shared" si="8"/>
        <v>-71.73913043478251</v>
      </c>
      <c r="AF17" s="298">
        <f t="shared" si="9"/>
        <v>0.95217391304347831</v>
      </c>
      <c r="AG17" s="637"/>
    </row>
    <row r="18" spans="1:33" ht="16.5" customHeight="1">
      <c r="A18" s="658" t="s">
        <v>1460</v>
      </c>
      <c r="B18" s="305" t="s">
        <v>92</v>
      </c>
      <c r="C18" s="653" t="s">
        <v>107</v>
      </c>
      <c r="D18" s="653"/>
      <c r="E18" s="42">
        <v>50.67</v>
      </c>
      <c r="F18" s="305">
        <v>1320</v>
      </c>
      <c r="G18" s="299">
        <f t="shared" si="15"/>
        <v>66884.400000000009</v>
      </c>
      <c r="H18" s="37" t="s">
        <v>91</v>
      </c>
      <c r="I18" s="303">
        <v>17</v>
      </c>
      <c r="J18" s="39">
        <v>2000</v>
      </c>
      <c r="K18" s="17">
        <f t="shared" si="1"/>
        <v>117.64705882352941</v>
      </c>
      <c r="L18" s="303">
        <v>17</v>
      </c>
      <c r="M18" s="18">
        <f t="shared" si="16"/>
        <v>1931.7073170731699</v>
      </c>
      <c r="N18" s="17">
        <f t="shared" si="3"/>
        <v>113.6298421807747</v>
      </c>
      <c r="O18" s="19">
        <f t="shared" si="4"/>
        <v>0</v>
      </c>
      <c r="P18" s="20">
        <f t="shared" si="5"/>
        <v>-4.017216642754704</v>
      </c>
      <c r="Q18" s="298">
        <f t="shared" si="6"/>
        <v>0.965853658536585</v>
      </c>
      <c r="R18" s="637"/>
      <c r="S18" s="40">
        <v>0.74375000000000002</v>
      </c>
      <c r="T18" s="40">
        <v>0.77222222222222225</v>
      </c>
      <c r="U18" s="299">
        <f t="shared" si="18"/>
        <v>4.9999999999999822</v>
      </c>
      <c r="V18" s="304">
        <f t="shared" si="17"/>
        <v>41.000000000000014</v>
      </c>
      <c r="W18" s="23"/>
      <c r="X18" s="23"/>
      <c r="Y18" s="23"/>
      <c r="Z18" s="23"/>
      <c r="AA18" s="632"/>
      <c r="AB18" s="632"/>
      <c r="AC18" s="135"/>
      <c r="AD18" s="25"/>
      <c r="AE18" s="19">
        <f t="shared" si="8"/>
        <v>-68.292682926830139</v>
      </c>
      <c r="AF18" s="298">
        <f t="shared" si="9"/>
        <v>0.96585365853658489</v>
      </c>
      <c r="AG18" s="637"/>
    </row>
    <row r="19" spans="1:33" ht="16.5" customHeight="1">
      <c r="A19" s="658" t="s">
        <v>1460</v>
      </c>
      <c r="B19" s="305" t="s">
        <v>92</v>
      </c>
      <c r="C19" s="301" t="s">
        <v>95</v>
      </c>
      <c r="D19" s="302"/>
      <c r="E19" s="42">
        <v>50.67</v>
      </c>
      <c r="F19" s="305">
        <v>1034</v>
      </c>
      <c r="G19" s="299">
        <f t="shared" si="15"/>
        <v>52392.78</v>
      </c>
      <c r="H19" s="37" t="s">
        <v>91</v>
      </c>
      <c r="I19" s="303">
        <v>15</v>
      </c>
      <c r="J19" s="39">
        <v>2000</v>
      </c>
      <c r="K19" s="17">
        <f t="shared" si="1"/>
        <v>133.33333333333334</v>
      </c>
      <c r="L19" s="303">
        <v>15</v>
      </c>
      <c r="M19" s="18">
        <f t="shared" si="16"/>
        <v>1938.7499999999975</v>
      </c>
      <c r="N19" s="17">
        <f t="shared" si="3"/>
        <v>129.24999999999983</v>
      </c>
      <c r="O19" s="19">
        <f t="shared" si="4"/>
        <v>0</v>
      </c>
      <c r="P19" s="20">
        <f t="shared" si="5"/>
        <v>-4.0833333333335133</v>
      </c>
      <c r="Q19" s="298">
        <f t="shared" si="6"/>
        <v>0.96937499999999865</v>
      </c>
      <c r="R19" s="637"/>
      <c r="S19" s="40">
        <v>0.77777777777777779</v>
      </c>
      <c r="T19" s="40">
        <v>0.8</v>
      </c>
      <c r="U19" s="299">
        <f t="shared" si="18"/>
        <v>7.9999999999999716</v>
      </c>
      <c r="V19" s="304">
        <f t="shared" si="17"/>
        <v>32.000000000000043</v>
      </c>
      <c r="W19" s="23"/>
      <c r="X19" s="23"/>
      <c r="Y19" s="26"/>
      <c r="Z19" s="26"/>
      <c r="AA19" s="294"/>
      <c r="AB19" s="295"/>
      <c r="AC19" s="135"/>
      <c r="AD19" s="25"/>
      <c r="AE19" s="19">
        <f t="shared" si="8"/>
        <v>-61.250000000002501</v>
      </c>
      <c r="AF19" s="298">
        <f t="shared" si="9"/>
        <v>0.96937499999999877</v>
      </c>
      <c r="AG19" s="637"/>
    </row>
    <row r="20" spans="1:33" ht="16.5" customHeight="1">
      <c r="A20" s="658" t="s">
        <v>1460</v>
      </c>
      <c r="B20" s="42" t="s">
        <v>1459</v>
      </c>
      <c r="C20" s="638"/>
      <c r="D20" s="638"/>
      <c r="E20" s="300"/>
      <c r="F20" s="44"/>
      <c r="G20" s="17"/>
      <c r="H20" s="305"/>
      <c r="I20" s="29">
        <v>19.333333333333332</v>
      </c>
      <c r="J20" s="39">
        <v>1750</v>
      </c>
      <c r="K20" s="17">
        <f t="shared" si="1"/>
        <v>90.517241379310349</v>
      </c>
      <c r="L20" s="29">
        <v>19.333333333333332</v>
      </c>
      <c r="M20" s="18">
        <f>AVERAGE(M14:M19)</f>
        <v>1681.4147017381711</v>
      </c>
      <c r="N20" s="17">
        <f t="shared" si="3"/>
        <v>86.969725951974368</v>
      </c>
      <c r="O20" s="19">
        <f t="shared" si="4"/>
        <v>0</v>
      </c>
      <c r="P20" s="20">
        <f t="shared" si="5"/>
        <v>-3.5475154273359806</v>
      </c>
      <c r="Q20" s="298">
        <f t="shared" si="6"/>
        <v>0.96080840099324061</v>
      </c>
      <c r="R20" s="637"/>
      <c r="S20" s="40"/>
      <c r="T20" s="40"/>
      <c r="U20" s="299"/>
      <c r="V20" s="304"/>
      <c r="W20" s="17"/>
      <c r="X20" s="17"/>
      <c r="Y20" s="30">
        <f>SUM(Y14:Y19)</f>
        <v>0</v>
      </c>
      <c r="Z20" s="30">
        <f>SUM(Z14:Z19)</f>
        <v>0</v>
      </c>
      <c r="AA20" s="631"/>
      <c r="AB20" s="631"/>
      <c r="AC20" s="30">
        <v>6</v>
      </c>
      <c r="AD20" s="30">
        <f>SUM(AD14:AD19)</f>
        <v>0</v>
      </c>
      <c r="AE20" s="19">
        <f t="shared" si="8"/>
        <v>-68.585298261828939</v>
      </c>
      <c r="AF20" s="298">
        <f t="shared" si="9"/>
        <v>0.96080840099324061</v>
      </c>
      <c r="AG20" s="637"/>
    </row>
    <row r="21" spans="1:33" ht="15.75" customHeight="1">
      <c r="A21" s="655" t="s">
        <v>1461</v>
      </c>
      <c r="B21" s="42" t="s">
        <v>92</v>
      </c>
      <c r="C21" s="653" t="s">
        <v>110</v>
      </c>
      <c r="D21" s="653"/>
      <c r="E21" s="42">
        <v>50.67</v>
      </c>
      <c r="F21" s="305">
        <v>1272</v>
      </c>
      <c r="G21" s="299">
        <f t="shared" ref="G21:G26" si="19">E21*F21</f>
        <v>64452.240000000005</v>
      </c>
      <c r="H21" s="37" t="s">
        <v>91</v>
      </c>
      <c r="I21" s="303">
        <v>17</v>
      </c>
      <c r="J21" s="39">
        <v>2000</v>
      </c>
      <c r="K21" s="17">
        <f t="shared" si="1"/>
        <v>117.64705882352941</v>
      </c>
      <c r="L21" s="303">
        <v>17</v>
      </c>
      <c r="M21" s="18">
        <f t="shared" ref="M21:M26" si="20">F21/V21*60</f>
        <v>1908.0000000000011</v>
      </c>
      <c r="N21" s="17">
        <f t="shared" si="3"/>
        <v>112.23529411764713</v>
      </c>
      <c r="O21" s="19">
        <f t="shared" si="4"/>
        <v>0</v>
      </c>
      <c r="P21" s="20">
        <f t="shared" si="5"/>
        <v>-5.4117647058822769</v>
      </c>
      <c r="Q21" s="298">
        <f t="shared" si="6"/>
        <v>0.95400000000000063</v>
      </c>
      <c r="R21" s="637">
        <f>Q27</f>
        <v>0.96491754943502794</v>
      </c>
      <c r="S21" s="40">
        <v>0.20833333333333334</v>
      </c>
      <c r="T21" s="40">
        <v>0.2361111111111111</v>
      </c>
      <c r="U21" s="299"/>
      <c r="V21" s="304">
        <f t="shared" ref="V21:V26" si="21">(T21-S21)*24*60</f>
        <v>39.999999999999979</v>
      </c>
      <c r="W21" s="23"/>
      <c r="X21" s="23"/>
      <c r="Y21" s="28"/>
      <c r="Z21" s="28"/>
      <c r="AA21" s="632"/>
      <c r="AB21" s="632"/>
      <c r="AC21" s="135">
        <v>6</v>
      </c>
      <c r="AD21" s="25"/>
      <c r="AE21" s="19">
        <f t="shared" si="8"/>
        <v>-91.999999999998863</v>
      </c>
      <c r="AF21" s="298">
        <f t="shared" si="9"/>
        <v>0.95400000000000051</v>
      </c>
      <c r="AG21" s="637">
        <f>AF27</f>
        <v>0.96491754943502805</v>
      </c>
    </row>
    <row r="22" spans="1:33" ht="15.75" customHeight="1">
      <c r="A22" s="656" t="s">
        <v>1462</v>
      </c>
      <c r="B22" s="42" t="s">
        <v>92</v>
      </c>
      <c r="C22" s="653" t="s">
        <v>111</v>
      </c>
      <c r="D22" s="653"/>
      <c r="E22" s="42">
        <v>57.73</v>
      </c>
      <c r="F22" s="305">
        <v>1881</v>
      </c>
      <c r="G22" s="299">
        <f t="shared" si="19"/>
        <v>108590.12999999999</v>
      </c>
      <c r="H22" s="37" t="s">
        <v>91</v>
      </c>
      <c r="I22" s="303">
        <v>14</v>
      </c>
      <c r="J22" s="39">
        <v>2000</v>
      </c>
      <c r="K22" s="17">
        <f t="shared" si="1"/>
        <v>142.85714285714286</v>
      </c>
      <c r="L22" s="303">
        <v>14</v>
      </c>
      <c r="M22" s="18">
        <f t="shared" si="20"/>
        <v>1912.8813559322036</v>
      </c>
      <c r="N22" s="17">
        <f t="shared" si="3"/>
        <v>136.63438256658597</v>
      </c>
      <c r="O22" s="19">
        <f t="shared" si="4"/>
        <v>0</v>
      </c>
      <c r="P22" s="20">
        <f t="shared" si="5"/>
        <v>-6.2227602905568915</v>
      </c>
      <c r="Q22" s="298">
        <f t="shared" si="6"/>
        <v>0.95644067796610177</v>
      </c>
      <c r="R22" s="637"/>
      <c r="S22" s="40">
        <v>0.24166666666666667</v>
      </c>
      <c r="T22" s="40">
        <v>0.28263888888888888</v>
      </c>
      <c r="U22" s="299">
        <f t="shared" ref="U22:U26" si="22">IF(S22=TIME(17,0,0),"",(S22-T21)*24*60)</f>
        <v>8.0000000000000107</v>
      </c>
      <c r="V22" s="304">
        <f t="shared" si="21"/>
        <v>58.999999999999993</v>
      </c>
      <c r="W22" s="23"/>
      <c r="X22" s="299"/>
      <c r="Y22" s="299"/>
      <c r="Z22" s="299"/>
      <c r="AA22" s="632"/>
      <c r="AB22" s="632"/>
      <c r="AC22" s="135"/>
      <c r="AD22" s="25"/>
      <c r="AE22" s="19">
        <f t="shared" si="8"/>
        <v>-87.118644067796367</v>
      </c>
      <c r="AF22" s="298">
        <f t="shared" si="9"/>
        <v>0.95644067796610177</v>
      </c>
      <c r="AG22" s="637"/>
    </row>
    <row r="23" spans="1:33" ht="15.75" customHeight="1">
      <c r="A23" s="656" t="s">
        <v>58</v>
      </c>
      <c r="B23" s="42" t="s">
        <v>92</v>
      </c>
      <c r="C23" s="653" t="s">
        <v>112</v>
      </c>
      <c r="D23" s="653"/>
      <c r="E23" s="42">
        <v>53.27</v>
      </c>
      <c r="F23" s="305">
        <v>1033</v>
      </c>
      <c r="G23" s="299">
        <f t="shared" si="19"/>
        <v>55027.91</v>
      </c>
      <c r="H23" s="37" t="s">
        <v>91</v>
      </c>
      <c r="I23" s="303">
        <v>16</v>
      </c>
      <c r="J23" s="39">
        <v>2000</v>
      </c>
      <c r="K23" s="17">
        <f t="shared" si="1"/>
        <v>125</v>
      </c>
      <c r="L23" s="303">
        <v>16</v>
      </c>
      <c r="M23" s="18">
        <f t="shared" si="20"/>
        <v>1936.875000000002</v>
      </c>
      <c r="N23" s="17">
        <f t="shared" si="3"/>
        <v>121.05468750000013</v>
      </c>
      <c r="O23" s="19">
        <f t="shared" si="4"/>
        <v>0</v>
      </c>
      <c r="P23" s="20">
        <f t="shared" si="5"/>
        <v>-3.9453124999998721</v>
      </c>
      <c r="Q23" s="298">
        <f t="shared" si="6"/>
        <v>0.96843750000000106</v>
      </c>
      <c r="R23" s="637"/>
      <c r="S23" s="40">
        <v>0.28749999999999998</v>
      </c>
      <c r="T23" s="40">
        <v>0.30972222222222218</v>
      </c>
      <c r="U23" s="299">
        <f t="shared" si="22"/>
        <v>6.9999999999999751</v>
      </c>
      <c r="V23" s="304">
        <f t="shared" si="21"/>
        <v>31.999999999999964</v>
      </c>
      <c r="W23" s="23"/>
      <c r="X23" s="299"/>
      <c r="Y23" s="299"/>
      <c r="Z23" s="299"/>
      <c r="AA23" s="632"/>
      <c r="AB23" s="632"/>
      <c r="AC23" s="135"/>
      <c r="AD23" s="25"/>
      <c r="AE23" s="19">
        <f t="shared" si="8"/>
        <v>-63.124999999997954</v>
      </c>
      <c r="AF23" s="298">
        <f t="shared" si="9"/>
        <v>0.96843750000000106</v>
      </c>
      <c r="AG23" s="637"/>
    </row>
    <row r="24" spans="1:33" ht="15.75" customHeight="1">
      <c r="A24" s="656" t="s">
        <v>58</v>
      </c>
      <c r="B24" s="42" t="s">
        <v>92</v>
      </c>
      <c r="C24" s="653" t="s">
        <v>113</v>
      </c>
      <c r="D24" s="653"/>
      <c r="E24" s="42">
        <v>56.43</v>
      </c>
      <c r="F24" s="305">
        <v>983</v>
      </c>
      <c r="G24" s="299">
        <f t="shared" si="19"/>
        <v>55470.69</v>
      </c>
      <c r="H24" s="37" t="s">
        <v>91</v>
      </c>
      <c r="I24" s="303">
        <v>13</v>
      </c>
      <c r="J24" s="39">
        <v>2000</v>
      </c>
      <c r="K24" s="17">
        <f t="shared" si="1"/>
        <v>153.84615384615384</v>
      </c>
      <c r="L24" s="303">
        <v>13</v>
      </c>
      <c r="M24" s="18">
        <f t="shared" si="20"/>
        <v>1965.9999999999966</v>
      </c>
      <c r="N24" s="17">
        <f t="shared" si="3"/>
        <v>151.23076923076897</v>
      </c>
      <c r="O24" s="19">
        <f t="shared" si="4"/>
        <v>0</v>
      </c>
      <c r="P24" s="20">
        <f t="shared" si="5"/>
        <v>-2.615384615384869</v>
      </c>
      <c r="Q24" s="298">
        <f t="shared" si="6"/>
        <v>0.98299999999999832</v>
      </c>
      <c r="R24" s="637"/>
      <c r="S24" s="40">
        <v>0.70833333333333337</v>
      </c>
      <c r="T24" s="40">
        <v>0.72916666666666674</v>
      </c>
      <c r="U24" s="299" t="str">
        <f t="shared" si="22"/>
        <v/>
      </c>
      <c r="V24" s="304">
        <f t="shared" si="21"/>
        <v>30.000000000000053</v>
      </c>
      <c r="W24" s="23"/>
      <c r="X24" s="299"/>
      <c r="Y24" s="299"/>
      <c r="Z24" s="299"/>
      <c r="AA24" s="632"/>
      <c r="AB24" s="632"/>
      <c r="AC24" s="135"/>
      <c r="AD24" s="25"/>
      <c r="AE24" s="19">
        <f t="shared" si="8"/>
        <v>-34.000000000003411</v>
      </c>
      <c r="AF24" s="298">
        <f t="shared" si="9"/>
        <v>0.98299999999999832</v>
      </c>
      <c r="AG24" s="637"/>
    </row>
    <row r="25" spans="1:33" ht="15.75" customHeight="1">
      <c r="A25" s="656" t="s">
        <v>1462</v>
      </c>
      <c r="B25" s="42" t="s">
        <v>92</v>
      </c>
      <c r="C25" s="653" t="s">
        <v>140</v>
      </c>
      <c r="D25" s="653"/>
      <c r="E25" s="42">
        <v>51.06</v>
      </c>
      <c r="F25" s="305">
        <v>2240</v>
      </c>
      <c r="G25" s="299">
        <f t="shared" si="19"/>
        <v>114374.40000000001</v>
      </c>
      <c r="H25" s="37" t="s">
        <v>91</v>
      </c>
      <c r="I25" s="303">
        <v>13</v>
      </c>
      <c r="J25" s="39">
        <v>2000</v>
      </c>
      <c r="K25" s="17">
        <f t="shared" si="1"/>
        <v>153.84615384615384</v>
      </c>
      <c r="L25" s="303">
        <v>13</v>
      </c>
      <c r="M25" s="18">
        <f t="shared" si="20"/>
        <v>1919.9999999999982</v>
      </c>
      <c r="N25" s="17">
        <f t="shared" si="3"/>
        <v>147.69230769230757</v>
      </c>
      <c r="O25" s="19">
        <f t="shared" si="4"/>
        <v>0</v>
      </c>
      <c r="P25" s="20">
        <f t="shared" si="5"/>
        <v>-6.1538461538462741</v>
      </c>
      <c r="Q25" s="298">
        <f t="shared" si="6"/>
        <v>0.95999999999999919</v>
      </c>
      <c r="R25" s="637"/>
      <c r="S25" s="40">
        <v>0.73263888888888895</v>
      </c>
      <c r="T25" s="40">
        <v>0.78125000000000011</v>
      </c>
      <c r="U25" s="299">
        <f t="shared" si="22"/>
        <v>4.9999999999999822</v>
      </c>
      <c r="V25" s="304">
        <f t="shared" si="21"/>
        <v>70.000000000000071</v>
      </c>
      <c r="W25" s="23"/>
      <c r="X25" s="23"/>
      <c r="Y25" s="299"/>
      <c r="Z25" s="299"/>
      <c r="AA25" s="632"/>
      <c r="AB25" s="632"/>
      <c r="AC25" s="135"/>
      <c r="AD25" s="25"/>
      <c r="AE25" s="19">
        <f t="shared" si="8"/>
        <v>-80.000000000001819</v>
      </c>
      <c r="AF25" s="298">
        <f t="shared" si="9"/>
        <v>0.95999999999999908</v>
      </c>
      <c r="AG25" s="637"/>
    </row>
    <row r="26" spans="1:33" ht="15.75" customHeight="1">
      <c r="A26" s="656" t="s">
        <v>1462</v>
      </c>
      <c r="B26" s="42" t="s">
        <v>92</v>
      </c>
      <c r="C26" s="653" t="s">
        <v>114</v>
      </c>
      <c r="D26" s="653"/>
      <c r="E26" s="42">
        <v>54.09</v>
      </c>
      <c r="F26" s="305">
        <v>1903</v>
      </c>
      <c r="G26" s="299">
        <f t="shared" si="19"/>
        <v>102933.27</v>
      </c>
      <c r="H26" s="37" t="s">
        <v>91</v>
      </c>
      <c r="I26" s="303">
        <v>18</v>
      </c>
      <c r="J26" s="39">
        <v>2000</v>
      </c>
      <c r="K26" s="17">
        <f t="shared" si="1"/>
        <v>111.11111111111111</v>
      </c>
      <c r="L26" s="303">
        <v>18</v>
      </c>
      <c r="M26" s="18">
        <f t="shared" si="20"/>
        <v>1935.2542372881371</v>
      </c>
      <c r="N26" s="17">
        <f t="shared" si="3"/>
        <v>107.5141242937854</v>
      </c>
      <c r="O26" s="19">
        <f t="shared" si="4"/>
        <v>0</v>
      </c>
      <c r="P26" s="20">
        <f t="shared" si="5"/>
        <v>-3.596986817325714</v>
      </c>
      <c r="Q26" s="298">
        <f t="shared" si="6"/>
        <v>0.96762711864406858</v>
      </c>
      <c r="R26" s="637"/>
      <c r="S26" s="40">
        <v>0.78680555555555565</v>
      </c>
      <c r="T26" s="40">
        <v>0.82777777777777783</v>
      </c>
      <c r="U26" s="299">
        <f t="shared" si="22"/>
        <v>7.9999999999999716</v>
      </c>
      <c r="V26" s="304">
        <f t="shared" si="21"/>
        <v>58.99999999999995</v>
      </c>
      <c r="W26" s="23"/>
      <c r="X26" s="28"/>
      <c r="Y26" s="28"/>
      <c r="Z26" s="28"/>
      <c r="AA26" s="632"/>
      <c r="AB26" s="632"/>
      <c r="AC26" s="135"/>
      <c r="AD26" s="25"/>
      <c r="AE26" s="19">
        <f t="shared" si="8"/>
        <v>-64.745762711862881</v>
      </c>
      <c r="AF26" s="298">
        <f t="shared" si="9"/>
        <v>0.96762711864406858</v>
      </c>
      <c r="AG26" s="637"/>
    </row>
    <row r="27" spans="1:33" ht="15.75" customHeight="1">
      <c r="A27" s="656" t="s">
        <v>58</v>
      </c>
      <c r="B27" s="42" t="s">
        <v>1463</v>
      </c>
      <c r="C27" s="638"/>
      <c r="D27" s="638"/>
      <c r="E27" s="300"/>
      <c r="F27" s="305"/>
      <c r="G27" s="299"/>
      <c r="H27" s="305"/>
      <c r="I27" s="29">
        <v>15.166666666666666</v>
      </c>
      <c r="J27" s="39">
        <v>2000</v>
      </c>
      <c r="K27" s="17">
        <f t="shared" si="1"/>
        <v>131.86813186813188</v>
      </c>
      <c r="L27" s="29">
        <v>15.166666666666666</v>
      </c>
      <c r="M27" s="18">
        <f>AVERAGE(M21:M26)</f>
        <v>1929.8350988700561</v>
      </c>
      <c r="N27" s="17">
        <f t="shared" si="3"/>
        <v>127.24187465077293</v>
      </c>
      <c r="O27" s="19">
        <f t="shared" si="4"/>
        <v>0</v>
      </c>
      <c r="P27" s="20">
        <f t="shared" si="5"/>
        <v>-4.6262572173589547</v>
      </c>
      <c r="Q27" s="298">
        <f t="shared" si="6"/>
        <v>0.96491754943502794</v>
      </c>
      <c r="R27" s="637"/>
      <c r="S27" s="40"/>
      <c r="T27" s="40"/>
      <c r="U27" s="17"/>
      <c r="V27" s="304"/>
      <c r="W27" s="17"/>
      <c r="X27" s="17"/>
      <c r="Y27" s="30">
        <f>SUM(Y21:Y26)</f>
        <v>0</v>
      </c>
      <c r="Z27" s="30">
        <f>SUM(Z21:Z26)</f>
        <v>0</v>
      </c>
      <c r="AA27" s="631"/>
      <c r="AB27" s="631"/>
      <c r="AC27" s="30">
        <v>6</v>
      </c>
      <c r="AD27" s="30">
        <f>SUM(AD21:AD26)</f>
        <v>0</v>
      </c>
      <c r="AE27" s="19">
        <f t="shared" si="8"/>
        <v>-70.164901129943928</v>
      </c>
      <c r="AF27" s="298">
        <f t="shared" si="9"/>
        <v>0.96491754943502805</v>
      </c>
      <c r="AG27" s="637"/>
    </row>
    <row r="28" spans="1:33" ht="15.75" customHeight="1">
      <c r="A28" s="654" t="s">
        <v>1464</v>
      </c>
      <c r="B28" s="42" t="s">
        <v>116</v>
      </c>
      <c r="C28" s="653" t="s">
        <v>117</v>
      </c>
      <c r="D28" s="653"/>
      <c r="E28" s="42">
        <v>31.29</v>
      </c>
      <c r="F28" s="305">
        <v>6665</v>
      </c>
      <c r="G28" s="299">
        <f t="shared" ref="G28:G31" si="23">E28*F28</f>
        <v>208547.85</v>
      </c>
      <c r="H28" s="37" t="s">
        <v>91</v>
      </c>
      <c r="I28" s="303">
        <v>18</v>
      </c>
      <c r="J28" s="39">
        <v>2400</v>
      </c>
      <c r="K28" s="17">
        <f t="shared" si="1"/>
        <v>133.33333333333334</v>
      </c>
      <c r="L28" s="303">
        <v>18</v>
      </c>
      <c r="M28" s="18">
        <f t="shared" ref="M28:M31" si="24">F28/V28*60</f>
        <v>2285.1428571428573</v>
      </c>
      <c r="N28" s="17">
        <f t="shared" si="3"/>
        <v>126.95238095238096</v>
      </c>
      <c r="O28" s="19">
        <f t="shared" si="4"/>
        <v>0</v>
      </c>
      <c r="P28" s="20">
        <f t="shared" si="5"/>
        <v>-6.3809523809523796</v>
      </c>
      <c r="Q28" s="298">
        <f t="shared" si="6"/>
        <v>0.95214285714285718</v>
      </c>
      <c r="R28" s="637">
        <f>Q32</f>
        <v>0.95495715502926037</v>
      </c>
      <c r="S28" s="40">
        <v>8.3333333333333329E-2</v>
      </c>
      <c r="T28" s="40">
        <v>0.2048611111111111</v>
      </c>
      <c r="U28" s="299"/>
      <c r="V28" s="304">
        <f t="shared" ref="V28:V31" si="25">(T28-S28)*24*60</f>
        <v>175</v>
      </c>
      <c r="W28" s="23">
        <f>T28</f>
        <v>0.2048611111111111</v>
      </c>
      <c r="X28" s="23">
        <f>S29</f>
        <v>0.22569444444444445</v>
      </c>
      <c r="Y28" s="23"/>
      <c r="Z28" s="23"/>
      <c r="AA28" s="632"/>
      <c r="AB28" s="632"/>
      <c r="AC28" s="135">
        <v>4</v>
      </c>
      <c r="AD28" s="25"/>
      <c r="AE28" s="19">
        <f t="shared" si="8"/>
        <v>-114.85714285714266</v>
      </c>
      <c r="AF28" s="298">
        <f t="shared" si="9"/>
        <v>0.95214285714285718</v>
      </c>
      <c r="AG28" s="637">
        <f>AF32</f>
        <v>0.95495715502926037</v>
      </c>
    </row>
    <row r="29" spans="1:33" ht="15.75" customHeight="1">
      <c r="A29" s="654" t="s">
        <v>1464</v>
      </c>
      <c r="B29" s="42" t="s">
        <v>116</v>
      </c>
      <c r="C29" s="653" t="s">
        <v>118</v>
      </c>
      <c r="D29" s="653"/>
      <c r="E29" s="42">
        <v>26.37</v>
      </c>
      <c r="F29" s="305">
        <v>4889</v>
      </c>
      <c r="G29" s="299">
        <f t="shared" si="23"/>
        <v>128922.93000000001</v>
      </c>
      <c r="H29" s="37" t="s">
        <v>91</v>
      </c>
      <c r="I29" s="303">
        <v>18</v>
      </c>
      <c r="J29" s="39">
        <v>2400</v>
      </c>
      <c r="K29" s="17">
        <f t="shared" si="1"/>
        <v>133.33333333333334</v>
      </c>
      <c r="L29" s="303">
        <v>18</v>
      </c>
      <c r="M29" s="18">
        <f t="shared" si="24"/>
        <v>2291.7187500000005</v>
      </c>
      <c r="N29" s="17">
        <f t="shared" si="3"/>
        <v>127.31770833333336</v>
      </c>
      <c r="O29" s="19">
        <f t="shared" si="4"/>
        <v>0</v>
      </c>
      <c r="P29" s="20">
        <f t="shared" si="5"/>
        <v>-6.0156249999999858</v>
      </c>
      <c r="Q29" s="298">
        <f t="shared" si="6"/>
        <v>0.95488281250000007</v>
      </c>
      <c r="R29" s="637"/>
      <c r="S29" s="40">
        <v>0.22569444444444445</v>
      </c>
      <c r="T29" s="40">
        <v>0.31458333333333333</v>
      </c>
      <c r="U29" s="299">
        <f t="shared" ref="U29:U31" si="26">(S29-T28)*24*60</f>
        <v>30.000000000000014</v>
      </c>
      <c r="V29" s="304">
        <f t="shared" si="25"/>
        <v>127.99999999999997</v>
      </c>
      <c r="W29" s="23"/>
      <c r="X29" s="23"/>
      <c r="Y29" s="23"/>
      <c r="Z29" s="23"/>
      <c r="AA29" s="632"/>
      <c r="AB29" s="632"/>
      <c r="AC29" s="135"/>
      <c r="AD29" s="25"/>
      <c r="AE29" s="19">
        <f t="shared" si="8"/>
        <v>-108.28124999999955</v>
      </c>
      <c r="AF29" s="298">
        <f t="shared" si="9"/>
        <v>0.95488281250000018</v>
      </c>
      <c r="AG29" s="637"/>
    </row>
    <row r="30" spans="1:33" ht="15.75" customHeight="1">
      <c r="A30" s="654" t="s">
        <v>1464</v>
      </c>
      <c r="B30" s="42" t="s">
        <v>116</v>
      </c>
      <c r="C30" s="653" t="s">
        <v>124</v>
      </c>
      <c r="D30" s="653"/>
      <c r="E30" s="42">
        <v>24.43</v>
      </c>
      <c r="F30" s="305">
        <v>5561</v>
      </c>
      <c r="G30" s="299">
        <f t="shared" si="23"/>
        <v>135855.23000000001</v>
      </c>
      <c r="H30" s="37" t="s">
        <v>91</v>
      </c>
      <c r="I30" s="303">
        <v>14</v>
      </c>
      <c r="J30" s="39">
        <v>2400</v>
      </c>
      <c r="K30" s="17">
        <f t="shared" si="1"/>
        <v>171.42857142857142</v>
      </c>
      <c r="L30" s="303">
        <v>14</v>
      </c>
      <c r="M30" s="18">
        <f t="shared" si="24"/>
        <v>2285.3424657534251</v>
      </c>
      <c r="N30" s="17">
        <f t="shared" si="3"/>
        <v>163.23874755381607</v>
      </c>
      <c r="O30" s="19">
        <f t="shared" si="4"/>
        <v>0</v>
      </c>
      <c r="P30" s="20">
        <f t="shared" si="5"/>
        <v>-8.1898238747553478</v>
      </c>
      <c r="Q30" s="298">
        <f t="shared" si="6"/>
        <v>0.95222602739726048</v>
      </c>
      <c r="R30" s="637"/>
      <c r="S30" s="40">
        <v>0.31805555555555554</v>
      </c>
      <c r="T30" s="40">
        <v>0.4194444444444444</v>
      </c>
      <c r="U30" s="299">
        <f t="shared" si="26"/>
        <v>4.9999999999999822</v>
      </c>
      <c r="V30" s="304">
        <f t="shared" si="25"/>
        <v>145.99999999999997</v>
      </c>
      <c r="W30" s="23"/>
      <c r="X30" s="23"/>
      <c r="Y30" s="23"/>
      <c r="Z30" s="23"/>
      <c r="AA30" s="632"/>
      <c r="AB30" s="632"/>
      <c r="AC30" s="135"/>
      <c r="AD30" s="25"/>
      <c r="AE30" s="19">
        <f t="shared" si="8"/>
        <v>-114.65753424657487</v>
      </c>
      <c r="AF30" s="298">
        <f t="shared" si="9"/>
        <v>0.95222602739726048</v>
      </c>
      <c r="AG30" s="637"/>
    </row>
    <row r="31" spans="1:33" ht="15.75" customHeight="1">
      <c r="A31" s="654" t="s">
        <v>1464</v>
      </c>
      <c r="B31" s="42" t="s">
        <v>116</v>
      </c>
      <c r="C31" s="653" t="s">
        <v>147</v>
      </c>
      <c r="D31" s="653"/>
      <c r="E31" s="42">
        <v>25.98</v>
      </c>
      <c r="F31" s="305">
        <v>1998</v>
      </c>
      <c r="G31" s="299">
        <f t="shared" si="23"/>
        <v>51908.04</v>
      </c>
      <c r="H31" s="37" t="s">
        <v>91</v>
      </c>
      <c r="I31" s="303">
        <v>17</v>
      </c>
      <c r="J31" s="39">
        <v>2400</v>
      </c>
      <c r="K31" s="17">
        <f t="shared" si="1"/>
        <v>141.1764705882353</v>
      </c>
      <c r="L31" s="303">
        <v>17</v>
      </c>
      <c r="M31" s="18">
        <f t="shared" si="24"/>
        <v>2305.3846153846166</v>
      </c>
      <c r="N31" s="17">
        <f t="shared" si="3"/>
        <v>135.61085972850685</v>
      </c>
      <c r="O31" s="19">
        <f t="shared" si="4"/>
        <v>0</v>
      </c>
      <c r="P31" s="20">
        <f t="shared" si="5"/>
        <v>-5.5656108597284515</v>
      </c>
      <c r="Q31" s="298">
        <f t="shared" si="6"/>
        <v>0.96057692307692344</v>
      </c>
      <c r="R31" s="637"/>
      <c r="S31" s="40">
        <v>0.42291666666666661</v>
      </c>
      <c r="T31" s="40">
        <v>0.4590277777777777</v>
      </c>
      <c r="U31" s="299">
        <f t="shared" si="26"/>
        <v>4.9999999999999822</v>
      </c>
      <c r="V31" s="304">
        <f t="shared" si="25"/>
        <v>51.999999999999972</v>
      </c>
      <c r="W31" s="23"/>
      <c r="X31" s="23"/>
      <c r="Y31" s="23"/>
      <c r="Z31" s="23"/>
      <c r="AA31" s="632"/>
      <c r="AB31" s="632"/>
      <c r="AC31" s="135"/>
      <c r="AD31" s="25"/>
      <c r="AE31" s="19">
        <f t="shared" si="8"/>
        <v>-94.615384615383391</v>
      </c>
      <c r="AF31" s="298">
        <f t="shared" si="9"/>
        <v>0.96057692307692355</v>
      </c>
      <c r="AG31" s="637"/>
    </row>
    <row r="32" spans="1:33" ht="15.75" customHeight="1">
      <c r="A32" s="654" t="s">
        <v>1464</v>
      </c>
      <c r="B32" s="42" t="s">
        <v>1463</v>
      </c>
      <c r="C32" s="638"/>
      <c r="D32" s="638"/>
      <c r="E32" s="300"/>
      <c r="F32" s="305"/>
      <c r="G32" s="299"/>
      <c r="H32" s="305"/>
      <c r="I32" s="29">
        <v>16.75</v>
      </c>
      <c r="J32" s="39">
        <v>2400</v>
      </c>
      <c r="K32" s="17">
        <f t="shared" si="1"/>
        <v>143.28358208955223</v>
      </c>
      <c r="L32" s="29">
        <v>16.75</v>
      </c>
      <c r="M32" s="18">
        <f>AVERAGE(M28:M31)</f>
        <v>2291.8971720702248</v>
      </c>
      <c r="N32" s="17">
        <f t="shared" si="3"/>
        <v>136.82968191464028</v>
      </c>
      <c r="O32" s="19">
        <f t="shared" si="4"/>
        <v>0</v>
      </c>
      <c r="P32" s="20">
        <f t="shared" si="5"/>
        <v>-6.4539001749119507</v>
      </c>
      <c r="Q32" s="298">
        <f t="shared" si="6"/>
        <v>0.95495715502926037</v>
      </c>
      <c r="R32" s="637"/>
      <c r="S32" s="40"/>
      <c r="T32" s="40"/>
      <c r="U32" s="299"/>
      <c r="V32" s="304"/>
      <c r="W32" s="299"/>
      <c r="X32" s="299"/>
      <c r="Y32" s="30">
        <f>SUM(Y28:Y31)</f>
        <v>0</v>
      </c>
      <c r="Z32" s="30">
        <f>SUM(Z28:Z31)</f>
        <v>0</v>
      </c>
      <c r="AA32" s="631"/>
      <c r="AB32" s="631"/>
      <c r="AC32" s="30">
        <v>4</v>
      </c>
      <c r="AD32" s="30">
        <f>SUM(AD28:AD31)</f>
        <v>0</v>
      </c>
      <c r="AE32" s="19">
        <f t="shared" si="8"/>
        <v>-108.10282792977523</v>
      </c>
      <c r="AF32" s="298">
        <f t="shared" si="9"/>
        <v>0.95495715502926037</v>
      </c>
      <c r="AG32" s="637"/>
    </row>
    <row r="33" spans="1:33" ht="15.75" customHeight="1">
      <c r="A33" s="651" t="s">
        <v>1465</v>
      </c>
      <c r="B33" s="42" t="s">
        <v>116</v>
      </c>
      <c r="C33" s="633" t="s">
        <v>123</v>
      </c>
      <c r="D33" s="633"/>
      <c r="E33" s="42">
        <v>26.18</v>
      </c>
      <c r="F33" s="305">
        <v>4691</v>
      </c>
      <c r="G33" s="299">
        <f t="shared" ref="G33:G38" si="27">E33*F33</f>
        <v>122810.38</v>
      </c>
      <c r="H33" s="37" t="s">
        <v>91</v>
      </c>
      <c r="I33" s="303">
        <v>20</v>
      </c>
      <c r="J33" s="39">
        <v>2400</v>
      </c>
      <c r="K33" s="17">
        <f t="shared" si="1"/>
        <v>120</v>
      </c>
      <c r="L33" s="303">
        <v>20</v>
      </c>
      <c r="M33" s="18">
        <f t="shared" ref="M33:M38" si="28">F33/V33*60</f>
        <v>2288.2926829268295</v>
      </c>
      <c r="N33" s="17">
        <f t="shared" si="3"/>
        <v>114.41463414634147</v>
      </c>
      <c r="O33" s="19">
        <f t="shared" si="4"/>
        <v>0</v>
      </c>
      <c r="P33" s="20">
        <f t="shared" si="5"/>
        <v>-5.58536585365853</v>
      </c>
      <c r="Q33" s="298">
        <f t="shared" si="6"/>
        <v>0.95345528455284556</v>
      </c>
      <c r="R33" s="637">
        <f>Q39</f>
        <v>0.95371405742052995</v>
      </c>
      <c r="S33" s="40">
        <v>8.3333333333333329E-2</v>
      </c>
      <c r="T33" s="40">
        <v>0.16874999999999998</v>
      </c>
      <c r="U33" s="299"/>
      <c r="V33" s="304">
        <f t="shared" ref="V33:V38" si="29">(T33-S33)*24*60</f>
        <v>122.99999999999999</v>
      </c>
      <c r="W33" s="28">
        <f>T33</f>
        <v>0.16874999999999998</v>
      </c>
      <c r="X33" s="28">
        <f>S34</f>
        <v>0.19027777777777777</v>
      </c>
      <c r="Y33" s="28"/>
      <c r="Z33" s="28"/>
      <c r="AA33" s="632"/>
      <c r="AB33" s="632"/>
      <c r="AC33" s="135">
        <v>6</v>
      </c>
      <c r="AD33" s="25"/>
      <c r="AE33" s="19">
        <f t="shared" si="8"/>
        <v>-111.70731707317054</v>
      </c>
      <c r="AF33" s="298">
        <f t="shared" si="9"/>
        <v>0.95345528455284556</v>
      </c>
      <c r="AG33" s="637">
        <f>AF39</f>
        <v>0.95371405742053006</v>
      </c>
    </row>
    <row r="34" spans="1:33" ht="15.75" customHeight="1">
      <c r="A34" s="651" t="s">
        <v>1465</v>
      </c>
      <c r="B34" s="42" t="s">
        <v>116</v>
      </c>
      <c r="C34" s="633" t="s">
        <v>125</v>
      </c>
      <c r="D34" s="633"/>
      <c r="E34" s="42">
        <v>25.98</v>
      </c>
      <c r="F34" s="305">
        <v>2474</v>
      </c>
      <c r="G34" s="299">
        <f t="shared" si="27"/>
        <v>64274.520000000004</v>
      </c>
      <c r="H34" s="37" t="s">
        <v>91</v>
      </c>
      <c r="I34" s="303">
        <v>20</v>
      </c>
      <c r="J34" s="39">
        <v>2400</v>
      </c>
      <c r="K34" s="17">
        <f t="shared" si="1"/>
        <v>120</v>
      </c>
      <c r="L34" s="303">
        <v>20</v>
      </c>
      <c r="M34" s="18">
        <f t="shared" si="28"/>
        <v>2283.6923076923072</v>
      </c>
      <c r="N34" s="17">
        <f t="shared" si="3"/>
        <v>114.18461538461536</v>
      </c>
      <c r="O34" s="19">
        <f t="shared" si="4"/>
        <v>0</v>
      </c>
      <c r="P34" s="20">
        <f t="shared" si="5"/>
        <v>-5.8153846153846445</v>
      </c>
      <c r="Q34" s="298">
        <f t="shared" si="6"/>
        <v>0.95153846153846133</v>
      </c>
      <c r="R34" s="637"/>
      <c r="S34" s="40">
        <v>0.19027777777777777</v>
      </c>
      <c r="T34" s="40">
        <v>0.23541666666666666</v>
      </c>
      <c r="U34" s="299">
        <f t="shared" ref="U34:U38" si="30">(S34-T33)*24*60</f>
        <v>31.000000000000011</v>
      </c>
      <c r="V34" s="304">
        <f t="shared" si="29"/>
        <v>65.000000000000014</v>
      </c>
      <c r="W34" s="299"/>
      <c r="X34" s="299"/>
      <c r="Y34" s="299"/>
      <c r="Z34" s="299"/>
      <c r="AA34" s="632"/>
      <c r="AB34" s="632"/>
      <c r="AC34" s="135"/>
      <c r="AD34" s="25"/>
      <c r="AE34" s="19">
        <f t="shared" si="8"/>
        <v>-116.30769230769283</v>
      </c>
      <c r="AF34" s="298">
        <f t="shared" si="9"/>
        <v>0.95153846153846133</v>
      </c>
      <c r="AG34" s="637"/>
    </row>
    <row r="35" spans="1:33">
      <c r="A35" s="652" t="s">
        <v>1465</v>
      </c>
      <c r="B35" s="42" t="s">
        <v>116</v>
      </c>
      <c r="C35" s="633" t="s">
        <v>119</v>
      </c>
      <c r="D35" s="633"/>
      <c r="E35" s="42">
        <v>26.18</v>
      </c>
      <c r="F35" s="305">
        <v>6140</v>
      </c>
      <c r="G35" s="299">
        <f t="shared" si="27"/>
        <v>160745.20000000001</v>
      </c>
      <c r="H35" s="37" t="s">
        <v>91</v>
      </c>
      <c r="I35" s="303">
        <v>18</v>
      </c>
      <c r="J35" s="39">
        <v>2400</v>
      </c>
      <c r="K35" s="17">
        <f t="shared" si="1"/>
        <v>133.33333333333334</v>
      </c>
      <c r="L35" s="303">
        <v>18</v>
      </c>
      <c r="M35" s="18">
        <f t="shared" si="28"/>
        <v>2288.1987577639752</v>
      </c>
      <c r="N35" s="17">
        <f t="shared" si="3"/>
        <v>127.12215320910974</v>
      </c>
      <c r="O35" s="19">
        <f t="shared" si="4"/>
        <v>0</v>
      </c>
      <c r="P35" s="20">
        <f t="shared" si="5"/>
        <v>-6.2111801242236027</v>
      </c>
      <c r="Q35" s="298">
        <f t="shared" si="6"/>
        <v>0.95341614906832295</v>
      </c>
      <c r="R35" s="637"/>
      <c r="S35" s="40">
        <v>0.23888888888888887</v>
      </c>
      <c r="T35" s="40">
        <v>0.35069444444444442</v>
      </c>
      <c r="U35" s="299">
        <f t="shared" si="30"/>
        <v>4.9999999999999822</v>
      </c>
      <c r="V35" s="304">
        <f t="shared" si="29"/>
        <v>161</v>
      </c>
      <c r="W35" s="299"/>
      <c r="X35" s="299"/>
      <c r="Y35" s="299"/>
      <c r="Z35" s="299"/>
      <c r="AA35" s="632"/>
      <c r="AB35" s="632"/>
      <c r="AC35" s="135"/>
      <c r="AD35" s="25"/>
      <c r="AE35" s="19">
        <f t="shared" si="8"/>
        <v>-111.80124223602479</v>
      </c>
      <c r="AF35" s="298">
        <f t="shared" si="9"/>
        <v>0.95341614906832295</v>
      </c>
      <c r="AG35" s="637"/>
    </row>
    <row r="36" spans="1:33">
      <c r="A36" s="652" t="s">
        <v>67</v>
      </c>
      <c r="B36" s="42" t="s">
        <v>116</v>
      </c>
      <c r="C36" s="633" t="s">
        <v>121</v>
      </c>
      <c r="D36" s="633"/>
      <c r="E36" s="42">
        <v>25.99</v>
      </c>
      <c r="F36" s="305">
        <v>3126</v>
      </c>
      <c r="G36" s="299">
        <f t="shared" si="27"/>
        <v>81244.739999999991</v>
      </c>
      <c r="H36" s="37" t="s">
        <v>91</v>
      </c>
      <c r="I36" s="303">
        <v>14</v>
      </c>
      <c r="J36" s="39">
        <v>2400</v>
      </c>
      <c r="K36" s="17">
        <f t="shared" si="1"/>
        <v>171.42857142857142</v>
      </c>
      <c r="L36" s="303">
        <v>14</v>
      </c>
      <c r="M36" s="18">
        <f t="shared" si="28"/>
        <v>2287.317073170731</v>
      </c>
      <c r="N36" s="17">
        <f t="shared" si="3"/>
        <v>163.3797909407665</v>
      </c>
      <c r="O36" s="19">
        <f t="shared" si="4"/>
        <v>0</v>
      </c>
      <c r="P36" s="20">
        <f t="shared" si="5"/>
        <v>-8.0487804878049189</v>
      </c>
      <c r="Q36" s="298">
        <f t="shared" si="6"/>
        <v>0.95304878048780461</v>
      </c>
      <c r="R36" s="637"/>
      <c r="S36" s="40">
        <v>0.35486111111111107</v>
      </c>
      <c r="T36" s="40">
        <v>0.41180555555555554</v>
      </c>
      <c r="U36" s="299">
        <f t="shared" si="30"/>
        <v>5.9999999999999787</v>
      </c>
      <c r="V36" s="304">
        <f t="shared" si="29"/>
        <v>82.000000000000028</v>
      </c>
      <c r="W36" s="23"/>
      <c r="X36" s="23"/>
      <c r="Y36" s="23"/>
      <c r="Z36" s="23"/>
      <c r="AA36" s="632"/>
      <c r="AB36" s="632"/>
      <c r="AC36" s="135"/>
      <c r="AD36" s="25"/>
      <c r="AE36" s="19">
        <f t="shared" si="8"/>
        <v>-112.68292682926904</v>
      </c>
      <c r="AF36" s="298">
        <f t="shared" si="9"/>
        <v>0.95304878048780461</v>
      </c>
      <c r="AG36" s="637"/>
    </row>
    <row r="37" spans="1:33">
      <c r="A37" s="652" t="s">
        <v>1465</v>
      </c>
      <c r="B37" s="42" t="s">
        <v>116</v>
      </c>
      <c r="C37" s="633" t="s">
        <v>126</v>
      </c>
      <c r="D37" s="633"/>
      <c r="E37" s="42">
        <v>34.1</v>
      </c>
      <c r="F37" s="305">
        <v>3000</v>
      </c>
      <c r="G37" s="299">
        <f t="shared" si="27"/>
        <v>102300</v>
      </c>
      <c r="H37" s="37">
        <v>2</v>
      </c>
      <c r="I37" s="303">
        <v>17</v>
      </c>
      <c r="J37" s="39">
        <v>1600</v>
      </c>
      <c r="K37" s="17">
        <f t="shared" si="1"/>
        <v>94.117647058823536</v>
      </c>
      <c r="L37" s="303">
        <v>17</v>
      </c>
      <c r="M37" s="18">
        <f t="shared" si="28"/>
        <v>1525.4237288135596</v>
      </c>
      <c r="N37" s="17">
        <f t="shared" si="3"/>
        <v>89.730807577268209</v>
      </c>
      <c r="O37" s="19">
        <f t="shared" si="4"/>
        <v>0</v>
      </c>
      <c r="P37" s="20">
        <f t="shared" si="5"/>
        <v>-4.3868394815553273</v>
      </c>
      <c r="Q37" s="298">
        <f t="shared" si="6"/>
        <v>0.9533898305084747</v>
      </c>
      <c r="R37" s="637"/>
      <c r="S37" s="40">
        <v>0.41527777777777775</v>
      </c>
      <c r="T37" s="40">
        <v>0.49722222222222218</v>
      </c>
      <c r="U37" s="299">
        <f t="shared" si="30"/>
        <v>4.9999999999999822</v>
      </c>
      <c r="V37" s="304">
        <f t="shared" si="29"/>
        <v>117.99999999999999</v>
      </c>
      <c r="W37" s="23">
        <f>T37</f>
        <v>0.49722222222222218</v>
      </c>
      <c r="X37" s="23">
        <f>S38</f>
        <v>0.5395833333333333</v>
      </c>
      <c r="Y37" s="23"/>
      <c r="Z37" s="23"/>
      <c r="AA37" s="632"/>
      <c r="AB37" s="632"/>
      <c r="AC37" s="135"/>
      <c r="AD37" s="25"/>
      <c r="AE37" s="19">
        <f t="shared" si="8"/>
        <v>-74.576271186440408</v>
      </c>
      <c r="AF37" s="298">
        <f t="shared" si="9"/>
        <v>0.9533898305084747</v>
      </c>
      <c r="AG37" s="637"/>
    </row>
    <row r="38" spans="1:33">
      <c r="A38" s="652" t="s">
        <v>1465</v>
      </c>
      <c r="B38" s="42" t="s">
        <v>116</v>
      </c>
      <c r="C38" s="633" t="s">
        <v>126</v>
      </c>
      <c r="D38" s="633"/>
      <c r="E38" s="42">
        <v>34.1</v>
      </c>
      <c r="F38" s="305">
        <v>1995</v>
      </c>
      <c r="G38" s="299">
        <f t="shared" si="27"/>
        <v>68029.5</v>
      </c>
      <c r="H38" s="37" t="s">
        <v>91</v>
      </c>
      <c r="I38" s="303">
        <v>17</v>
      </c>
      <c r="J38" s="39">
        <v>1600</v>
      </c>
      <c r="K38" s="17">
        <f t="shared" si="1"/>
        <v>94.117647058823536</v>
      </c>
      <c r="L38" s="303">
        <v>17</v>
      </c>
      <c r="M38" s="18">
        <f t="shared" si="28"/>
        <v>1534.6153846153838</v>
      </c>
      <c r="N38" s="17">
        <f t="shared" si="3"/>
        <v>90.27149321266964</v>
      </c>
      <c r="O38" s="19">
        <f t="shared" si="4"/>
        <v>0</v>
      </c>
      <c r="P38" s="20">
        <f t="shared" si="5"/>
        <v>-3.8461538461538964</v>
      </c>
      <c r="Q38" s="298">
        <f t="shared" si="6"/>
        <v>0.95913461538461486</v>
      </c>
      <c r="R38" s="637"/>
      <c r="S38" s="40">
        <v>0.5395833333333333</v>
      </c>
      <c r="T38" s="40">
        <v>0.59375</v>
      </c>
      <c r="U38" s="299">
        <f t="shared" si="30"/>
        <v>61.000000000000021</v>
      </c>
      <c r="V38" s="304">
        <f t="shared" si="29"/>
        <v>78.000000000000043</v>
      </c>
      <c r="W38" s="23"/>
      <c r="X38" s="23"/>
      <c r="Y38" s="23"/>
      <c r="Z38" s="23"/>
      <c r="AA38" s="632"/>
      <c r="AB38" s="632"/>
      <c r="AC38" s="135"/>
      <c r="AD38" s="25"/>
      <c r="AE38" s="19">
        <f t="shared" si="8"/>
        <v>-65.384615384616154</v>
      </c>
      <c r="AF38" s="298">
        <f t="shared" si="9"/>
        <v>0.95913461538461486</v>
      </c>
      <c r="AG38" s="637"/>
    </row>
    <row r="39" spans="1:33">
      <c r="A39" s="652" t="s">
        <v>1465</v>
      </c>
      <c r="B39" s="44" t="s">
        <v>1463</v>
      </c>
      <c r="C39" s="638"/>
      <c r="D39" s="638"/>
      <c r="E39" s="300"/>
      <c r="F39" s="44"/>
      <c r="G39" s="17"/>
      <c r="H39" s="305"/>
      <c r="I39" s="29">
        <v>17.666666666666668</v>
      </c>
      <c r="J39" s="39">
        <v>2133.3333333333335</v>
      </c>
      <c r="K39" s="17">
        <f t="shared" si="1"/>
        <v>120.75471698113208</v>
      </c>
      <c r="L39" s="29">
        <v>17.666666666666668</v>
      </c>
      <c r="M39" s="18">
        <f>AVERAGE(M33:M38)</f>
        <v>2034.5899891637976</v>
      </c>
      <c r="N39" s="17">
        <f t="shared" si="3"/>
        <v>115.16547108474325</v>
      </c>
      <c r="O39" s="19">
        <f t="shared" si="4"/>
        <v>0</v>
      </c>
      <c r="P39" s="20">
        <f t="shared" si="5"/>
        <v>-5.5892458963888316</v>
      </c>
      <c r="Q39" s="298">
        <f t="shared" si="6"/>
        <v>0.95371405742052995</v>
      </c>
      <c r="R39" s="637"/>
      <c r="S39" s="40"/>
      <c r="T39" s="40"/>
      <c r="U39" s="17"/>
      <c r="V39" s="304"/>
      <c r="W39" s="17"/>
      <c r="X39" s="17"/>
      <c r="Y39" s="30">
        <f>SUM(Y33:Y38)</f>
        <v>0</v>
      </c>
      <c r="Z39" s="30">
        <f>SUM(Z33:Z38)</f>
        <v>0</v>
      </c>
      <c r="AA39" s="631"/>
      <c r="AB39" s="631"/>
      <c r="AC39" s="30">
        <v>6</v>
      </c>
      <c r="AD39" s="30">
        <f>SUM(AD33:AD38)</f>
        <v>0</v>
      </c>
      <c r="AE39" s="19">
        <f t="shared" si="8"/>
        <v>-98.743344169535931</v>
      </c>
      <c r="AF39" s="298">
        <f t="shared" si="9"/>
        <v>0.95371405742053006</v>
      </c>
      <c r="AG39" s="637"/>
    </row>
    <row r="40" spans="1:33" ht="15.75" customHeight="1">
      <c r="A40" s="648" t="s">
        <v>1466</v>
      </c>
      <c r="B40" s="42" t="s">
        <v>127</v>
      </c>
      <c r="C40" s="625" t="s">
        <v>128</v>
      </c>
      <c r="D40" s="626"/>
      <c r="E40" s="42">
        <v>21.13</v>
      </c>
      <c r="F40" s="305">
        <v>4491</v>
      </c>
      <c r="G40" s="299">
        <f t="shared" ref="G40:G43" si="31">E40*F40</f>
        <v>94894.83</v>
      </c>
      <c r="H40" s="37" t="s">
        <v>91</v>
      </c>
      <c r="I40" s="303">
        <v>10</v>
      </c>
      <c r="J40" s="39">
        <v>3000</v>
      </c>
      <c r="K40" s="17">
        <f t="shared" si="1"/>
        <v>300</v>
      </c>
      <c r="L40" s="303">
        <v>10</v>
      </c>
      <c r="M40" s="18">
        <f t="shared" ref="M40:M43" si="32">F40/V40*60</f>
        <v>2866.5957446808502</v>
      </c>
      <c r="N40" s="18">
        <f t="shared" si="3"/>
        <v>286.659574468085</v>
      </c>
      <c r="O40" s="19">
        <f t="shared" si="4"/>
        <v>0</v>
      </c>
      <c r="P40" s="20">
        <f t="shared" si="5"/>
        <v>-13.340425531915002</v>
      </c>
      <c r="Q40" s="298">
        <f t="shared" si="6"/>
        <v>0.95553191489361666</v>
      </c>
      <c r="R40" s="643">
        <f>Q44</f>
        <v>0.97222699581742222</v>
      </c>
      <c r="S40" s="40">
        <v>0.20833333333333334</v>
      </c>
      <c r="T40" s="40">
        <v>0.27361111111111114</v>
      </c>
      <c r="U40" s="28"/>
      <c r="V40" s="304">
        <f t="shared" ref="V40:V43" si="33">(T40-S40)*24*60</f>
        <v>94.000000000000028</v>
      </c>
      <c r="W40" s="23"/>
      <c r="X40" s="23"/>
      <c r="Y40" s="26"/>
      <c r="Z40" s="26"/>
      <c r="AA40" s="627"/>
      <c r="AB40" s="628"/>
      <c r="AC40" s="135">
        <v>4</v>
      </c>
      <c r="AD40" s="25"/>
      <c r="AE40" s="19">
        <f t="shared" si="8"/>
        <v>-133.4042553191498</v>
      </c>
      <c r="AF40" s="298">
        <f t="shared" si="9"/>
        <v>0.95553191489361677</v>
      </c>
      <c r="AG40" s="643">
        <f>AF44</f>
        <v>0.97222699581742211</v>
      </c>
    </row>
    <row r="41" spans="1:33" ht="15.75" customHeight="1">
      <c r="A41" s="649" t="s">
        <v>1466</v>
      </c>
      <c r="B41" s="42" t="s">
        <v>127</v>
      </c>
      <c r="C41" s="625" t="s">
        <v>129</v>
      </c>
      <c r="D41" s="626"/>
      <c r="E41" s="42">
        <v>27.17</v>
      </c>
      <c r="F41" s="305">
        <v>3742</v>
      </c>
      <c r="G41" s="299">
        <f t="shared" si="31"/>
        <v>101670.14</v>
      </c>
      <c r="H41" s="37" t="s">
        <v>91</v>
      </c>
      <c r="I41" s="303">
        <v>10</v>
      </c>
      <c r="J41" s="39">
        <v>3000</v>
      </c>
      <c r="K41" s="17">
        <f t="shared" si="1"/>
        <v>300</v>
      </c>
      <c r="L41" s="303">
        <v>10</v>
      </c>
      <c r="M41" s="18">
        <f t="shared" si="32"/>
        <v>2878.4615384615372</v>
      </c>
      <c r="N41" s="18">
        <f t="shared" si="3"/>
        <v>287.8461538461537</v>
      </c>
      <c r="O41" s="19">
        <f t="shared" si="4"/>
        <v>0</v>
      </c>
      <c r="P41" s="20">
        <f t="shared" si="5"/>
        <v>-12.153846153846303</v>
      </c>
      <c r="Q41" s="298">
        <f t="shared" si="6"/>
        <v>0.95948717948717899</v>
      </c>
      <c r="R41" s="644"/>
      <c r="S41" s="40">
        <v>0.27708333333333335</v>
      </c>
      <c r="T41" s="40">
        <v>0.33125000000000004</v>
      </c>
      <c r="U41" s="299">
        <f t="shared" ref="U41:U43" si="34">(S41-T40)*24*60</f>
        <v>4.9999999999999822</v>
      </c>
      <c r="V41" s="304">
        <f t="shared" si="33"/>
        <v>78.000000000000043</v>
      </c>
      <c r="W41" s="23"/>
      <c r="X41" s="23"/>
      <c r="Y41" s="26"/>
      <c r="Z41" s="26"/>
      <c r="AA41" s="627"/>
      <c r="AB41" s="628"/>
      <c r="AC41" s="135"/>
      <c r="AD41" s="25"/>
      <c r="AE41" s="19">
        <f t="shared" si="8"/>
        <v>-121.5384615384628</v>
      </c>
      <c r="AF41" s="298">
        <f t="shared" si="9"/>
        <v>0.9594871794871791</v>
      </c>
      <c r="AG41" s="644"/>
    </row>
    <row r="42" spans="1:33" ht="15.75" customHeight="1">
      <c r="A42" s="649" t="s">
        <v>71</v>
      </c>
      <c r="B42" s="42" t="s">
        <v>127</v>
      </c>
      <c r="C42" s="625" t="s">
        <v>130</v>
      </c>
      <c r="D42" s="626"/>
      <c r="E42" s="42">
        <v>35.869999999999997</v>
      </c>
      <c r="F42" s="305">
        <v>1182</v>
      </c>
      <c r="G42" s="299">
        <f t="shared" si="31"/>
        <v>42398.34</v>
      </c>
      <c r="H42" s="37" t="s">
        <v>91</v>
      </c>
      <c r="I42" s="303">
        <v>9</v>
      </c>
      <c r="J42" s="39">
        <v>3000</v>
      </c>
      <c r="K42" s="17">
        <f t="shared" si="1"/>
        <v>333.33333333333331</v>
      </c>
      <c r="L42" s="303">
        <v>9</v>
      </c>
      <c r="M42" s="18">
        <f t="shared" si="32"/>
        <v>2955.0000000000009</v>
      </c>
      <c r="N42" s="18">
        <f t="shared" si="3"/>
        <v>328.33333333333343</v>
      </c>
      <c r="O42" s="19">
        <f t="shared" si="4"/>
        <v>0</v>
      </c>
      <c r="P42" s="20">
        <f t="shared" si="5"/>
        <v>-4.9999999999998863</v>
      </c>
      <c r="Q42" s="298">
        <f t="shared" si="6"/>
        <v>0.98500000000000032</v>
      </c>
      <c r="R42" s="644"/>
      <c r="S42" s="40">
        <v>0.33680555555555558</v>
      </c>
      <c r="T42" s="40">
        <v>0.35347222222222224</v>
      </c>
      <c r="U42" s="299">
        <f t="shared" si="34"/>
        <v>7.9999999999999716</v>
      </c>
      <c r="V42" s="304">
        <f t="shared" si="33"/>
        <v>23.999999999999993</v>
      </c>
      <c r="W42" s="23"/>
      <c r="X42" s="23"/>
      <c r="Y42" s="26"/>
      <c r="Z42" s="26"/>
      <c r="AA42" s="627"/>
      <c r="AB42" s="628"/>
      <c r="AC42" s="135"/>
      <c r="AD42" s="25"/>
      <c r="AE42" s="19">
        <f t="shared" si="8"/>
        <v>-44.999999999999091</v>
      </c>
      <c r="AF42" s="298">
        <f t="shared" si="9"/>
        <v>0.98500000000000032</v>
      </c>
      <c r="AG42" s="644"/>
    </row>
    <row r="43" spans="1:33" ht="15.75" customHeight="1">
      <c r="A43" s="649" t="s">
        <v>1466</v>
      </c>
      <c r="B43" s="42" t="s">
        <v>127</v>
      </c>
      <c r="C43" s="625" t="s">
        <v>131</v>
      </c>
      <c r="D43" s="626"/>
      <c r="E43" s="42">
        <v>34.35</v>
      </c>
      <c r="F43" s="305">
        <v>445</v>
      </c>
      <c r="G43" s="299">
        <f t="shared" si="31"/>
        <v>15285.75</v>
      </c>
      <c r="H43" s="37" t="s">
        <v>91</v>
      </c>
      <c r="I43" s="303">
        <v>8</v>
      </c>
      <c r="J43" s="39">
        <v>3000</v>
      </c>
      <c r="K43" s="17">
        <f t="shared" si="1"/>
        <v>375</v>
      </c>
      <c r="L43" s="303">
        <v>8</v>
      </c>
      <c r="M43" s="18">
        <f t="shared" si="32"/>
        <v>2966.6666666666774</v>
      </c>
      <c r="N43" s="18">
        <f t="shared" si="3"/>
        <v>370.83333333333468</v>
      </c>
      <c r="O43" s="19">
        <f t="shared" si="4"/>
        <v>0</v>
      </c>
      <c r="P43" s="20">
        <f t="shared" si="5"/>
        <v>-4.1666666666653214</v>
      </c>
      <c r="Q43" s="298">
        <f t="shared" si="6"/>
        <v>0.98888888888889248</v>
      </c>
      <c r="R43" s="644"/>
      <c r="S43" s="40">
        <v>0.35902777777777778</v>
      </c>
      <c r="T43" s="40">
        <v>0.36527777777777776</v>
      </c>
      <c r="U43" s="299">
        <f t="shared" si="34"/>
        <v>7.9999999999999716</v>
      </c>
      <c r="V43" s="304">
        <f t="shared" si="33"/>
        <v>8.999999999999968</v>
      </c>
      <c r="W43" s="23"/>
      <c r="X43" s="23"/>
      <c r="Y43" s="26"/>
      <c r="Z43" s="26"/>
      <c r="AA43" s="627"/>
      <c r="AB43" s="628"/>
      <c r="AC43" s="135"/>
      <c r="AD43" s="25"/>
      <c r="AE43" s="19">
        <f t="shared" si="8"/>
        <v>-33.333333333322571</v>
      </c>
      <c r="AF43" s="298">
        <f t="shared" si="9"/>
        <v>0.98888888888889248</v>
      </c>
      <c r="AG43" s="644"/>
    </row>
    <row r="44" spans="1:33" ht="15.75" customHeight="1">
      <c r="A44" s="650" t="s">
        <v>1466</v>
      </c>
      <c r="B44" s="42" t="s">
        <v>1463</v>
      </c>
      <c r="C44" s="629"/>
      <c r="D44" s="630"/>
      <c r="E44" s="296"/>
      <c r="F44" s="305"/>
      <c r="G44" s="299"/>
      <c r="H44" s="305"/>
      <c r="I44" s="29">
        <v>9.25</v>
      </c>
      <c r="J44" s="39">
        <v>3000</v>
      </c>
      <c r="K44" s="17">
        <f t="shared" si="1"/>
        <v>324.32432432432432</v>
      </c>
      <c r="L44" s="29">
        <v>9.25</v>
      </c>
      <c r="M44" s="18">
        <f>AVERAGE(M40:M43)</f>
        <v>2916.6809874522664</v>
      </c>
      <c r="N44" s="17">
        <f t="shared" si="3"/>
        <v>315.31686350835315</v>
      </c>
      <c r="O44" s="19">
        <f t="shared" si="4"/>
        <v>0</v>
      </c>
      <c r="P44" s="20">
        <f t="shared" si="5"/>
        <v>-9.0074608159711715</v>
      </c>
      <c r="Q44" s="298">
        <f t="shared" si="6"/>
        <v>0.97222699581742222</v>
      </c>
      <c r="R44" s="645"/>
      <c r="S44" s="40"/>
      <c r="T44" s="40"/>
      <c r="U44" s="299"/>
      <c r="V44" s="304"/>
      <c r="W44" s="23"/>
      <c r="X44" s="23"/>
      <c r="Y44" s="30">
        <f>SUM(Y40:Y43)</f>
        <v>0</v>
      </c>
      <c r="Z44" s="30">
        <f>SUM(Z40:Z43)</f>
        <v>0</v>
      </c>
      <c r="AA44" s="646"/>
      <c r="AB44" s="647"/>
      <c r="AC44" s="30">
        <v>4</v>
      </c>
      <c r="AD44" s="30">
        <f>SUM(AD40:AD43)</f>
        <v>0</v>
      </c>
      <c r="AE44" s="19">
        <f t="shared" si="8"/>
        <v>-83.319012547733564</v>
      </c>
      <c r="AF44" s="298">
        <f t="shared" si="9"/>
        <v>0.97222699581742211</v>
      </c>
      <c r="AG44" s="645"/>
    </row>
    <row r="45" spans="1:33" ht="15.75" customHeight="1">
      <c r="A45" s="641" t="s">
        <v>75</v>
      </c>
      <c r="B45" s="42" t="s">
        <v>92</v>
      </c>
      <c r="C45" s="633" t="s">
        <v>133</v>
      </c>
      <c r="D45" s="633"/>
      <c r="E45" s="42">
        <v>59.04</v>
      </c>
      <c r="F45" s="48">
        <v>1148</v>
      </c>
      <c r="G45" s="299">
        <f t="shared" ref="G45:G51" si="35">E45*F45</f>
        <v>67777.919999999998</v>
      </c>
      <c r="H45" s="37" t="s">
        <v>91</v>
      </c>
      <c r="I45" s="303">
        <v>19</v>
      </c>
      <c r="J45" s="39">
        <v>2000</v>
      </c>
      <c r="K45" s="17">
        <f t="shared" si="1"/>
        <v>105.26315789473684</v>
      </c>
      <c r="L45" s="303">
        <v>19</v>
      </c>
      <c r="M45" s="18">
        <f t="shared" ref="M45" si="36">F45/V45*60</f>
        <v>1913.3333333333337</v>
      </c>
      <c r="N45" s="18">
        <f t="shared" si="3"/>
        <v>100.70175438596493</v>
      </c>
      <c r="O45" s="19">
        <f t="shared" si="4"/>
        <v>0</v>
      </c>
      <c r="P45" s="20">
        <f t="shared" si="5"/>
        <v>-4.5614035087719031</v>
      </c>
      <c r="Q45" s="298">
        <f t="shared" si="6"/>
        <v>0.95666666666666689</v>
      </c>
      <c r="R45" s="637">
        <f>Q52</f>
        <v>0.96239818956840728</v>
      </c>
      <c r="S45" s="40">
        <v>0.20833333333333334</v>
      </c>
      <c r="T45" s="40">
        <v>0.23333333333333334</v>
      </c>
      <c r="U45" s="28"/>
      <c r="V45" s="304">
        <f t="shared" ref="V45:V51" si="37">(T45-S45)*24*60</f>
        <v>35.999999999999993</v>
      </c>
      <c r="W45" s="23"/>
      <c r="X45" s="23"/>
      <c r="Y45" s="28"/>
      <c r="Z45" s="28"/>
      <c r="AA45" s="632"/>
      <c r="AB45" s="632"/>
      <c r="AC45" s="135">
        <v>7</v>
      </c>
      <c r="AD45" s="25"/>
      <c r="AE45" s="19">
        <f t="shared" si="8"/>
        <v>-86.666666666666288</v>
      </c>
      <c r="AF45" s="298">
        <f t="shared" si="9"/>
        <v>0.95666666666666689</v>
      </c>
      <c r="AG45" s="637">
        <f>AF52</f>
        <v>0.96239818956840728</v>
      </c>
    </row>
    <row r="46" spans="1:33" ht="15.75" customHeight="1">
      <c r="A46" s="641" t="s">
        <v>1467</v>
      </c>
      <c r="B46" s="42" t="s">
        <v>103</v>
      </c>
      <c r="C46" s="633" t="s">
        <v>132</v>
      </c>
      <c r="D46" s="633"/>
      <c r="E46" s="42">
        <v>51.44</v>
      </c>
      <c r="F46" s="48">
        <v>3417</v>
      </c>
      <c r="G46" s="299">
        <f t="shared" si="35"/>
        <v>175770.47999999998</v>
      </c>
      <c r="H46" s="37" t="s">
        <v>91</v>
      </c>
      <c r="I46" s="303">
        <v>18</v>
      </c>
      <c r="J46" s="39">
        <v>2000</v>
      </c>
      <c r="K46" s="17">
        <f t="shared" si="1"/>
        <v>111.11111111111111</v>
      </c>
      <c r="L46" s="303">
        <v>18</v>
      </c>
      <c r="M46" s="18">
        <f>F46/V46*60</f>
        <v>1916.0747663551406</v>
      </c>
      <c r="N46" s="18">
        <f t="shared" si="3"/>
        <v>106.44859813084115</v>
      </c>
      <c r="O46" s="19">
        <f t="shared" si="4"/>
        <v>0</v>
      </c>
      <c r="P46" s="20">
        <f t="shared" si="5"/>
        <v>-4.6625129802699661</v>
      </c>
      <c r="Q46" s="298">
        <f t="shared" si="6"/>
        <v>0.95803738317757026</v>
      </c>
      <c r="R46" s="637"/>
      <c r="S46" s="40">
        <v>0.23819444444444446</v>
      </c>
      <c r="T46" s="40">
        <v>0.3125</v>
      </c>
      <c r="U46" s="299">
        <f t="shared" ref="U46:U51" si="38">IF(S46=TIME(17,0,0),"",(S46-T45)*24*60)</f>
        <v>7.0000000000000151</v>
      </c>
      <c r="V46" s="304">
        <f t="shared" si="37"/>
        <v>106.99999999999999</v>
      </c>
      <c r="W46" s="23"/>
      <c r="X46" s="23"/>
      <c r="Y46" s="23"/>
      <c r="Z46" s="23"/>
      <c r="AA46" s="632"/>
      <c r="AB46" s="632"/>
      <c r="AC46" s="135"/>
      <c r="AD46" s="25"/>
      <c r="AE46" s="19">
        <f t="shared" si="8"/>
        <v>-83.925233644859418</v>
      </c>
      <c r="AF46" s="298">
        <f t="shared" si="9"/>
        <v>0.95803738317757026</v>
      </c>
      <c r="AG46" s="637"/>
    </row>
    <row r="47" spans="1:33" ht="15.75" customHeight="1">
      <c r="A47" s="641" t="s">
        <v>1467</v>
      </c>
      <c r="B47" s="42" t="s">
        <v>92</v>
      </c>
      <c r="C47" s="625" t="s">
        <v>135</v>
      </c>
      <c r="D47" s="626"/>
      <c r="E47" s="42">
        <v>51.44</v>
      </c>
      <c r="F47" s="48">
        <v>1273</v>
      </c>
      <c r="G47" s="299">
        <f t="shared" si="35"/>
        <v>65483.119999999995</v>
      </c>
      <c r="H47" s="37" t="s">
        <v>91</v>
      </c>
      <c r="I47" s="303">
        <v>25</v>
      </c>
      <c r="J47" s="39">
        <v>2000</v>
      </c>
      <c r="K47" s="17">
        <f t="shared" si="1"/>
        <v>80</v>
      </c>
      <c r="L47" s="303">
        <v>25</v>
      </c>
      <c r="M47" s="18">
        <f t="shared" ref="M47:M51" si="39">F47/V47*60</f>
        <v>1909.4999999999993</v>
      </c>
      <c r="N47" s="18">
        <f t="shared" si="3"/>
        <v>76.379999999999967</v>
      </c>
      <c r="O47" s="19">
        <f t="shared" si="4"/>
        <v>0</v>
      </c>
      <c r="P47" s="20">
        <f t="shared" si="5"/>
        <v>-3.620000000000033</v>
      </c>
      <c r="Q47" s="298">
        <f t="shared" si="6"/>
        <v>0.95474999999999954</v>
      </c>
      <c r="R47" s="637"/>
      <c r="S47" s="40">
        <v>0.31736111111111109</v>
      </c>
      <c r="T47" s="40">
        <v>0.34513888888888888</v>
      </c>
      <c r="U47" s="299">
        <f t="shared" si="38"/>
        <v>6.9999999999999751</v>
      </c>
      <c r="V47" s="304">
        <f t="shared" si="37"/>
        <v>40.000000000000014</v>
      </c>
      <c r="W47" s="23"/>
      <c r="X47" s="23"/>
      <c r="Y47" s="26"/>
      <c r="Z47" s="26"/>
      <c r="AA47" s="632"/>
      <c r="AB47" s="632"/>
      <c r="AC47" s="135"/>
      <c r="AD47" s="25"/>
      <c r="AE47" s="19">
        <f t="shared" si="8"/>
        <v>-90.500000000000682</v>
      </c>
      <c r="AF47" s="298">
        <f t="shared" si="9"/>
        <v>0.95474999999999965</v>
      </c>
      <c r="AG47" s="637"/>
    </row>
    <row r="48" spans="1:33" ht="15.75" customHeight="1">
      <c r="A48" s="641" t="s">
        <v>1467</v>
      </c>
      <c r="B48" s="42" t="s">
        <v>96</v>
      </c>
      <c r="C48" s="292" t="s">
        <v>136</v>
      </c>
      <c r="D48" s="293"/>
      <c r="E48" s="42">
        <v>46</v>
      </c>
      <c r="F48" s="48">
        <v>1171</v>
      </c>
      <c r="G48" s="299">
        <f t="shared" si="35"/>
        <v>53866</v>
      </c>
      <c r="H48" s="37" t="s">
        <v>91</v>
      </c>
      <c r="I48" s="303">
        <v>16</v>
      </c>
      <c r="J48" s="39">
        <v>2000</v>
      </c>
      <c r="K48" s="17">
        <f t="shared" si="1"/>
        <v>125</v>
      </c>
      <c r="L48" s="303">
        <v>16</v>
      </c>
      <c r="M48" s="18">
        <f t="shared" si="39"/>
        <v>1951.6666666666649</v>
      </c>
      <c r="N48" s="18">
        <f t="shared" si="3"/>
        <v>121.97916666666656</v>
      </c>
      <c r="O48" s="19">
        <f t="shared" si="4"/>
        <v>0</v>
      </c>
      <c r="P48" s="20">
        <f t="shared" si="5"/>
        <v>-3.0208333333334423</v>
      </c>
      <c r="Q48" s="298">
        <f t="shared" si="6"/>
        <v>0.97583333333333244</v>
      </c>
      <c r="R48" s="637"/>
      <c r="S48" s="40">
        <v>0.35069444444444442</v>
      </c>
      <c r="T48" s="40">
        <v>0.37569444444444444</v>
      </c>
      <c r="U48" s="299">
        <f t="shared" si="38"/>
        <v>7.9999999999999716</v>
      </c>
      <c r="V48" s="304">
        <f t="shared" si="37"/>
        <v>36.000000000000028</v>
      </c>
      <c r="W48" s="23"/>
      <c r="X48" s="23"/>
      <c r="Y48" s="26"/>
      <c r="Z48" s="26"/>
      <c r="AA48" s="632"/>
      <c r="AB48" s="632"/>
      <c r="AC48" s="135"/>
      <c r="AD48" s="25"/>
      <c r="AE48" s="19">
        <f t="shared" si="8"/>
        <v>-48.333333333335077</v>
      </c>
      <c r="AF48" s="298">
        <f t="shared" si="9"/>
        <v>0.97583333333333244</v>
      </c>
      <c r="AG48" s="637"/>
    </row>
    <row r="49" spans="1:33" ht="15.75" customHeight="1">
      <c r="A49" s="641" t="s">
        <v>1467</v>
      </c>
      <c r="B49" s="42" t="s">
        <v>96</v>
      </c>
      <c r="C49" s="292" t="s">
        <v>137</v>
      </c>
      <c r="D49" s="293"/>
      <c r="E49" s="42">
        <v>46</v>
      </c>
      <c r="F49" s="48">
        <v>1328</v>
      </c>
      <c r="G49" s="299">
        <f t="shared" si="35"/>
        <v>61088</v>
      </c>
      <c r="H49" s="37" t="s">
        <v>91</v>
      </c>
      <c r="I49" s="303">
        <v>17</v>
      </c>
      <c r="J49" s="39">
        <v>2000</v>
      </c>
      <c r="K49" s="17">
        <f t="shared" si="1"/>
        <v>117.64705882352941</v>
      </c>
      <c r="L49" s="303">
        <v>17</v>
      </c>
      <c r="M49" s="18">
        <f t="shared" si="39"/>
        <v>1943.4146341463406</v>
      </c>
      <c r="N49" s="18">
        <f t="shared" si="3"/>
        <v>114.31850789096121</v>
      </c>
      <c r="O49" s="19">
        <f t="shared" si="4"/>
        <v>0</v>
      </c>
      <c r="P49" s="20">
        <f t="shared" si="5"/>
        <v>-3.3285509325681915</v>
      </c>
      <c r="Q49" s="298">
        <f t="shared" si="6"/>
        <v>0.97170731707317037</v>
      </c>
      <c r="R49" s="637"/>
      <c r="S49" s="40">
        <v>0.37986111111111109</v>
      </c>
      <c r="T49" s="40">
        <v>0.40833333333333333</v>
      </c>
      <c r="U49" s="299">
        <f t="shared" si="38"/>
        <v>5.9999999999999787</v>
      </c>
      <c r="V49" s="304">
        <f t="shared" si="37"/>
        <v>41.000000000000014</v>
      </c>
      <c r="W49" s="23"/>
      <c r="X49" s="23"/>
      <c r="Y49" s="26"/>
      <c r="Z49" s="26"/>
      <c r="AA49" s="632"/>
      <c r="AB49" s="632"/>
      <c r="AC49" s="135"/>
      <c r="AD49" s="25"/>
      <c r="AE49" s="19">
        <f t="shared" si="8"/>
        <v>-56.585365853659368</v>
      </c>
      <c r="AF49" s="298">
        <f t="shared" si="9"/>
        <v>0.97170731707317026</v>
      </c>
      <c r="AG49" s="637"/>
    </row>
    <row r="50" spans="1:33" ht="15.75" customHeight="1">
      <c r="A50" s="641" t="s">
        <v>75</v>
      </c>
      <c r="B50" s="42" t="s">
        <v>92</v>
      </c>
      <c r="C50" s="625" t="s">
        <v>138</v>
      </c>
      <c r="D50" s="626"/>
      <c r="E50" s="42">
        <v>55.56</v>
      </c>
      <c r="F50" s="48">
        <v>1988</v>
      </c>
      <c r="G50" s="299">
        <f t="shared" si="35"/>
        <v>110453.28</v>
      </c>
      <c r="H50" s="37" t="s">
        <v>91</v>
      </c>
      <c r="I50" s="303">
        <v>17</v>
      </c>
      <c r="J50" s="39">
        <v>2000</v>
      </c>
      <c r="K50" s="17">
        <f t="shared" si="1"/>
        <v>117.64705882352941</v>
      </c>
      <c r="L50" s="303">
        <v>17</v>
      </c>
      <c r="M50" s="18">
        <f t="shared" si="39"/>
        <v>1923.870967741937</v>
      </c>
      <c r="N50" s="18">
        <f t="shared" si="3"/>
        <v>113.16888045540806</v>
      </c>
      <c r="O50" s="19">
        <f t="shared" si="4"/>
        <v>0</v>
      </c>
      <c r="P50" s="20">
        <f t="shared" si="5"/>
        <v>-4.4781783681213483</v>
      </c>
      <c r="Q50" s="298">
        <f t="shared" si="6"/>
        <v>0.9619354838709685</v>
      </c>
      <c r="R50" s="637"/>
      <c r="S50" s="40">
        <v>0.70833333333333337</v>
      </c>
      <c r="T50" s="40">
        <v>0.75138888888888888</v>
      </c>
      <c r="U50" s="299" t="str">
        <f t="shared" si="38"/>
        <v/>
      </c>
      <c r="V50" s="304">
        <f t="shared" si="37"/>
        <v>61.999999999999943</v>
      </c>
      <c r="W50" s="23"/>
      <c r="X50" s="23"/>
      <c r="Y50" s="26"/>
      <c r="Z50" s="26"/>
      <c r="AA50" s="627"/>
      <c r="AB50" s="628"/>
      <c r="AC50" s="135"/>
      <c r="AD50" s="25"/>
      <c r="AE50" s="19">
        <f t="shared" si="8"/>
        <v>-76.129032258063035</v>
      </c>
      <c r="AF50" s="298">
        <f t="shared" si="9"/>
        <v>0.9619354838709685</v>
      </c>
      <c r="AG50" s="637"/>
    </row>
    <row r="51" spans="1:33" ht="15.75" customHeight="1">
      <c r="A51" s="641" t="s">
        <v>1468</v>
      </c>
      <c r="B51" s="42" t="s">
        <v>92</v>
      </c>
      <c r="C51" s="625" t="s">
        <v>420</v>
      </c>
      <c r="D51" s="626"/>
      <c r="E51" s="42">
        <v>58.17</v>
      </c>
      <c r="F51" s="48">
        <v>2235</v>
      </c>
      <c r="G51" s="299">
        <f t="shared" si="35"/>
        <v>130009.95</v>
      </c>
      <c r="H51" s="37" t="s">
        <v>91</v>
      </c>
      <c r="I51" s="303">
        <v>13</v>
      </c>
      <c r="J51" s="39">
        <v>2000</v>
      </c>
      <c r="K51" s="17">
        <f t="shared" si="1"/>
        <v>153.84615384615384</v>
      </c>
      <c r="L51" s="303">
        <v>13</v>
      </c>
      <c r="M51" s="18">
        <f t="shared" si="39"/>
        <v>1915.7142857142837</v>
      </c>
      <c r="N51" s="18">
        <f t="shared" si="3"/>
        <v>147.3626373626372</v>
      </c>
      <c r="O51" s="19">
        <f t="shared" si="4"/>
        <v>0</v>
      </c>
      <c r="P51" s="20">
        <f t="shared" si="5"/>
        <v>-6.4835164835166381</v>
      </c>
      <c r="Q51" s="298">
        <f t="shared" si="6"/>
        <v>0.95785714285714185</v>
      </c>
      <c r="R51" s="637"/>
      <c r="S51" s="40">
        <v>0.75555555555555554</v>
      </c>
      <c r="T51" s="40">
        <v>0.8041666666666667</v>
      </c>
      <c r="U51" s="299">
        <f t="shared" si="38"/>
        <v>5.9999999999999787</v>
      </c>
      <c r="V51" s="304">
        <f t="shared" si="37"/>
        <v>70.000000000000071</v>
      </c>
      <c r="W51" s="23"/>
      <c r="X51" s="23"/>
      <c r="Y51" s="26"/>
      <c r="Z51" s="26"/>
      <c r="AA51" s="627"/>
      <c r="AB51" s="628"/>
      <c r="AC51" s="135"/>
      <c r="AD51" s="25"/>
      <c r="AE51" s="19">
        <f t="shared" si="8"/>
        <v>-84.285714285716267</v>
      </c>
      <c r="AF51" s="298">
        <f t="shared" si="9"/>
        <v>0.95785714285714185</v>
      </c>
      <c r="AG51" s="637"/>
    </row>
    <row r="52" spans="1:33">
      <c r="A52" s="642" t="s">
        <v>1467</v>
      </c>
      <c r="B52" s="42" t="s">
        <v>1463</v>
      </c>
      <c r="C52" s="638"/>
      <c r="D52" s="638"/>
      <c r="E52" s="300"/>
      <c r="F52" s="44"/>
      <c r="G52" s="17"/>
      <c r="H52" s="305"/>
      <c r="I52" s="29">
        <v>17.857142857142858</v>
      </c>
      <c r="J52" s="39">
        <v>2000</v>
      </c>
      <c r="K52" s="17">
        <f t="shared" si="1"/>
        <v>112</v>
      </c>
      <c r="L52" s="29">
        <v>17.857142857142858</v>
      </c>
      <c r="M52" s="18">
        <f>AVERAGE(M45:M51)</f>
        <v>1924.7963791368145</v>
      </c>
      <c r="N52" s="17">
        <f t="shared" si="3"/>
        <v>107.78859723166161</v>
      </c>
      <c r="O52" s="19">
        <f t="shared" si="4"/>
        <v>0</v>
      </c>
      <c r="P52" s="20">
        <f t="shared" si="5"/>
        <v>-4.2114027683383881</v>
      </c>
      <c r="Q52" s="298">
        <f t="shared" si="6"/>
        <v>0.96239818956840728</v>
      </c>
      <c r="R52" s="637"/>
      <c r="S52" s="40"/>
      <c r="T52" s="40"/>
      <c r="U52" s="299"/>
      <c r="V52" s="304"/>
      <c r="W52" s="17"/>
      <c r="X52" s="17"/>
      <c r="Y52" s="30">
        <f>SUM(Y45:Y51)</f>
        <v>0</v>
      </c>
      <c r="Z52" s="30">
        <f>SUM(Z45:Z51)</f>
        <v>0</v>
      </c>
      <c r="AA52" s="631"/>
      <c r="AB52" s="631"/>
      <c r="AC52" s="30">
        <v>7</v>
      </c>
      <c r="AD52" s="30">
        <f>SUM(AD45:AD51)</f>
        <v>0</v>
      </c>
      <c r="AE52" s="19">
        <f>M52-J52</f>
        <v>-75.203620863185506</v>
      </c>
      <c r="AF52" s="298">
        <f t="shared" si="9"/>
        <v>0.96239818956840728</v>
      </c>
      <c r="AG52" s="637"/>
    </row>
    <row r="53" spans="1:33" ht="15.75" customHeight="1">
      <c r="A53" s="639" t="s">
        <v>1469</v>
      </c>
      <c r="B53" s="305" t="s">
        <v>127</v>
      </c>
      <c r="C53" s="633" t="s">
        <v>141</v>
      </c>
      <c r="D53" s="633"/>
      <c r="E53" s="42">
        <v>35.119999999999997</v>
      </c>
      <c r="F53" s="48">
        <v>3225</v>
      </c>
      <c r="G53" s="299">
        <f t="shared" ref="G53:G56" si="40">E53*F53</f>
        <v>113261.99999999999</v>
      </c>
      <c r="H53" s="37" t="s">
        <v>91</v>
      </c>
      <c r="I53" s="303">
        <v>10</v>
      </c>
      <c r="J53" s="39">
        <v>3000</v>
      </c>
      <c r="K53" s="17">
        <f t="shared" si="1"/>
        <v>300</v>
      </c>
      <c r="L53" s="303">
        <v>10</v>
      </c>
      <c r="M53" s="18">
        <f t="shared" ref="M53:M56" si="41">F53/V53*60</f>
        <v>2888.0597014925388</v>
      </c>
      <c r="N53" s="17">
        <f t="shared" si="3"/>
        <v>288.80597014925388</v>
      </c>
      <c r="O53" s="19">
        <f t="shared" si="4"/>
        <v>0</v>
      </c>
      <c r="P53" s="20">
        <f t="shared" si="5"/>
        <v>-11.194029850746119</v>
      </c>
      <c r="Q53" s="298">
        <f t="shared" si="6"/>
        <v>0.96268656716417955</v>
      </c>
      <c r="R53" s="637">
        <f>Q57</f>
        <v>0.96007994483483439</v>
      </c>
      <c r="S53" s="40">
        <v>0.20833333333333334</v>
      </c>
      <c r="T53" s="40">
        <v>0.25486111111111109</v>
      </c>
      <c r="U53" s="299"/>
      <c r="V53" s="304">
        <f t="shared" ref="V53:V56" si="42">(T53-S53)*24*60</f>
        <v>66.999999999999957</v>
      </c>
      <c r="W53" s="23"/>
      <c r="X53" s="23"/>
      <c r="Y53" s="28"/>
      <c r="Z53" s="28"/>
      <c r="AA53" s="632"/>
      <c r="AB53" s="632"/>
      <c r="AC53" s="135">
        <v>4</v>
      </c>
      <c r="AD53" s="25"/>
      <c r="AE53" s="19">
        <f t="shared" ref="AE53:AE64" si="43">M53-J53</f>
        <v>-111.94029850746119</v>
      </c>
      <c r="AF53" s="298">
        <f t="shared" si="9"/>
        <v>0.96268656716417955</v>
      </c>
      <c r="AG53" s="637">
        <f>AF57</f>
        <v>0.96007994483483439</v>
      </c>
    </row>
    <row r="54" spans="1:33" ht="15.75" customHeight="1">
      <c r="A54" s="639" t="s">
        <v>1469</v>
      </c>
      <c r="B54" s="305" t="s">
        <v>127</v>
      </c>
      <c r="C54" s="633" t="s">
        <v>142</v>
      </c>
      <c r="D54" s="633"/>
      <c r="E54" s="42">
        <v>26.78</v>
      </c>
      <c r="F54" s="48">
        <v>1864</v>
      </c>
      <c r="G54" s="299">
        <f t="shared" si="40"/>
        <v>49917.920000000006</v>
      </c>
      <c r="H54" s="37" t="s">
        <v>91</v>
      </c>
      <c r="I54" s="303">
        <v>10</v>
      </c>
      <c r="J54" s="39">
        <v>3000</v>
      </c>
      <c r="K54" s="17">
        <f t="shared" si="1"/>
        <v>300</v>
      </c>
      <c r="L54" s="303">
        <v>10</v>
      </c>
      <c r="M54" s="18">
        <f t="shared" si="41"/>
        <v>2867.6923076923058</v>
      </c>
      <c r="N54" s="17">
        <f t="shared" si="3"/>
        <v>286.7692307692306</v>
      </c>
      <c r="O54" s="19">
        <f t="shared" si="4"/>
        <v>0</v>
      </c>
      <c r="P54" s="20">
        <f t="shared" si="5"/>
        <v>-13.230769230769397</v>
      </c>
      <c r="Q54" s="298">
        <f t="shared" si="6"/>
        <v>0.95589743589743537</v>
      </c>
      <c r="R54" s="637"/>
      <c r="S54" s="40">
        <v>0.25972222222222219</v>
      </c>
      <c r="T54" s="40">
        <v>0.28680555555555554</v>
      </c>
      <c r="U54" s="299">
        <f t="shared" ref="U54:U56" si="44">(S54-T53)*24*60</f>
        <v>6.9999999999999751</v>
      </c>
      <c r="V54" s="304">
        <f t="shared" si="42"/>
        <v>39.000000000000021</v>
      </c>
      <c r="W54" s="299"/>
      <c r="X54" s="299"/>
      <c r="Y54" s="299"/>
      <c r="Z54" s="299"/>
      <c r="AA54" s="632"/>
      <c r="AB54" s="632"/>
      <c r="AC54" s="135"/>
      <c r="AD54" s="25"/>
      <c r="AE54" s="19">
        <f t="shared" si="43"/>
        <v>-132.3076923076942</v>
      </c>
      <c r="AF54" s="298">
        <f t="shared" si="9"/>
        <v>0.95589743589743525</v>
      </c>
      <c r="AG54" s="637"/>
    </row>
    <row r="55" spans="1:33" ht="15.75" customHeight="1">
      <c r="A55" s="639" t="s">
        <v>1469</v>
      </c>
      <c r="B55" s="305" t="s">
        <v>127</v>
      </c>
      <c r="C55" s="633" t="s">
        <v>143</v>
      </c>
      <c r="D55" s="633"/>
      <c r="E55" s="42">
        <v>36.14</v>
      </c>
      <c r="F55" s="48">
        <v>825</v>
      </c>
      <c r="G55" s="299">
        <f t="shared" si="40"/>
        <v>29815.5</v>
      </c>
      <c r="H55" s="37" t="s">
        <v>91</v>
      </c>
      <c r="I55" s="303">
        <v>11</v>
      </c>
      <c r="J55" s="39">
        <v>3000</v>
      </c>
      <c r="K55" s="17">
        <f t="shared" si="1"/>
        <v>272.72727272727275</v>
      </c>
      <c r="L55" s="303">
        <v>11</v>
      </c>
      <c r="M55" s="18">
        <f t="shared" si="41"/>
        <v>2911.7647058823491</v>
      </c>
      <c r="N55" s="17">
        <f t="shared" si="3"/>
        <v>264.70588235294082</v>
      </c>
      <c r="O55" s="19">
        <f t="shared" si="4"/>
        <v>0</v>
      </c>
      <c r="P55" s="20">
        <f t="shared" si="5"/>
        <v>-8.0213903743319293</v>
      </c>
      <c r="Q55" s="298">
        <f t="shared" si="6"/>
        <v>0.97058823529411631</v>
      </c>
      <c r="R55" s="637"/>
      <c r="S55" s="40">
        <v>0.29166666666666663</v>
      </c>
      <c r="T55" s="40">
        <v>0.3034722222222222</v>
      </c>
      <c r="U55" s="299">
        <f t="shared" si="44"/>
        <v>6.9999999999999751</v>
      </c>
      <c r="V55" s="304">
        <f t="shared" si="42"/>
        <v>17.000000000000021</v>
      </c>
      <c r="W55" s="299"/>
      <c r="X55" s="299"/>
      <c r="Y55" s="299"/>
      <c r="Z55" s="299"/>
      <c r="AA55" s="632"/>
      <c r="AB55" s="632"/>
      <c r="AC55" s="135"/>
      <c r="AD55" s="25"/>
      <c r="AE55" s="19">
        <f t="shared" si="43"/>
        <v>-88.235294117650938</v>
      </c>
      <c r="AF55" s="298">
        <f t="shared" si="9"/>
        <v>0.97058823529411631</v>
      </c>
      <c r="AG55" s="637"/>
    </row>
    <row r="56" spans="1:33" ht="15.75" customHeight="1">
      <c r="A56" s="639" t="s">
        <v>1469</v>
      </c>
      <c r="B56" s="305" t="s">
        <v>127</v>
      </c>
      <c r="C56" s="633" t="s">
        <v>144</v>
      </c>
      <c r="D56" s="633"/>
      <c r="E56" s="42">
        <v>35.869999999999997</v>
      </c>
      <c r="F56" s="48">
        <v>2901</v>
      </c>
      <c r="G56" s="299">
        <f t="shared" si="40"/>
        <v>104058.87</v>
      </c>
      <c r="H56" s="37" t="s">
        <v>91</v>
      </c>
      <c r="I56" s="303">
        <v>10</v>
      </c>
      <c r="J56" s="39">
        <v>3000</v>
      </c>
      <c r="K56" s="17">
        <f t="shared" si="1"/>
        <v>300</v>
      </c>
      <c r="L56" s="303">
        <v>10</v>
      </c>
      <c r="M56" s="18">
        <f t="shared" si="41"/>
        <v>2853.4426229508185</v>
      </c>
      <c r="N56" s="17">
        <f t="shared" si="3"/>
        <v>285.34426229508188</v>
      </c>
      <c r="O56" s="19">
        <f t="shared" si="4"/>
        <v>0</v>
      </c>
      <c r="P56" s="20">
        <f t="shared" si="5"/>
        <v>-14.655737704918124</v>
      </c>
      <c r="Q56" s="298">
        <f t="shared" si="6"/>
        <v>0.95114754098360621</v>
      </c>
      <c r="R56" s="637"/>
      <c r="S56" s="40">
        <v>0.30694444444444441</v>
      </c>
      <c r="T56" s="40">
        <v>0.34930555555555554</v>
      </c>
      <c r="U56" s="299">
        <f t="shared" si="44"/>
        <v>4.9999999999999822</v>
      </c>
      <c r="V56" s="304">
        <f t="shared" si="42"/>
        <v>61.000000000000021</v>
      </c>
      <c r="W56" s="299"/>
      <c r="X56" s="299"/>
      <c r="Y56" s="299"/>
      <c r="Z56" s="299"/>
      <c r="AA56" s="632"/>
      <c r="AB56" s="632"/>
      <c r="AC56" s="135"/>
      <c r="AD56" s="25"/>
      <c r="AE56" s="19">
        <f t="shared" si="43"/>
        <v>-146.55737704918147</v>
      </c>
      <c r="AF56" s="298">
        <f t="shared" si="9"/>
        <v>0.95114754098360621</v>
      </c>
      <c r="AG56" s="637"/>
    </row>
    <row r="57" spans="1:33">
      <c r="A57" s="640" t="s">
        <v>1469</v>
      </c>
      <c r="B57" s="42" t="s">
        <v>1463</v>
      </c>
      <c r="C57" s="638"/>
      <c r="D57" s="638"/>
      <c r="E57" s="300"/>
      <c r="F57" s="44"/>
      <c r="G57" s="17"/>
      <c r="H57" s="305"/>
      <c r="I57" s="29">
        <v>10.25</v>
      </c>
      <c r="J57" s="39">
        <v>3000</v>
      </c>
      <c r="K57" s="17">
        <f t="shared" si="1"/>
        <v>292.6829268292683</v>
      </c>
      <c r="L57" s="29">
        <v>10.25</v>
      </c>
      <c r="M57" s="18">
        <f>AVERAGE(M53:M56)</f>
        <v>2880.2398345045031</v>
      </c>
      <c r="N57" s="17">
        <f t="shared" si="3"/>
        <v>280.99900824434178</v>
      </c>
      <c r="O57" s="19">
        <f t="shared" si="4"/>
        <v>0</v>
      </c>
      <c r="P57" s="20">
        <f t="shared" si="5"/>
        <v>-11.683918584926516</v>
      </c>
      <c r="Q57" s="298">
        <f t="shared" si="6"/>
        <v>0.96007994483483439</v>
      </c>
      <c r="R57" s="637"/>
      <c r="S57" s="40"/>
      <c r="T57" s="40"/>
      <c r="U57" s="17"/>
      <c r="V57" s="304"/>
      <c r="W57" s="17"/>
      <c r="X57" s="17"/>
      <c r="Y57" s="30">
        <f>SUM(Y53:Y56)</f>
        <v>0</v>
      </c>
      <c r="Z57" s="30">
        <f>SUM(Z53:Z56)</f>
        <v>0</v>
      </c>
      <c r="AA57" s="631"/>
      <c r="AB57" s="631"/>
      <c r="AC57" s="30">
        <v>4</v>
      </c>
      <c r="AD57" s="30">
        <f>SUM(AD53:AD56)</f>
        <v>0</v>
      </c>
      <c r="AE57" s="19">
        <f t="shared" si="43"/>
        <v>-119.76016549549695</v>
      </c>
      <c r="AF57" s="298">
        <f t="shared" si="9"/>
        <v>0.96007994483483439</v>
      </c>
      <c r="AG57" s="637"/>
    </row>
    <row r="58" spans="1:33" ht="15.75" customHeight="1">
      <c r="A58" s="634" t="s">
        <v>86</v>
      </c>
      <c r="B58" s="305" t="s">
        <v>116</v>
      </c>
      <c r="C58" s="633" t="s">
        <v>145</v>
      </c>
      <c r="D58" s="633"/>
      <c r="E58" s="42">
        <v>19.02</v>
      </c>
      <c r="F58" s="305">
        <v>7303</v>
      </c>
      <c r="G58" s="299">
        <f t="shared" ref="G58:G63" si="45">E58*F58</f>
        <v>138903.06</v>
      </c>
      <c r="H58" s="37" t="s">
        <v>91</v>
      </c>
      <c r="I58" s="303">
        <v>14</v>
      </c>
      <c r="J58" s="39">
        <v>2400</v>
      </c>
      <c r="K58" s="17">
        <f t="shared" si="1"/>
        <v>171.42857142857142</v>
      </c>
      <c r="L58" s="303">
        <v>14</v>
      </c>
      <c r="M58" s="18">
        <f t="shared" ref="M58:M63" si="46">F58/V58*60</f>
        <v>2282.1874999999995</v>
      </c>
      <c r="N58" s="17">
        <f t="shared" si="3"/>
        <v>163.01339285714283</v>
      </c>
      <c r="O58" s="19">
        <f t="shared" si="4"/>
        <v>0</v>
      </c>
      <c r="P58" s="20">
        <f t="shared" si="5"/>
        <v>-8.4151785714285836</v>
      </c>
      <c r="Q58" s="298">
        <f t="shared" si="6"/>
        <v>0.95091145833333324</v>
      </c>
      <c r="R58" s="637">
        <f>Q64</f>
        <v>0.9565434105022208</v>
      </c>
      <c r="S58" s="40">
        <v>8.3333333333333329E-2</v>
      </c>
      <c r="T58" s="40">
        <v>0.21666666666666667</v>
      </c>
      <c r="U58" s="28"/>
      <c r="V58" s="304">
        <f t="shared" ref="V58:V63" si="47">(T58-S58)*24*60</f>
        <v>192.00000000000003</v>
      </c>
      <c r="W58" s="23">
        <f>T58</f>
        <v>0.21666666666666667</v>
      </c>
      <c r="X58" s="23">
        <f>S59</f>
        <v>0.23680555555555557</v>
      </c>
      <c r="Y58" s="23"/>
      <c r="Z58" s="23"/>
      <c r="AA58" s="632"/>
      <c r="AB58" s="632"/>
      <c r="AC58" s="135">
        <v>6</v>
      </c>
      <c r="AD58" s="25"/>
      <c r="AE58" s="19">
        <f t="shared" si="43"/>
        <v>-117.81250000000045</v>
      </c>
      <c r="AF58" s="298">
        <f t="shared" si="9"/>
        <v>0.95091145833333313</v>
      </c>
      <c r="AG58" s="637">
        <f>AF64</f>
        <v>0.95654341050222091</v>
      </c>
    </row>
    <row r="59" spans="1:33" ht="15.75" customHeight="1">
      <c r="A59" s="635" t="s">
        <v>1470</v>
      </c>
      <c r="B59" s="305" t="s">
        <v>116</v>
      </c>
      <c r="C59" s="633" t="s">
        <v>146</v>
      </c>
      <c r="D59" s="633"/>
      <c r="E59" s="42">
        <v>20.36</v>
      </c>
      <c r="F59" s="305">
        <v>3103</v>
      </c>
      <c r="G59" s="299">
        <f t="shared" si="45"/>
        <v>63177.08</v>
      </c>
      <c r="H59" s="37" t="s">
        <v>91</v>
      </c>
      <c r="I59" s="303">
        <v>17</v>
      </c>
      <c r="J59" s="39">
        <v>2400</v>
      </c>
      <c r="K59" s="17">
        <f t="shared" si="1"/>
        <v>141.1764705882353</v>
      </c>
      <c r="L59" s="303">
        <v>17</v>
      </c>
      <c r="M59" s="18">
        <f t="shared" si="46"/>
        <v>2298.5185185185187</v>
      </c>
      <c r="N59" s="17">
        <f t="shared" si="3"/>
        <v>135.20697167755992</v>
      </c>
      <c r="O59" s="19">
        <f t="shared" si="4"/>
        <v>0</v>
      </c>
      <c r="P59" s="20">
        <f t="shared" si="5"/>
        <v>-5.9694989106753837</v>
      </c>
      <c r="Q59" s="298">
        <f t="shared" si="6"/>
        <v>0.95771604938271604</v>
      </c>
      <c r="R59" s="637"/>
      <c r="S59" s="40">
        <v>0.23680555555555557</v>
      </c>
      <c r="T59" s="40">
        <v>0.29305555555555557</v>
      </c>
      <c r="U59" s="299">
        <f t="shared" ref="U59:U63" si="48">(S59-T58)*24*60</f>
        <v>29.000000000000018</v>
      </c>
      <c r="V59" s="304">
        <f t="shared" si="47"/>
        <v>80.999999999999986</v>
      </c>
      <c r="W59" s="23"/>
      <c r="X59" s="23"/>
      <c r="Y59" s="23"/>
      <c r="Z59" s="23"/>
      <c r="AA59" s="632"/>
      <c r="AB59" s="632"/>
      <c r="AC59" s="135"/>
      <c r="AD59" s="25"/>
      <c r="AE59" s="19">
        <f t="shared" si="43"/>
        <v>-101.4814814814813</v>
      </c>
      <c r="AF59" s="298">
        <f t="shared" si="9"/>
        <v>0.95771604938271615</v>
      </c>
      <c r="AG59" s="637"/>
    </row>
    <row r="60" spans="1:33" ht="15.75" customHeight="1">
      <c r="A60" s="635" t="s">
        <v>1470</v>
      </c>
      <c r="B60" s="305" t="s">
        <v>116</v>
      </c>
      <c r="C60" s="633" t="s">
        <v>120</v>
      </c>
      <c r="D60" s="633"/>
      <c r="E60" s="42">
        <v>25.99</v>
      </c>
      <c r="F60" s="305">
        <v>892</v>
      </c>
      <c r="G60" s="299">
        <f t="shared" si="45"/>
        <v>23183.079999999998</v>
      </c>
      <c r="H60" s="37" t="s">
        <v>91</v>
      </c>
      <c r="I60" s="303">
        <v>18</v>
      </c>
      <c r="J60" s="39">
        <v>2400</v>
      </c>
      <c r="K60" s="17">
        <f t="shared" si="1"/>
        <v>133.33333333333334</v>
      </c>
      <c r="L60" s="303">
        <v>18</v>
      </c>
      <c r="M60" s="18">
        <f t="shared" si="46"/>
        <v>2326.9565217391305</v>
      </c>
      <c r="N60" s="17">
        <f t="shared" si="3"/>
        <v>129.27536231884059</v>
      </c>
      <c r="O60" s="19">
        <f t="shared" si="4"/>
        <v>0</v>
      </c>
      <c r="P60" s="20">
        <f t="shared" si="5"/>
        <v>-4.0579710144927503</v>
      </c>
      <c r="Q60" s="298">
        <f t="shared" si="6"/>
        <v>0.96956521739130441</v>
      </c>
      <c r="R60" s="637"/>
      <c r="S60" s="40">
        <v>0.29791666666666666</v>
      </c>
      <c r="T60" s="40">
        <v>0.31388888888888888</v>
      </c>
      <c r="U60" s="299">
        <f t="shared" si="48"/>
        <v>6.9999999999999751</v>
      </c>
      <c r="V60" s="304">
        <f t="shared" si="47"/>
        <v>23</v>
      </c>
      <c r="W60" s="23"/>
      <c r="X60" s="23"/>
      <c r="Y60" s="23"/>
      <c r="Z60" s="23"/>
      <c r="AA60" s="632"/>
      <c r="AB60" s="632"/>
      <c r="AC60" s="135"/>
      <c r="AD60" s="25"/>
      <c r="AE60" s="19">
        <f t="shared" si="43"/>
        <v>-73.043478260869506</v>
      </c>
      <c r="AF60" s="298">
        <f t="shared" si="9"/>
        <v>0.96956521739130441</v>
      </c>
      <c r="AG60" s="637"/>
    </row>
    <row r="61" spans="1:33" ht="15.75" customHeight="1">
      <c r="A61" s="635" t="s">
        <v>1470</v>
      </c>
      <c r="B61" s="305" t="s">
        <v>116</v>
      </c>
      <c r="C61" s="633" t="s">
        <v>148</v>
      </c>
      <c r="D61" s="633"/>
      <c r="E61" s="42">
        <v>28.29</v>
      </c>
      <c r="F61" s="305">
        <v>3195</v>
      </c>
      <c r="G61" s="299">
        <f t="shared" si="45"/>
        <v>90386.55</v>
      </c>
      <c r="H61" s="37" t="s">
        <v>91</v>
      </c>
      <c r="I61" s="303">
        <v>21</v>
      </c>
      <c r="J61" s="39">
        <v>2400</v>
      </c>
      <c r="K61" s="17">
        <f t="shared" si="1"/>
        <v>114.28571428571429</v>
      </c>
      <c r="L61" s="303">
        <v>21</v>
      </c>
      <c r="M61" s="18">
        <f t="shared" si="46"/>
        <v>2282.1428571428564</v>
      </c>
      <c r="N61" s="17">
        <f t="shared" si="3"/>
        <v>108.67346938775506</v>
      </c>
      <c r="O61" s="19">
        <f t="shared" si="4"/>
        <v>0</v>
      </c>
      <c r="P61" s="20">
        <f t="shared" si="5"/>
        <v>-5.6122448979592292</v>
      </c>
      <c r="Q61" s="298">
        <f t="shared" si="6"/>
        <v>0.95089285714285676</v>
      </c>
      <c r="R61" s="637"/>
      <c r="S61" s="40">
        <v>0.31874999999999998</v>
      </c>
      <c r="T61" s="40">
        <v>0.37708333333333333</v>
      </c>
      <c r="U61" s="299">
        <f t="shared" si="48"/>
        <v>6.9999999999999751</v>
      </c>
      <c r="V61" s="304">
        <f t="shared" si="47"/>
        <v>84.000000000000028</v>
      </c>
      <c r="W61" s="23"/>
      <c r="X61" s="23"/>
      <c r="Y61" s="23"/>
      <c r="Z61" s="23"/>
      <c r="AA61" s="632"/>
      <c r="AB61" s="632"/>
      <c r="AC61" s="135"/>
      <c r="AD61" s="25"/>
      <c r="AE61" s="19">
        <f t="shared" si="43"/>
        <v>-117.85714285714357</v>
      </c>
      <c r="AF61" s="298">
        <f t="shared" si="9"/>
        <v>0.95089285714285687</v>
      </c>
      <c r="AG61" s="637"/>
    </row>
    <row r="62" spans="1:33" ht="15.75" customHeight="1">
      <c r="A62" s="635" t="s">
        <v>1470</v>
      </c>
      <c r="B62" s="305" t="s">
        <v>116</v>
      </c>
      <c r="C62" s="633" t="s">
        <v>149</v>
      </c>
      <c r="D62" s="633"/>
      <c r="E62" s="42">
        <v>24.25</v>
      </c>
      <c r="F62" s="305">
        <v>2816</v>
      </c>
      <c r="G62" s="299">
        <f t="shared" si="45"/>
        <v>68288</v>
      </c>
      <c r="H62" s="37" t="s">
        <v>91</v>
      </c>
      <c r="I62" s="303">
        <v>16</v>
      </c>
      <c r="J62" s="39">
        <v>2400</v>
      </c>
      <c r="K62" s="17">
        <f t="shared" si="1"/>
        <v>150</v>
      </c>
      <c r="L62" s="303">
        <v>16</v>
      </c>
      <c r="M62" s="18">
        <f t="shared" si="46"/>
        <v>2283.2432432432443</v>
      </c>
      <c r="N62" s="17">
        <f t="shared" si="3"/>
        <v>142.70270270270277</v>
      </c>
      <c r="O62" s="19">
        <f t="shared" si="4"/>
        <v>0</v>
      </c>
      <c r="P62" s="20">
        <f t="shared" si="5"/>
        <v>-7.2972972972972343</v>
      </c>
      <c r="Q62" s="298">
        <f t="shared" si="6"/>
        <v>0.95135135135135174</v>
      </c>
      <c r="R62" s="637"/>
      <c r="S62" s="40">
        <v>0.38194444444444442</v>
      </c>
      <c r="T62" s="40">
        <v>0.43333333333333329</v>
      </c>
      <c r="U62" s="299">
        <f t="shared" si="48"/>
        <v>6.9999999999999751</v>
      </c>
      <c r="V62" s="304">
        <f t="shared" si="47"/>
        <v>73.999999999999972</v>
      </c>
      <c r="W62" s="23"/>
      <c r="X62" s="23"/>
      <c r="Y62" s="23"/>
      <c r="Z62" s="23"/>
      <c r="AA62" s="632"/>
      <c r="AB62" s="632"/>
      <c r="AC62" s="135"/>
      <c r="AD62" s="25"/>
      <c r="AE62" s="19">
        <f t="shared" si="43"/>
        <v>-116.75675675675575</v>
      </c>
      <c r="AF62" s="298">
        <f t="shared" si="9"/>
        <v>0.95135135135135174</v>
      </c>
      <c r="AG62" s="637"/>
    </row>
    <row r="63" spans="1:33" ht="15.75" customHeight="1">
      <c r="A63" s="635" t="s">
        <v>1470</v>
      </c>
      <c r="B63" s="305" t="s">
        <v>116</v>
      </c>
      <c r="C63" s="633" t="s">
        <v>150</v>
      </c>
      <c r="D63" s="633"/>
      <c r="E63" s="42">
        <v>23.89</v>
      </c>
      <c r="F63" s="305">
        <v>2608</v>
      </c>
      <c r="G63" s="299">
        <f t="shared" si="45"/>
        <v>62305.120000000003</v>
      </c>
      <c r="H63" s="37" t="s">
        <v>91</v>
      </c>
      <c r="I63" s="303">
        <v>13</v>
      </c>
      <c r="J63" s="39">
        <v>2400</v>
      </c>
      <c r="K63" s="17">
        <f t="shared" si="1"/>
        <v>184.61538461538461</v>
      </c>
      <c r="L63" s="303">
        <v>13</v>
      </c>
      <c r="M63" s="18">
        <f t="shared" si="46"/>
        <v>2301.1764705882351</v>
      </c>
      <c r="N63" s="17">
        <f t="shared" si="3"/>
        <v>177.01357466063348</v>
      </c>
      <c r="O63" s="19">
        <f t="shared" si="4"/>
        <v>0</v>
      </c>
      <c r="P63" s="20">
        <f t="shared" si="5"/>
        <v>-7.6018099547511326</v>
      </c>
      <c r="Q63" s="298">
        <f t="shared" si="6"/>
        <v>0.95882352941176474</v>
      </c>
      <c r="R63" s="637"/>
      <c r="S63" s="40">
        <v>0.4368055555555555</v>
      </c>
      <c r="T63" s="40">
        <v>0.48402777777777772</v>
      </c>
      <c r="U63" s="299">
        <f t="shared" si="48"/>
        <v>4.9999999999999822</v>
      </c>
      <c r="V63" s="304">
        <f t="shared" si="47"/>
        <v>68</v>
      </c>
      <c r="W63" s="23"/>
      <c r="X63" s="23"/>
      <c r="Y63" s="23"/>
      <c r="Z63" s="23"/>
      <c r="AA63" s="632"/>
      <c r="AB63" s="632"/>
      <c r="AC63" s="135"/>
      <c r="AD63" s="25"/>
      <c r="AE63" s="19">
        <f t="shared" si="43"/>
        <v>-98.823529411764866</v>
      </c>
      <c r="AF63" s="298">
        <f t="shared" si="9"/>
        <v>0.95882352941176463</v>
      </c>
      <c r="AG63" s="637"/>
    </row>
    <row r="64" spans="1:33" ht="16.5" customHeight="1">
      <c r="A64" s="636" t="s">
        <v>1470</v>
      </c>
      <c r="B64" s="42" t="s">
        <v>1463</v>
      </c>
      <c r="C64" s="629"/>
      <c r="D64" s="630"/>
      <c r="E64" s="300"/>
      <c r="F64" s="44"/>
      <c r="G64" s="17"/>
      <c r="H64" s="305"/>
      <c r="I64" s="29">
        <v>16.5</v>
      </c>
      <c r="J64" s="39">
        <v>2400</v>
      </c>
      <c r="K64" s="17">
        <f t="shared" si="1"/>
        <v>145.45454545454547</v>
      </c>
      <c r="L64" s="29">
        <v>16.5</v>
      </c>
      <c r="M64" s="18">
        <f>AVERAGE(M58:M63)</f>
        <v>2295.7041852053303</v>
      </c>
      <c r="N64" s="17">
        <f t="shared" si="3"/>
        <v>139.13358698214122</v>
      </c>
      <c r="O64" s="19">
        <f t="shared" si="4"/>
        <v>0</v>
      </c>
      <c r="P64" s="20">
        <f t="shared" si="5"/>
        <v>-6.3209584724042429</v>
      </c>
      <c r="Q64" s="298">
        <f t="shared" si="6"/>
        <v>0.9565434105022208</v>
      </c>
      <c r="R64" s="637"/>
      <c r="S64" s="40"/>
      <c r="T64" s="40"/>
      <c r="U64" s="17"/>
      <c r="V64" s="304"/>
      <c r="W64" s="17"/>
      <c r="X64" s="17"/>
      <c r="Y64" s="30">
        <f>SUM(Y58:Y63)</f>
        <v>0</v>
      </c>
      <c r="Z64" s="30">
        <f>SUM(Z58:Z63)</f>
        <v>0</v>
      </c>
      <c r="AA64" s="631"/>
      <c r="AB64" s="631"/>
      <c r="AC64" s="30">
        <v>6</v>
      </c>
      <c r="AD64" s="30">
        <f>SUM(AD58:AD63)</f>
        <v>0</v>
      </c>
      <c r="AE64" s="19">
        <f t="shared" si="43"/>
        <v>-104.2958147946697</v>
      </c>
      <c r="AF64" s="298">
        <f t="shared" si="9"/>
        <v>0.95654341050222091</v>
      </c>
      <c r="AG64" s="637"/>
    </row>
    <row r="65" spans="4:5">
      <c r="D65" s="33"/>
      <c r="E65" s="33"/>
    </row>
  </sheetData>
  <mergeCells count="179"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A9:A13"/>
    <mergeCell ref="C9:D9"/>
    <mergeCell ref="R9:R13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AG14:AG20"/>
    <mergeCell ref="C15:D15"/>
    <mergeCell ref="AA15:AB15"/>
    <mergeCell ref="C16:D16"/>
    <mergeCell ref="AA16:AB16"/>
    <mergeCell ref="C17:D17"/>
    <mergeCell ref="AG9:AG13"/>
    <mergeCell ref="C10:D10"/>
    <mergeCell ref="AA10:AB10"/>
    <mergeCell ref="C11:D11"/>
    <mergeCell ref="AA11:AB11"/>
    <mergeCell ref="C12:D12"/>
    <mergeCell ref="AA12:AB12"/>
    <mergeCell ref="C13:D13"/>
    <mergeCell ref="AA13:AB13"/>
    <mergeCell ref="AA17:AB17"/>
    <mergeCell ref="C18:D18"/>
    <mergeCell ref="AA18:AB18"/>
    <mergeCell ref="C20:D20"/>
    <mergeCell ref="AA20:AB20"/>
    <mergeCell ref="C21:D21"/>
    <mergeCell ref="R21:R27"/>
    <mergeCell ref="AA21:AB21"/>
    <mergeCell ref="AA26:AB26"/>
    <mergeCell ref="A14:A20"/>
    <mergeCell ref="C14:D14"/>
    <mergeCell ref="R14:R20"/>
    <mergeCell ref="AA14:AB14"/>
    <mergeCell ref="C27:D27"/>
    <mergeCell ref="AA27:AB27"/>
    <mergeCell ref="A28:A32"/>
    <mergeCell ref="C28:D28"/>
    <mergeCell ref="R28:R32"/>
    <mergeCell ref="AA28:AB28"/>
    <mergeCell ref="AG21:AG27"/>
    <mergeCell ref="C22:D22"/>
    <mergeCell ref="AA22:AB22"/>
    <mergeCell ref="C23:D23"/>
    <mergeCell ref="AA23:AB23"/>
    <mergeCell ref="C24:D24"/>
    <mergeCell ref="AA24:AB24"/>
    <mergeCell ref="C25:D25"/>
    <mergeCell ref="AA25:AB25"/>
    <mergeCell ref="C26:D26"/>
    <mergeCell ref="AG28:AG32"/>
    <mergeCell ref="C29:D29"/>
    <mergeCell ref="AA29:AB29"/>
    <mergeCell ref="C30:D30"/>
    <mergeCell ref="AA30:AB30"/>
    <mergeCell ref="C31:D31"/>
    <mergeCell ref="AA31:AB31"/>
    <mergeCell ref="C32:D32"/>
    <mergeCell ref="AA32:AB32"/>
    <mergeCell ref="A21:A27"/>
    <mergeCell ref="A33:A39"/>
    <mergeCell ref="C33:D33"/>
    <mergeCell ref="R33:R39"/>
    <mergeCell ref="AA33:AB33"/>
    <mergeCell ref="AG33:AG39"/>
    <mergeCell ref="C34:D34"/>
    <mergeCell ref="AA34:AB34"/>
    <mergeCell ref="C35:D35"/>
    <mergeCell ref="AA35:AB35"/>
    <mergeCell ref="C36:D36"/>
    <mergeCell ref="AG40:AG44"/>
    <mergeCell ref="C41:D41"/>
    <mergeCell ref="AA41:AB41"/>
    <mergeCell ref="C42:D42"/>
    <mergeCell ref="AA42:AB42"/>
    <mergeCell ref="C43:D43"/>
    <mergeCell ref="AA36:AB36"/>
    <mergeCell ref="C37:D37"/>
    <mergeCell ref="AA37:AB37"/>
    <mergeCell ref="C38:D38"/>
    <mergeCell ref="AA38:AB38"/>
    <mergeCell ref="C39:D39"/>
    <mergeCell ref="AA39:AB39"/>
    <mergeCell ref="AA43:AB43"/>
    <mergeCell ref="C44:D44"/>
    <mergeCell ref="AA44:AB44"/>
    <mergeCell ref="A45:A52"/>
    <mergeCell ref="C45:D45"/>
    <mergeCell ref="R45:R52"/>
    <mergeCell ref="AA45:AB45"/>
    <mergeCell ref="AA51:AB51"/>
    <mergeCell ref="C52:D52"/>
    <mergeCell ref="AA52:AB52"/>
    <mergeCell ref="A40:A44"/>
    <mergeCell ref="C40:D40"/>
    <mergeCell ref="R40:R44"/>
    <mergeCell ref="AA40:AB40"/>
    <mergeCell ref="AG53:AG57"/>
    <mergeCell ref="C54:D54"/>
    <mergeCell ref="AA54:AB54"/>
    <mergeCell ref="C55:D55"/>
    <mergeCell ref="AA55:AB55"/>
    <mergeCell ref="C56:D56"/>
    <mergeCell ref="AG45:AG52"/>
    <mergeCell ref="C46:D46"/>
    <mergeCell ref="AA46:AB46"/>
    <mergeCell ref="C47:D47"/>
    <mergeCell ref="AA47:AB47"/>
    <mergeCell ref="AA48:AB48"/>
    <mergeCell ref="AA49:AB49"/>
    <mergeCell ref="C50:D50"/>
    <mergeCell ref="AA50:AB50"/>
    <mergeCell ref="C51:D51"/>
    <mergeCell ref="AA56:AB56"/>
    <mergeCell ref="C57:D57"/>
    <mergeCell ref="AA57:AB57"/>
    <mergeCell ref="A58:A64"/>
    <mergeCell ref="C58:D58"/>
    <mergeCell ref="R58:R64"/>
    <mergeCell ref="AA58:AB58"/>
    <mergeCell ref="AA63:AB63"/>
    <mergeCell ref="C64:D64"/>
    <mergeCell ref="AA64:AB64"/>
    <mergeCell ref="A53:A57"/>
    <mergeCell ref="C53:D53"/>
    <mergeCell ref="R53:R57"/>
    <mergeCell ref="AA53:AB53"/>
    <mergeCell ref="AG58:AG64"/>
    <mergeCell ref="C59:D59"/>
    <mergeCell ref="AA59:AB59"/>
    <mergeCell ref="C60:D60"/>
    <mergeCell ref="AA60:AB60"/>
    <mergeCell ref="C61:D61"/>
    <mergeCell ref="AA61:AB61"/>
    <mergeCell ref="C62:D62"/>
    <mergeCell ref="AA62:AB62"/>
    <mergeCell ref="C63:D63"/>
  </mergeCells>
  <phoneticPr fontId="3" type="noConversion"/>
  <conditionalFormatting sqref="O52:O53 O56:O64 O5:O9 O13:O15 O20:O50">
    <cfRule type="cellIs" dxfId="1108" priority="41" operator="greaterThan">
      <formula>0</formula>
    </cfRule>
  </conditionalFormatting>
  <conditionalFormatting sqref="P5:P7 P56 AE56 P58:P63 P28:P31 P53 P9 P13:P15 P21:P26 P45:P50 P33:P43 AE5:AE53 AE58:AE64">
    <cfRule type="cellIs" dxfId="1107" priority="45" operator="lessThan">
      <formula>0</formula>
    </cfRule>
  </conditionalFormatting>
  <conditionalFormatting sqref="AF56 Q52:Q53 Q56:Q64 Q5:Q9 Q13:Q15 Q20:Q50 AF5:AF53 AF58:AF64">
    <cfRule type="cellIs" dxfId="1106" priority="42" operator="greaterThan">
      <formula>1</formula>
    </cfRule>
    <cfRule type="cellIs" dxfId="1105" priority="43" operator="lessThan">
      <formula>0.8</formula>
    </cfRule>
  </conditionalFormatting>
  <conditionalFormatting sqref="AG14:AG15 R14:R15 AG56 AG52:AG53 R52:R53 R56:R64 AG5:AG9 R5:R9 AG20:AG50 R20:R50">
    <cfRule type="cellIs" dxfId="1104" priority="47" operator="lessThan">
      <formula>0.8</formula>
    </cfRule>
  </conditionalFormatting>
  <conditionalFormatting sqref="AG40">
    <cfRule type="cellIs" dxfId="1103" priority="49" operator="lessThan">
      <formula>0.8</formula>
    </cfRule>
  </conditionalFormatting>
  <conditionalFormatting sqref="AG21:AG26">
    <cfRule type="cellIs" dxfId="1102" priority="46" operator="lessThan">
      <formula>0.8</formula>
    </cfRule>
  </conditionalFormatting>
  <conditionalFormatting sqref="AG28">
    <cfRule type="cellIs" dxfId="1101" priority="48" operator="lessThan">
      <formula>0.8</formula>
    </cfRule>
  </conditionalFormatting>
  <conditionalFormatting sqref="AG33:AG38">
    <cfRule type="cellIs" dxfId="1100" priority="44" operator="lessThan">
      <formula>0.8</formula>
    </cfRule>
  </conditionalFormatting>
  <conditionalFormatting sqref="AE57">
    <cfRule type="cellIs" dxfId="1099" priority="40" operator="lessThan">
      <formula>0</formula>
    </cfRule>
  </conditionalFormatting>
  <conditionalFormatting sqref="AF57">
    <cfRule type="cellIs" dxfId="1098" priority="38" operator="greaterThan">
      <formula>1</formula>
    </cfRule>
    <cfRule type="cellIs" dxfId="1097" priority="39" operator="lessThan">
      <formula>0.8</formula>
    </cfRule>
  </conditionalFormatting>
  <conditionalFormatting sqref="O16:O17">
    <cfRule type="cellIs" dxfId="1096" priority="33" operator="greaterThan">
      <formula>0</formula>
    </cfRule>
  </conditionalFormatting>
  <conditionalFormatting sqref="P16:P17">
    <cfRule type="cellIs" dxfId="1095" priority="36" operator="lessThan">
      <formula>0</formula>
    </cfRule>
  </conditionalFormatting>
  <conditionalFormatting sqref="Q16:Q17">
    <cfRule type="cellIs" dxfId="1094" priority="34" operator="greaterThan">
      <formula>1</formula>
    </cfRule>
    <cfRule type="cellIs" dxfId="1093" priority="35" operator="lessThan">
      <formula>0.8</formula>
    </cfRule>
  </conditionalFormatting>
  <conditionalFormatting sqref="R16:R17 AG16:AG17">
    <cfRule type="cellIs" dxfId="1092" priority="37" operator="lessThan">
      <formula>0.8</formula>
    </cfRule>
  </conditionalFormatting>
  <conditionalFormatting sqref="O10:O12">
    <cfRule type="cellIs" dxfId="1091" priority="29" operator="greaterThan">
      <formula>0</formula>
    </cfRule>
  </conditionalFormatting>
  <conditionalFormatting sqref="P10:P12">
    <cfRule type="cellIs" dxfId="1090" priority="32" operator="lessThan">
      <formula>0</formula>
    </cfRule>
  </conditionalFormatting>
  <conditionalFormatting sqref="Q10:Q12">
    <cfRule type="cellIs" dxfId="1089" priority="30" operator="greaterThan">
      <formula>1</formula>
    </cfRule>
    <cfRule type="cellIs" dxfId="1088" priority="31" operator="lessThan">
      <formula>0.8</formula>
    </cfRule>
  </conditionalFormatting>
  <conditionalFormatting sqref="O51">
    <cfRule type="cellIs" dxfId="1087" priority="24" operator="greaterThan">
      <formula>0</formula>
    </cfRule>
  </conditionalFormatting>
  <conditionalFormatting sqref="P51">
    <cfRule type="cellIs" dxfId="1086" priority="27" operator="lessThan">
      <formula>0</formula>
    </cfRule>
  </conditionalFormatting>
  <conditionalFormatting sqref="Q51">
    <cfRule type="cellIs" dxfId="1085" priority="25" operator="greaterThan">
      <formula>1</formula>
    </cfRule>
    <cfRule type="cellIs" dxfId="1084" priority="26" operator="lessThan">
      <formula>0.8</formula>
    </cfRule>
  </conditionalFormatting>
  <conditionalFormatting sqref="R51 AG51">
    <cfRule type="cellIs" dxfId="1083" priority="28" operator="lessThan">
      <formula>0.8</formula>
    </cfRule>
  </conditionalFormatting>
  <conditionalFormatting sqref="O55">
    <cfRule type="cellIs" dxfId="1082" priority="19" operator="greaterThan">
      <formula>0</formula>
    </cfRule>
  </conditionalFormatting>
  <conditionalFormatting sqref="P55 AE55">
    <cfRule type="cellIs" dxfId="1081" priority="22" operator="lessThan">
      <formula>0</formula>
    </cfRule>
  </conditionalFormatting>
  <conditionalFormatting sqref="Q55 AF55">
    <cfRule type="cellIs" dxfId="1080" priority="20" operator="greaterThan">
      <formula>1</formula>
    </cfRule>
    <cfRule type="cellIs" dxfId="1079" priority="21" operator="lessThan">
      <formula>0.8</formula>
    </cfRule>
  </conditionalFormatting>
  <conditionalFormatting sqref="R55 AG55">
    <cfRule type="cellIs" dxfId="1078" priority="23" operator="lessThan">
      <formula>0.8</formula>
    </cfRule>
  </conditionalFormatting>
  <conditionalFormatting sqref="O18:O19">
    <cfRule type="cellIs" dxfId="1077" priority="14" operator="greaterThan">
      <formula>0</formula>
    </cfRule>
  </conditionalFormatting>
  <conditionalFormatting sqref="P18:P19">
    <cfRule type="cellIs" dxfId="1076" priority="17" operator="lessThan">
      <formula>0</formula>
    </cfRule>
  </conditionalFormatting>
  <conditionalFormatting sqref="Q18:Q19">
    <cfRule type="cellIs" dxfId="1075" priority="15" operator="greaterThan">
      <formula>1</formula>
    </cfRule>
    <cfRule type="cellIs" dxfId="1074" priority="16" operator="lessThan">
      <formula>0.8</formula>
    </cfRule>
  </conditionalFormatting>
  <conditionalFormatting sqref="R18:R19 AG18:AG19">
    <cfRule type="cellIs" dxfId="1073" priority="18" operator="lessThan">
      <formula>0.8</formula>
    </cfRule>
  </conditionalFormatting>
  <conditionalFormatting sqref="O54">
    <cfRule type="cellIs" dxfId="1072" priority="9" operator="greaterThan">
      <formula>0</formula>
    </cfRule>
  </conditionalFormatting>
  <conditionalFormatting sqref="P54 AE54">
    <cfRule type="cellIs" dxfId="1071" priority="12" operator="lessThan">
      <formula>0</formula>
    </cfRule>
  </conditionalFormatting>
  <conditionalFormatting sqref="Q54 AF54">
    <cfRule type="cellIs" dxfId="1070" priority="10" operator="greaterThan">
      <formula>1</formula>
    </cfRule>
    <cfRule type="cellIs" dxfId="1069" priority="11" operator="lessThan">
      <formula>0.8</formula>
    </cfRule>
  </conditionalFormatting>
  <conditionalFormatting sqref="R54 AG54">
    <cfRule type="cellIs" dxfId="1068" priority="13" operator="lessThan">
      <formula>0.8</formula>
    </cfRule>
  </conditionalFormatting>
  <conditionalFormatting sqref="P8">
    <cfRule type="cellIs" dxfId="1067" priority="8" operator="lessThan">
      <formula>0</formula>
    </cfRule>
  </conditionalFormatting>
  <conditionalFormatting sqref="P20">
    <cfRule type="cellIs" dxfId="1066" priority="7" operator="lessThan">
      <formula>0</formula>
    </cfRule>
  </conditionalFormatting>
  <conditionalFormatting sqref="P27">
    <cfRule type="cellIs" dxfId="1065" priority="6" operator="lessThan">
      <formula>0</formula>
    </cfRule>
  </conditionalFormatting>
  <conditionalFormatting sqref="P32">
    <cfRule type="cellIs" dxfId="1064" priority="5" operator="lessThan">
      <formula>0</formula>
    </cfRule>
  </conditionalFormatting>
  <conditionalFormatting sqref="P44">
    <cfRule type="cellIs" dxfId="1063" priority="4" operator="lessThan">
      <formula>0</formula>
    </cfRule>
  </conditionalFormatting>
  <conditionalFormatting sqref="P52">
    <cfRule type="cellIs" dxfId="1062" priority="3" operator="lessThan">
      <formula>0</formula>
    </cfRule>
  </conditionalFormatting>
  <conditionalFormatting sqref="P57">
    <cfRule type="cellIs" dxfId="1061" priority="2" operator="lessThan">
      <formula>0</formula>
    </cfRule>
  </conditionalFormatting>
  <conditionalFormatting sqref="P64">
    <cfRule type="cellIs" dxfId="1060" priority="1" operator="lessThan">
      <formula>0</formula>
    </cfRule>
  </conditionalFormatting>
  <dataValidations count="1">
    <dataValidation type="list" allowBlank="1" showInputMessage="1" showErrorMessage="1" sqref="AB8 AA5:AB7 AA8:AA56 AB10:AB53 AA57:AB64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K6" sqref="K6:K8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612" t="s">
        <v>1282</v>
      </c>
      <c r="C1" s="612"/>
      <c r="D1" s="612"/>
      <c r="E1" s="612"/>
      <c r="F1" s="612"/>
      <c r="G1" s="612"/>
      <c r="H1" s="612"/>
      <c r="I1" s="612"/>
      <c r="J1" s="612"/>
      <c r="K1" s="51"/>
      <c r="L1" s="51"/>
      <c r="M1" s="51"/>
      <c r="N1" s="51"/>
      <c r="O1" s="51"/>
      <c r="P1" s="51"/>
    </row>
    <row r="2" spans="2:17" ht="27.75" customHeight="1">
      <c r="B2" s="613"/>
      <c r="C2" s="613"/>
      <c r="D2" s="613"/>
      <c r="E2" s="613"/>
      <c r="F2" s="613"/>
      <c r="G2" s="613"/>
      <c r="H2" s="613"/>
      <c r="I2" s="613"/>
      <c r="J2" s="613"/>
      <c r="K2" s="53"/>
      <c r="L2" s="53"/>
      <c r="M2" s="53"/>
      <c r="N2" s="51"/>
      <c r="O2" s="51"/>
      <c r="P2" s="51"/>
    </row>
    <row r="3" spans="2:17" ht="46.5" customHeight="1">
      <c r="B3" s="54" t="s">
        <v>1283</v>
      </c>
      <c r="C3" s="614" t="str">
        <f>TEXT('0813 4度C'!A2,"yyyy.mm.ddaaaa")</f>
        <v>2026.08.13星期四</v>
      </c>
      <c r="D3" s="615"/>
      <c r="E3" s="54" t="s">
        <v>1284</v>
      </c>
      <c r="F3" s="616">
        <f>'0813 4度C'!D1</f>
        <v>156512</v>
      </c>
      <c r="G3" s="617"/>
      <c r="H3" s="54" t="s">
        <v>1285</v>
      </c>
      <c r="I3" s="618">
        <f>'0813 4度C'!F1</f>
        <v>5315390.2899999991</v>
      </c>
      <c r="J3" s="619"/>
      <c r="K3" s="55"/>
      <c r="L3" s="56"/>
      <c r="M3" s="57"/>
      <c r="N3" s="57"/>
    </row>
    <row r="4" spans="2:17" ht="28.5" customHeight="1">
      <c r="B4" s="620" t="s">
        <v>1286</v>
      </c>
      <c r="C4" s="606" t="s">
        <v>1287</v>
      </c>
      <c r="D4" s="607"/>
      <c r="E4" s="623" t="s">
        <v>1288</v>
      </c>
      <c r="F4" s="624"/>
      <c r="G4" s="623" t="s">
        <v>1289</v>
      </c>
      <c r="H4" s="624"/>
      <c r="I4" s="623" t="s">
        <v>1290</v>
      </c>
      <c r="J4" s="624"/>
      <c r="K4" s="604" t="s">
        <v>1291</v>
      </c>
      <c r="L4" s="605"/>
      <c r="M4" s="605" t="s">
        <v>1292</v>
      </c>
      <c r="N4" s="605"/>
    </row>
    <row r="5" spans="2:17" ht="28.5" customHeight="1">
      <c r="B5" s="621"/>
      <c r="C5" s="606" t="s">
        <v>1293</v>
      </c>
      <c r="D5" s="607"/>
      <c r="E5" s="606" t="s">
        <v>1294</v>
      </c>
      <c r="F5" s="607"/>
      <c r="G5" s="608" t="s">
        <v>1295</v>
      </c>
      <c r="H5" s="609"/>
      <c r="I5" s="610" t="s">
        <v>1296</v>
      </c>
      <c r="J5" s="611"/>
      <c r="K5" s="58" t="s">
        <v>1297</v>
      </c>
      <c r="L5" s="59" t="s">
        <v>1298</v>
      </c>
      <c r="M5" s="58" t="s">
        <v>1297</v>
      </c>
      <c r="N5" s="59" t="s">
        <v>1299</v>
      </c>
    </row>
    <row r="6" spans="2:17" ht="28.5" customHeight="1">
      <c r="B6" s="621"/>
      <c r="C6" s="606" t="s">
        <v>169</v>
      </c>
      <c r="D6" s="607"/>
      <c r="E6" s="598">
        <f>AVERAGE(D13:M13)</f>
        <v>157.90933403371446</v>
      </c>
      <c r="F6" s="599">
        <f>AVERAGE(D31:O31,D13:J13)</f>
        <v>166.86204336592209</v>
      </c>
      <c r="G6" s="600">
        <f>AVERAGE(D13:J13)</f>
        <v>166.86204336592209</v>
      </c>
      <c r="H6" s="601"/>
      <c r="I6" s="600">
        <f>AVERAGE(K13:M13)</f>
        <v>137.01967892523007</v>
      </c>
      <c r="J6" s="601"/>
      <c r="K6" s="602">
        <f>'0813 4度C'!Y2</f>
        <v>0</v>
      </c>
      <c r="L6" s="587">
        <f>'0813 4度C'!Z2</f>
        <v>0</v>
      </c>
      <c r="M6" s="603">
        <f>'0813 4度C'!AC2</f>
        <v>55</v>
      </c>
      <c r="N6" s="587">
        <f>'0813 4度C'!AD2</f>
        <v>0</v>
      </c>
    </row>
    <row r="7" spans="2:17" ht="28.5" customHeight="1">
      <c r="B7" s="621"/>
      <c r="C7" s="588" t="s">
        <v>170</v>
      </c>
      <c r="D7" s="589"/>
      <c r="E7" s="590">
        <f>AVERAGE(D14:M14)</f>
        <v>151.57418484379622</v>
      </c>
      <c r="F7" s="591">
        <f>AVERAGE(D32:O32,D14:J14)</f>
        <v>160.36509697472994</v>
      </c>
      <c r="G7" s="592">
        <f>AVERAGE(D14:J14)</f>
        <v>160.36509697472994</v>
      </c>
      <c r="H7" s="593"/>
      <c r="I7" s="592">
        <f>AVERAGE(K14:M14)</f>
        <v>131.06205653828434</v>
      </c>
      <c r="J7" s="593"/>
      <c r="K7" s="602"/>
      <c r="L7" s="587"/>
      <c r="M7" s="603"/>
      <c r="N7" s="587"/>
    </row>
    <row r="8" spans="2:17" ht="28.5" customHeight="1">
      <c r="B8" s="622"/>
      <c r="C8" s="588" t="s">
        <v>171</v>
      </c>
      <c r="D8" s="589"/>
      <c r="E8" s="594">
        <f>AVERAGE(D15:M15)</f>
        <v>0.95884364374018283</v>
      </c>
      <c r="F8" s="595">
        <f>AVERAGE(D15:J15,D33:O33)</f>
        <v>0.9599062939675671</v>
      </c>
      <c r="G8" s="596">
        <f>AVERAGE(D15:J15)</f>
        <v>0.9599062939675671</v>
      </c>
      <c r="H8" s="597"/>
      <c r="I8" s="596">
        <f>AVERAGE(K15:M15)</f>
        <v>0.95636412654295289</v>
      </c>
      <c r="J8" s="597"/>
      <c r="K8" s="602"/>
      <c r="L8" s="587"/>
      <c r="M8" s="603"/>
      <c r="N8" s="587"/>
    </row>
    <row r="9" spans="2:17" ht="28.5" customHeight="1" thickBot="1">
      <c r="H9" s="61"/>
      <c r="K9" s="62" t="s">
        <v>1300</v>
      </c>
      <c r="N9" s="57"/>
      <c r="O9" s="57"/>
      <c r="P9" s="57"/>
      <c r="Q9" s="57"/>
    </row>
    <row r="10" spans="2:17" ht="30" customHeight="1">
      <c r="B10" s="570" t="s">
        <v>1301</v>
      </c>
      <c r="C10" s="571"/>
      <c r="D10" s="572" t="s">
        <v>1302</v>
      </c>
      <c r="E10" s="573"/>
      <c r="F10" s="573"/>
      <c r="G10" s="573"/>
      <c r="H10" s="573"/>
      <c r="I10" s="573"/>
      <c r="J10" s="574"/>
      <c r="K10" s="575" t="s">
        <v>1303</v>
      </c>
      <c r="L10" s="576"/>
      <c r="M10" s="577"/>
      <c r="P10" s="63"/>
      <c r="Q10" s="63"/>
    </row>
    <row r="11" spans="2:17" ht="17.25" customHeight="1">
      <c r="B11" s="578" t="s">
        <v>1304</v>
      </c>
      <c r="C11" s="579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80"/>
      <c r="C12" s="581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582" t="s">
        <v>1305</v>
      </c>
      <c r="C13" s="70" t="s">
        <v>1306</v>
      </c>
      <c r="D13" s="71">
        <f>SUMIFS('0813 4度C'!$K:$K,'0813 4度C'!$A:$A,"新豐6線",'0813 4度C'!$B:$B,"平均")</f>
        <v>130.43478260869566</v>
      </c>
      <c r="E13" s="72">
        <f>SUMIFS('0813 4度C'!$K:$K,'0813 4度C'!$A:$A,"新豐2線",'0813 4度C'!$B:$B,"平均")</f>
        <v>86.206896551724142</v>
      </c>
      <c r="F13" s="73">
        <f>SUMIFS('0813 4度C'!$K:$K,'0813 4度C'!$A:$A,"新豐5線",'0813 4度C'!$B:$B,"平均")</f>
        <v>90.517241379310349</v>
      </c>
      <c r="G13" s="73">
        <f>SUMIFS('0813 4度C'!$K:$K,'0813 4度C'!$A:$A,"新豐7線",'0813 4度C'!$B:$B,"平均")</f>
        <v>131.86813186813188</v>
      </c>
      <c r="H13" s="73">
        <f>SUMIFS('0813 4度C'!$K:$K,'0813 4度C'!$A:$A,"新豐3線",'0813 4度C'!$B:$B,"平均")</f>
        <v>324.32432432432432</v>
      </c>
      <c r="I13" s="73">
        <f>SUMIFS('0813 4度C'!$K:$K,'0813 4度C'!$A:$A,"新豐1線",'0813 4度C'!$B:$B,"平均")</f>
        <v>112</v>
      </c>
      <c r="J13" s="74">
        <f>SUMIFS('0813 4度C'!$K:$K,'0813 4度C'!$A:$A,"新豐10線",'0813 4度C'!$B:$B,"平均")</f>
        <v>292.6829268292683</v>
      </c>
      <c r="K13" s="75">
        <f>SUMIFS('0813 4度C'!$K:$K,'0813 4度C'!$A:$A,"新豐8線",'0813 4度C'!$B:$B,"平均")</f>
        <v>139.80582524271844</v>
      </c>
      <c r="L13" s="76">
        <f>SUMIFS('0813 4度C'!$K:$K,'0813 4度C'!$A:$A,"新豐9線",'0813 4度C'!$B:$B,"平均")</f>
        <v>122.58064516129032</v>
      </c>
      <c r="M13" s="74">
        <f>SUMIFS('0813 4度C'!$K:$K,'0813 4度C'!$A:$A,"新豐4線",'0813 4度C'!$B:$B,"平均")</f>
        <v>148.67256637168143</v>
      </c>
    </row>
    <row r="14" spans="2:17" ht="39.6" customHeight="1">
      <c r="B14" s="583"/>
      <c r="C14" s="77" t="s">
        <v>1307</v>
      </c>
      <c r="D14" s="78">
        <f>SUMIFS('0813 4度C'!$N:$N,'0813 4度C'!$A:$A,"新豐6線",'0813 4度C'!$B:$B,"平均")</f>
        <v>125.30135869565227</v>
      </c>
      <c r="E14" s="79">
        <f>SUMIFS('0813 4度C'!$N:$N,'0813 4度C'!$A:$A,"新豐2線",'0813 4度C'!$B:$B,"平均")</f>
        <v>82.330839284668571</v>
      </c>
      <c r="F14" s="79">
        <f>SUMIFS('0813 4度C'!$N:$N,'0813 4度C'!$A:$A,"新豐5線",'0813 4度C'!$B:$B,"平均")</f>
        <v>86.705725169108518</v>
      </c>
      <c r="G14" s="79">
        <f>SUMIFS('0813 4度C'!$N:$N,'0813 4度C'!$A:$A,"新豐7線",'0813 4度C'!$B:$B,"平均")</f>
        <v>126.72735301753006</v>
      </c>
      <c r="H14" s="79">
        <f>SUMIFS('0813 4度C'!$N:$N,'0813 4度C'!$A:$A,"新豐3線",'0813 4度C'!$B:$B,"平均")</f>
        <v>313.51109597198428</v>
      </c>
      <c r="I14" s="79">
        <f>SUMIFS('0813 4度C'!$N:$N,'0813 4度C'!$A:$A,"新豐1線",'0813 4度C'!$B:$B,"平均")</f>
        <v>107.49456663012856</v>
      </c>
      <c r="J14" s="80">
        <f>SUMIFS('0813 4度C'!$N:$N,'0813 4度C'!$A:$A,"新豐10線",'0813 4度C'!$B:$B,"平均")</f>
        <v>280.4847400540371</v>
      </c>
      <c r="K14" s="81">
        <f>SUMIFS('0813 4度C'!$N:$N,'0813 4度C'!$A:$A,"新豐8線",'0813 4度C'!$B:$B,"平均")</f>
        <v>133.85495269158886</v>
      </c>
      <c r="L14" s="82">
        <f>SUMIFS('0813 4度C'!$N:$N,'0813 4度C'!$A:$A,"新豐9線",'0813 4度C'!$B:$B,"平均")</f>
        <v>116.88621157462657</v>
      </c>
      <c r="M14" s="80">
        <f>SUMIFS('0813 4度C'!$N:$N,'0813 4度C'!$A:$A,"新豐4線",'0813 4度C'!$B:$B,"平均")</f>
        <v>142.44500534863758</v>
      </c>
    </row>
    <row r="15" spans="2:17" ht="40.15" customHeight="1">
      <c r="B15" s="584"/>
      <c r="C15" s="83" t="s">
        <v>190</v>
      </c>
      <c r="D15" s="84">
        <f t="shared" ref="D15:M15" si="0">D14/D13</f>
        <v>0.96064375000000068</v>
      </c>
      <c r="E15" s="85">
        <f t="shared" si="0"/>
        <v>0.95503773570215533</v>
      </c>
      <c r="F15" s="85">
        <f t="shared" si="0"/>
        <v>0.95789182091586544</v>
      </c>
      <c r="G15" s="85">
        <f t="shared" si="0"/>
        <v>0.96101576038293623</v>
      </c>
      <c r="H15" s="85">
        <f t="shared" si="0"/>
        <v>0.96665921258028487</v>
      </c>
      <c r="I15" s="85">
        <f t="shared" si="0"/>
        <v>0.9597729163404336</v>
      </c>
      <c r="J15" s="86">
        <f t="shared" si="0"/>
        <v>0.95832286185129345</v>
      </c>
      <c r="K15" s="84">
        <f t="shared" si="0"/>
        <v>0.95743473105789256</v>
      </c>
      <c r="L15" s="85">
        <f t="shared" si="0"/>
        <v>0.95354541021405892</v>
      </c>
      <c r="M15" s="86">
        <f t="shared" si="0"/>
        <v>0.95811223835690751</v>
      </c>
    </row>
    <row r="16" spans="2:17" ht="17.25" customHeight="1">
      <c r="B16" s="585" t="s">
        <v>1308</v>
      </c>
      <c r="C16" s="87" t="s">
        <v>1309</v>
      </c>
      <c r="D16" s="88">
        <f>VLOOKUP("新豐6線",'0813 4度C'!$A:$T,19,0)</f>
        <v>0.70833333333333337</v>
      </c>
      <c r="E16" s="89">
        <f>VLOOKUP("新豐2線",'0813 4度C'!$A:$T,19,0)</f>
        <v>8.3333333333333329E-2</v>
      </c>
      <c r="F16" s="89">
        <f>VLOOKUP("新豐5線",'0813 4度C'!$A:$T,19,0)</f>
        <v>0.20833333333333334</v>
      </c>
      <c r="G16" s="89">
        <f>VLOOKUP("新豐7線",'0813 4度C'!$A:$T,19,0)</f>
        <v>0.20833333333333334</v>
      </c>
      <c r="H16" s="89">
        <f>VLOOKUP("新豐3線",'0813 4度C'!$A:$T,19,0)</f>
        <v>0.20833333333333334</v>
      </c>
      <c r="I16" s="89">
        <f>VLOOKUP("新豐1線",'0813 4度C'!$A:$T,19,0)</f>
        <v>0.20833333333333334</v>
      </c>
      <c r="J16" s="90">
        <f>VLOOKUP("新豐10線",'0813 4度C'!$A:$T,19,0)</f>
        <v>0.20833333333333334</v>
      </c>
      <c r="K16" s="91">
        <f>VLOOKUP("新豐8線",'0813 4度C'!$A:$T,19,0)</f>
        <v>8.3333333333333329E-2</v>
      </c>
      <c r="L16" s="92">
        <f>VLOOKUP("新豐9線",'0813 4度C'!$A:$T,19,0)</f>
        <v>8.3333333333333329E-2</v>
      </c>
      <c r="M16" s="93">
        <f>VLOOKUP("新豐4線",'0813 4度C'!$A:$T,19,0)</f>
        <v>8.3333333333333329E-2</v>
      </c>
    </row>
    <row r="17" spans="2:13" ht="17.25" customHeight="1">
      <c r="B17" s="586"/>
      <c r="C17" s="87" t="s">
        <v>1310</v>
      </c>
      <c r="D17" s="91">
        <f>LOOKUP(2,1/(('0813 4度C'!$A:$A="新豐6線")*('0813 4度C'!$T:$T&lt;&gt;"")),'0813 4度C'!$T:$T)</f>
        <v>0.83541666666666659</v>
      </c>
      <c r="E17" s="89">
        <f>LOOKUP(2,1/(('0813 4度C'!$A:$A="新豐2線")*('0813 4度C'!$T:$T&lt;&gt;"")),'0813 4度C'!$T:$T)</f>
        <v>0.59097222222222223</v>
      </c>
      <c r="F17" s="89">
        <f>LOOKUP(2,1/(('0813 4度C'!$A:$A="新豐5線")*('0813 4度C'!$T:$T&lt;&gt;"")),'0813 4度C'!$T:$T)</f>
        <v>0.80138888888888893</v>
      </c>
      <c r="G17" s="89">
        <f>LOOKUP(2,1/(('0813 4度C'!$A:$A="新豐7線")*('0813 4度C'!$T:$T&lt;&gt;"")),'0813 4度C'!$T:$T)</f>
        <v>0.8305555555555556</v>
      </c>
      <c r="H17" s="89">
        <f>LOOKUP(2,1/(('0813 4度C'!$A:$A="新豐3線")*('0813 4度C'!$T:$T&lt;&gt;"")),'0813 4度C'!$T:$T)</f>
        <v>0.39652777777777776</v>
      </c>
      <c r="I17" s="89">
        <f>LOOKUP(2,1/(('0813 4度C'!$A:$A="新豐1線")*('0813 4度C'!$T:$T&lt;&gt;"")),'0813 4度C'!$T:$T)</f>
        <v>0.80763888888888891</v>
      </c>
      <c r="J17" s="90">
        <f>LOOKUP(2,1/(('0813 4度C'!$A:$A="新豐10線")*('0813 4度C'!$T:$T&lt;&gt;"")),'0813 4度C'!$T:$T)</f>
        <v>0.3791666666666666</v>
      </c>
      <c r="K17" s="88">
        <f>LOOKUP(2,1/(('0813 4度C'!$A:$A="新豐8線")*('0813 4度C'!$T:$T&lt;&gt;"")),'0813 4度C'!$T:$T)</f>
        <v>0.62361111111111101</v>
      </c>
      <c r="L17" s="89">
        <f>LOOKUP(2,1/(('0813 4度C'!$A:$A="新豐9線")*('0813 4度C'!$T:$T&lt;&gt;"")),'0813 4度C'!$T:$T)</f>
        <v>0.70138888888888873</v>
      </c>
      <c r="M17" s="90">
        <f>LOOKUP(2,1/(('0813 4度C'!$A:$A="新豐4線")*('0813 4度C'!$T:$T&lt;&gt;"")),'0813 4度C'!$T:$T)</f>
        <v>0.61666666666666647</v>
      </c>
    </row>
    <row r="18" spans="2:13" ht="17.25" customHeight="1">
      <c r="B18" s="564" t="s">
        <v>1311</v>
      </c>
      <c r="C18" s="94" t="s">
        <v>1312</v>
      </c>
      <c r="D18" s="95">
        <f>SUMIFS('0813 4度C'!$Y:$Y,'0813 4度C'!$A:$A,"新豐6線",'0813 4度C'!$B:$B,"平均")</f>
        <v>0</v>
      </c>
      <c r="E18" s="96">
        <f>SUMIFS('0813 4度C'!$Y:$Y,'0813 4度C'!$A:$A,"新豐2線",'0813 4度C'!$B:$B,"平均")</f>
        <v>0</v>
      </c>
      <c r="F18" s="96">
        <f>SUMIFS('0813 4度C'!$Y:$Y,'0813 4度C'!$A:$A,"新豐5線",'0813 4度C'!$B:$B,"平均")</f>
        <v>0</v>
      </c>
      <c r="G18" s="96">
        <f>SUMIFS('0813 4度C'!$Y:$Y,'0813 4度C'!$A:$A,"新豐7線",'0813 4度C'!$B:$B,"平均")</f>
        <v>0</v>
      </c>
      <c r="H18" s="96">
        <f>SUMIFS('0813 4度C'!$Y:$Y,'0813 4度C'!$A:$A,"新豐3線",'0813 4度C'!$B:$B,"平均")</f>
        <v>0</v>
      </c>
      <c r="I18" s="96">
        <f>SUMIFS('0813 4度C'!$Y:$Y,'0813 4度C'!$A:$A,"新豐1線",'0813 4度C'!$B:$B,"平均")</f>
        <v>0</v>
      </c>
      <c r="J18" s="97">
        <f>SUMIFS('0813 4度C'!$Y:$Y,'0813 4度C'!$A:$A,"新豐10線",'0813 4度C'!$B:$B,"平均")</f>
        <v>0</v>
      </c>
      <c r="K18" s="98">
        <f>SUMIFS('0813 4度C'!$Y:$Y,'0813 4度C'!$A:$A,"新豐8線",'0813 4度C'!$B:$B,"平均")</f>
        <v>0</v>
      </c>
      <c r="L18" s="96">
        <f>SUMIFS('0813 4度C'!$Y:$Y,'0813 4度C'!$A:$A,"新豐9線",'0813 4度C'!$B:$B,"平均")</f>
        <v>0</v>
      </c>
      <c r="M18" s="97">
        <f>SUMIFS('0813 4度C'!$Y:$Y,'0813 4度C'!$A:$A,"新豐4線",'0813 4度C'!$B:$B,"平均")</f>
        <v>0</v>
      </c>
    </row>
    <row r="19" spans="2:13" ht="17.25" customHeight="1">
      <c r="B19" s="565"/>
      <c r="C19" s="94" t="s">
        <v>1313</v>
      </c>
      <c r="D19" s="95">
        <f>SUMIFS('0813 4度C'!$Z:$Z,'0813 4度C'!$A:$A,"新豐6線",'0813 4度C'!$B:$B,"平均")</f>
        <v>0</v>
      </c>
      <c r="E19" s="96">
        <f>SUMIFS('0813 4度C'!$Z:$Z,'0813 4度C'!$A:$A,"新豐2線",'0813 4度C'!$B:$B,"平均")</f>
        <v>0</v>
      </c>
      <c r="F19" s="96">
        <f>SUMIFS('0813 4度C'!$Z:$Z,'0813 4度C'!$A:$A,"新豐5線",'0813 4度C'!$B:$B,"平均")</f>
        <v>0</v>
      </c>
      <c r="G19" s="96">
        <f>SUMIFS('0813 4度C'!$Z:$Z,'0813 4度C'!$A:$A,"新豐7線",'0813 4度C'!$B:$B,"平均")</f>
        <v>0</v>
      </c>
      <c r="H19" s="96">
        <f>SUMIFS('0813 4度C'!$Z:$Z,'0813 4度C'!$A:$A,"新豐3線",'0813 4度C'!$B:$B,"平均")</f>
        <v>0</v>
      </c>
      <c r="I19" s="96">
        <f>SUMIFS('0813 4度C'!$Z:$Z,'0813 4度C'!$A:$A,"新豐1線",'0813 4度C'!$B:$B,"平均")</f>
        <v>0</v>
      </c>
      <c r="J19" s="97">
        <f>SUMIFS('0813 4度C'!$Z:$Z,'0813 4度C'!$A:$A,"新豐10線",'0813 4度C'!$B:$B,"平均")</f>
        <v>0</v>
      </c>
      <c r="K19" s="98">
        <f>SUMIFS('0813 4度C'!$Z:$Z,'0813 4度C'!$A:$A,"新豐8線",'0813 4度C'!$B:$B,"平均")</f>
        <v>0</v>
      </c>
      <c r="L19" s="96">
        <f>SUMIFS('0813 4度C'!$Z:$Z,'0813 4度C'!$A:$A,"新豐9線",'0813 4度C'!$B:$B,"平均")</f>
        <v>0</v>
      </c>
      <c r="M19" s="97">
        <f>SUMIFS('0813 4度C'!$Z:$Z,'0813 4度C'!$A:$A,"新豐4線",'0813 4度C'!$B:$B,"平均")</f>
        <v>0</v>
      </c>
    </row>
    <row r="20" spans="2:13" ht="17.25" customHeight="1">
      <c r="B20" s="564" t="s">
        <v>197</v>
      </c>
      <c r="C20" s="94" t="s">
        <v>1312</v>
      </c>
      <c r="D20" s="95">
        <f>SUMIFS('0813 4度C'!$AC:$AC,'0813 4度C'!$A:$A,"新豐6線",'0813 4度C'!$B:$B,"平均")</f>
        <v>3</v>
      </c>
      <c r="E20" s="96">
        <f>SUMIFS('0813 4度C'!$AC:$AC,'0813 4度C'!$A:$A,"新豐2線",'0813 4度C'!$B:$B,"平均")</f>
        <v>5</v>
      </c>
      <c r="F20" s="96">
        <f>SUMIFS('0813 4度C'!$AC:$AC,'0813 4度C'!$A:$A,"新豐5線",'0813 4度C'!$B:$B,"平均")</f>
        <v>6</v>
      </c>
      <c r="G20" s="96">
        <f>SUMIFS('0813 4度C'!$AC:$AC,'0813 4度C'!$A:$A,"新豐7線",'0813 4度C'!$B:$B,"平均")</f>
        <v>6</v>
      </c>
      <c r="H20" s="96">
        <f>SUMIFS('0813 4度C'!$AC:$AC,'0813 4度C'!$A:$A,"新豐3線",'0813 4度C'!$B:$B,"平均")</f>
        <v>4</v>
      </c>
      <c r="I20" s="96">
        <f>SUMIFS('0813 4度C'!$AC:$AC,'0813 4度C'!$A:$A,"新豐1線",'0813 4度C'!$B:$B,"平均")</f>
        <v>7</v>
      </c>
      <c r="J20" s="97">
        <f>SUMIFS('0813 4度C'!$AC:$AC,'0813 4度C'!$A:$A,"新豐10線",'0813 4度C'!$B:$B,"平均")</f>
        <v>4</v>
      </c>
      <c r="K20" s="98">
        <f>SUMIFS('0813 4度C'!$AC:$AC,'0813 4度C'!$A:$A,"新豐8線",'0813 4度C'!$B:$B,"平均")</f>
        <v>6</v>
      </c>
      <c r="L20" s="96">
        <f>SUMIFS('0813 4度C'!$AC:$AC,'0813 4度C'!$A:$A,"新豐9線",'0813 4度C'!$B:$B,"平均")</f>
        <v>7</v>
      </c>
      <c r="M20" s="97">
        <f>SUMIFS('0813 4度C'!$AC:$AC,'0813 4度C'!$A:$A,"新豐4線",'0813 4度C'!$B:$B,"平均")</f>
        <v>7</v>
      </c>
    </row>
    <row r="21" spans="2:13" ht="17.25" customHeight="1">
      <c r="B21" s="565"/>
      <c r="C21" s="94" t="s">
        <v>1314</v>
      </c>
      <c r="D21" s="95">
        <f>SUMIFS('0813 4度C'!$AD:$AD,'0813 4度C'!$A:$A,"新豐6線",'0813 4度C'!$B:$B,"平均")</f>
        <v>0</v>
      </c>
      <c r="E21" s="96">
        <f>SUMIFS('0813 4度C'!$AD:$AD,'0813 4度C'!$A:$A,"新豐2線",'0813 4度C'!$B:$B,"平均")</f>
        <v>0</v>
      </c>
      <c r="F21" s="96">
        <f>SUMIFS('0813 4度C'!$AD:$AD,'0813 4度C'!$A:$A,"新豐5線",'0813 4度C'!$B:$B,"平均")</f>
        <v>0</v>
      </c>
      <c r="G21" s="96">
        <f>SUMIFS('0813 4度C'!$AD:$AD,'0813 4度C'!$A:$A,"新豐7線",'0813 4度C'!$B:$B,"平均")</f>
        <v>0</v>
      </c>
      <c r="H21" s="96">
        <f>SUMIFS('0813 4度C'!$AD:$AD,'0813 4度C'!$A:$A,"新豐3線",'0813 4度C'!$B:$B,"平均")</f>
        <v>0</v>
      </c>
      <c r="I21" s="96">
        <f>SUMIFS('0813 4度C'!$AD:$AD,'0813 4度C'!$A:$A,"新豐1線",'0813 4度C'!$B:$B,"平均")</f>
        <v>0</v>
      </c>
      <c r="J21" s="97">
        <f>SUMIFS('0813 4度C'!$AD:$AD,'0813 4度C'!$A:$A,"新豐10線",'0813 4度C'!$B:$B,"平均")</f>
        <v>0</v>
      </c>
      <c r="K21" s="98">
        <f>SUMIFS('0813 4度C'!$AD:$AD,'0813 4度C'!$A:$A,"新豐8線",'0813 4度C'!$B:$B,"平均")</f>
        <v>0</v>
      </c>
      <c r="L21" s="96">
        <f>SUMIFS('0813 4度C'!$AD:$AD,'0813 4度C'!$A:$A,"新豐9線",'0813 4度C'!$B:$B,"平均")</f>
        <v>0</v>
      </c>
      <c r="M21" s="97">
        <f>SUMIFS('0813 4度C'!$AD:$AD,'0813 4度C'!$A:$A,"新豐4線",'0813 4度C'!$B:$B,"平均")</f>
        <v>0</v>
      </c>
    </row>
    <row r="22" spans="2:13" ht="17.25" customHeight="1">
      <c r="B22" s="566" t="s">
        <v>1315</v>
      </c>
      <c r="C22" s="567"/>
      <c r="D22" s="99">
        <f>SUMIFS('0813 4度C'!$I:$I,'0813 4度C'!$A:$A,"新豐6線",'0813 4度C'!$B:$B,"平均")</f>
        <v>15.333333333333334</v>
      </c>
      <c r="E22" s="100">
        <f>SUMIFS('0813 4度C'!$I:$I,'0813 4度C'!$A:$A,"新豐2線",'0813 4度C'!$B:$B,"平均")</f>
        <v>17.399999999999999</v>
      </c>
      <c r="F22" s="100">
        <f>SUMIFS('0813 4度C'!$I:$I,'0813 4度C'!$A:$A,"新豐5線",'0813 4度C'!$B:$B,"平均")</f>
        <v>19.333333333333332</v>
      </c>
      <c r="G22" s="100">
        <f>SUMIFS('0813 4度C'!$I:$I,'0813 4度C'!$A:$A,"新豐7線",'0813 4度C'!$B:$B,"平均")</f>
        <v>15.166666666666666</v>
      </c>
      <c r="H22" s="100">
        <f>SUMIFS('0813 4度C'!$I:$I,'0813 4度C'!$A:$A,"新豐3線",'0813 4度C'!$B:$B,"平均")</f>
        <v>9.25</v>
      </c>
      <c r="I22" s="100">
        <f>SUMIFS('0813 4度C'!$I:$I,'0813 4度C'!$A:$A,"新豐1線",'0813 4度C'!$B:$B,"平均")</f>
        <v>17.857142857142858</v>
      </c>
      <c r="J22" s="101">
        <f>SUMIFS('0813 4度C'!$I:$I,'0813 4度C'!$A:$A,"新豐10線",'0813 4度C'!$B:$B,"平均")</f>
        <v>10.25</v>
      </c>
      <c r="K22" s="99">
        <f>SUMIFS('0813 4度C'!$I:$I,'0813 4度C'!$A:$A,"新豐8線",'0813 4度C'!$B:$B,"平均")</f>
        <v>17.166666666666668</v>
      </c>
      <c r="L22" s="100">
        <f>SUMIFS('0813 4度C'!$I:$I,'0813 4度C'!$A:$A,"新豐9線",'0813 4度C'!$B:$B,"平均")</f>
        <v>17.714285714285715</v>
      </c>
      <c r="M22" s="101">
        <f>SUMIFS('0813 4度C'!$I:$I,'0813 4度C'!$A:$A,"新豐4線",'0813 4度C'!$B:$B,"平均")</f>
        <v>16.142857142857142</v>
      </c>
    </row>
    <row r="23" spans="2:13" ht="17.25" customHeight="1">
      <c r="B23" s="566" t="s">
        <v>201</v>
      </c>
      <c r="C23" s="567"/>
      <c r="D23" s="102" t="s">
        <v>202</v>
      </c>
      <c r="E23" s="103" t="s">
        <v>203</v>
      </c>
      <c r="F23" s="103" t="s">
        <v>1316</v>
      </c>
      <c r="G23" s="103" t="s">
        <v>1316</v>
      </c>
      <c r="H23" s="103" t="s">
        <v>205</v>
      </c>
      <c r="I23" s="103" t="s">
        <v>202</v>
      </c>
      <c r="J23" s="104" t="s">
        <v>205</v>
      </c>
      <c r="K23" s="102" t="s">
        <v>1317</v>
      </c>
      <c r="L23" s="103" t="s">
        <v>1317</v>
      </c>
      <c r="M23" s="104" t="s">
        <v>1317</v>
      </c>
    </row>
    <row r="24" spans="2:13" ht="17.25" customHeight="1">
      <c r="B24" s="566" t="s">
        <v>1318</v>
      </c>
      <c r="C24" s="567"/>
      <c r="D24" s="102"/>
      <c r="E24" s="103"/>
      <c r="F24" s="103" t="s">
        <v>1319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68" t="s">
        <v>1320</v>
      </c>
      <c r="C25" s="569"/>
      <c r="D25" s="105"/>
      <c r="E25" s="106" t="s">
        <v>1321</v>
      </c>
      <c r="F25" s="562" t="s">
        <v>212</v>
      </c>
      <c r="G25" s="563"/>
      <c r="H25" s="106" t="s">
        <v>1322</v>
      </c>
      <c r="I25" s="106" t="s">
        <v>1323</v>
      </c>
      <c r="J25" s="107" t="s">
        <v>1322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05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0"/>
  <sheetViews>
    <sheetView zoomScale="80" zoomScaleNormal="80" workbookViewId="0">
      <pane ySplit="4" topLeftCell="A5" activePane="bottomLeft" state="frozen"/>
      <selection activeCell="K6" sqref="K6:K8"/>
      <selection pane="bottomLeft" activeCell="K6" sqref="K6:K8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41" customWidth="1"/>
    <col min="20" max="20" width="7.625" style="41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29" width="15.125" style="41" customWidth="1"/>
    <col min="30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1324</v>
      </c>
      <c r="B1" s="1"/>
      <c r="C1" s="2" t="s">
        <v>1325</v>
      </c>
      <c r="D1" s="3">
        <f>SUM(F5:F69)</f>
        <v>156512</v>
      </c>
      <c r="E1" s="283" t="s">
        <v>1326</v>
      </c>
      <c r="F1" s="1">
        <f>SUM(G5:G69)</f>
        <v>5315390.2899999991</v>
      </c>
      <c r="G1" s="1" t="s">
        <v>1327</v>
      </c>
      <c r="H1" s="5">
        <f>L8+L14+L48+L56+L21+L61+L35+L43+L28+L69</f>
        <v>155.6142857142857</v>
      </c>
      <c r="I1" s="676" t="s">
        <v>1328</v>
      </c>
      <c r="J1" s="676"/>
      <c r="K1" s="676"/>
      <c r="L1" s="676" t="s">
        <v>1329</v>
      </c>
      <c r="M1" s="676"/>
      <c r="N1" s="676"/>
      <c r="O1" s="676" t="s">
        <v>1330</v>
      </c>
      <c r="P1" s="676"/>
      <c r="Q1" s="676"/>
      <c r="R1" s="676"/>
      <c r="S1" s="676" t="s">
        <v>1331</v>
      </c>
      <c r="T1" s="676"/>
      <c r="U1" s="676"/>
      <c r="V1" s="676"/>
      <c r="W1" s="676"/>
      <c r="X1" s="676"/>
      <c r="Y1" s="6" t="s">
        <v>1332</v>
      </c>
      <c r="Z1" s="7" t="s">
        <v>1333</v>
      </c>
      <c r="AA1" s="677" t="s">
        <v>1334</v>
      </c>
      <c r="AB1" s="677"/>
      <c r="AC1" s="199" t="s">
        <v>1332</v>
      </c>
      <c r="AD1" s="7" t="s">
        <v>1335</v>
      </c>
      <c r="AE1" s="676" t="s">
        <v>1336</v>
      </c>
      <c r="AF1" s="678"/>
      <c r="AG1" s="678"/>
    </row>
    <row r="2" spans="1:33" ht="26.25" customHeight="1">
      <c r="A2" s="35">
        <v>46247</v>
      </c>
      <c r="B2" s="36" t="s">
        <v>621</v>
      </c>
      <c r="C2" s="2" t="s">
        <v>1305</v>
      </c>
      <c r="D2" s="10">
        <f>AVERAGE(N8,N14,N48,N56,N21,N61,N28,N35,N43,N69)</f>
        <v>151.57418484379622</v>
      </c>
      <c r="E2" s="11" t="s">
        <v>14</v>
      </c>
      <c r="F2" s="12">
        <f>F1/D1</f>
        <v>33.961551127070123</v>
      </c>
      <c r="G2" s="1" t="s">
        <v>1337</v>
      </c>
      <c r="H2" s="291">
        <f>COUNT(H5:H69)</f>
        <v>5</v>
      </c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14">
        <f>SUM(Y8+Y14+Y21+Y28+Y35+Y43+Y48+Y56+Y61+Y69)</f>
        <v>0</v>
      </c>
      <c r="Z2" s="14">
        <f>SUM(Z8+Z14+Z21+Z28+Z35+Z43+Z48+Z56+Z61+Z69)</f>
        <v>0</v>
      </c>
      <c r="AA2" s="677"/>
      <c r="AB2" s="677"/>
      <c r="AC2" s="200">
        <v>55</v>
      </c>
      <c r="AD2" s="14">
        <f>SUM(AD8+AD14+AD21+AD28+AD35+AD43+AD48+AD56+AD61+AD69)</f>
        <v>0</v>
      </c>
      <c r="AE2" s="678"/>
      <c r="AF2" s="678"/>
      <c r="AG2" s="678"/>
    </row>
    <row r="3" spans="1:33" ht="40.5" customHeight="1">
      <c r="A3" s="632" t="s">
        <v>1338</v>
      </c>
      <c r="B3" s="632" t="s">
        <v>1339</v>
      </c>
      <c r="C3" s="632" t="s">
        <v>1340</v>
      </c>
      <c r="D3" s="632"/>
      <c r="E3" s="674" t="s">
        <v>1341</v>
      </c>
      <c r="F3" s="632" t="s">
        <v>1342</v>
      </c>
      <c r="G3" s="674" t="s">
        <v>1343</v>
      </c>
      <c r="H3" s="667" t="s">
        <v>1344</v>
      </c>
      <c r="I3" s="665" t="s">
        <v>1345</v>
      </c>
      <c r="J3" s="662" t="s">
        <v>1346</v>
      </c>
      <c r="K3" s="672" t="s">
        <v>1305</v>
      </c>
      <c r="L3" s="665" t="s">
        <v>1345</v>
      </c>
      <c r="M3" s="662" t="s">
        <v>1346</v>
      </c>
      <c r="N3" s="672" t="s">
        <v>1305</v>
      </c>
      <c r="O3" s="665" t="s">
        <v>1345</v>
      </c>
      <c r="P3" s="672" t="s">
        <v>1305</v>
      </c>
      <c r="Q3" s="663" t="s">
        <v>1347</v>
      </c>
      <c r="R3" s="641" t="s">
        <v>1348</v>
      </c>
      <c r="S3" s="673" t="s">
        <v>29</v>
      </c>
      <c r="T3" s="673"/>
      <c r="U3" s="667" t="s">
        <v>30</v>
      </c>
      <c r="V3" s="667" t="s">
        <v>1349</v>
      </c>
      <c r="W3" s="632" t="s">
        <v>1350</v>
      </c>
      <c r="X3" s="632"/>
      <c r="Y3" s="668" t="s">
        <v>1351</v>
      </c>
      <c r="Z3" s="631"/>
      <c r="AA3" s="669" t="s">
        <v>1352</v>
      </c>
      <c r="AB3" s="670"/>
      <c r="AC3" s="668" t="s">
        <v>1353</v>
      </c>
      <c r="AD3" s="631"/>
      <c r="AE3" s="662" t="s">
        <v>1346</v>
      </c>
      <c r="AF3" s="663" t="s">
        <v>1347</v>
      </c>
      <c r="AG3" s="641" t="s">
        <v>1354</v>
      </c>
    </row>
    <row r="4" spans="1:33" ht="15.75" customHeight="1">
      <c r="A4" s="632"/>
      <c r="B4" s="632"/>
      <c r="C4" s="632"/>
      <c r="D4" s="632"/>
      <c r="E4" s="675"/>
      <c r="F4" s="632"/>
      <c r="G4" s="675"/>
      <c r="H4" s="667"/>
      <c r="I4" s="665"/>
      <c r="J4" s="662"/>
      <c r="K4" s="672"/>
      <c r="L4" s="665"/>
      <c r="M4" s="662"/>
      <c r="N4" s="672"/>
      <c r="O4" s="665"/>
      <c r="P4" s="672"/>
      <c r="Q4" s="663"/>
      <c r="R4" s="641"/>
      <c r="S4" s="290" t="s">
        <v>39</v>
      </c>
      <c r="T4" s="290" t="s">
        <v>40</v>
      </c>
      <c r="U4" s="667"/>
      <c r="V4" s="667"/>
      <c r="W4" s="283" t="s">
        <v>1355</v>
      </c>
      <c r="X4" s="283" t="s">
        <v>1356</v>
      </c>
      <c r="Y4" s="282" t="s">
        <v>1312</v>
      </c>
      <c r="Z4" s="282" t="s">
        <v>1357</v>
      </c>
      <c r="AA4" s="671"/>
      <c r="AB4" s="670"/>
      <c r="AC4" s="282" t="s">
        <v>1358</v>
      </c>
      <c r="AD4" s="282" t="s">
        <v>1359</v>
      </c>
      <c r="AE4" s="662"/>
      <c r="AF4" s="663"/>
      <c r="AG4" s="641"/>
    </row>
    <row r="5" spans="1:33">
      <c r="A5" s="664" t="s">
        <v>1360</v>
      </c>
      <c r="B5" s="42" t="s">
        <v>92</v>
      </c>
      <c r="C5" s="666" t="s">
        <v>93</v>
      </c>
      <c r="D5" s="666"/>
      <c r="E5" s="42">
        <v>50.92</v>
      </c>
      <c r="F5" s="290">
        <v>1856</v>
      </c>
      <c r="G5" s="283">
        <f t="shared" ref="G5:G7" si="0">E5*F5</f>
        <v>94507.520000000004</v>
      </c>
      <c r="H5" s="37" t="s">
        <v>91</v>
      </c>
      <c r="I5" s="288">
        <v>15</v>
      </c>
      <c r="J5" s="39">
        <v>2000</v>
      </c>
      <c r="K5" s="17">
        <f t="shared" ref="K5:K68" si="1">J5/I5</f>
        <v>133.33333333333334</v>
      </c>
      <c r="L5" s="288">
        <v>15</v>
      </c>
      <c r="M5" s="18">
        <f t="shared" ref="M5:M7" si="2">F5/V5*60</f>
        <v>1920.0000000000014</v>
      </c>
      <c r="N5" s="17">
        <f t="shared" ref="N5:N68" si="3">M5/L5</f>
        <v>128.00000000000009</v>
      </c>
      <c r="O5" s="19">
        <f t="shared" ref="O5:O68" si="4">L5-I5</f>
        <v>0</v>
      </c>
      <c r="P5" s="20">
        <f t="shared" ref="P5:P68" si="5">N5-K5</f>
        <v>-5.3333333333332575</v>
      </c>
      <c r="Q5" s="284">
        <f t="shared" ref="Q5:Q68" si="6">N5/K5</f>
        <v>0.96000000000000052</v>
      </c>
      <c r="R5" s="637">
        <f>Q8</f>
        <v>0.96064375000000068</v>
      </c>
      <c r="S5" s="40">
        <v>0.70833333333333337</v>
      </c>
      <c r="T5" s="40">
        <v>0.74861111111111112</v>
      </c>
      <c r="U5" s="283"/>
      <c r="V5" s="289">
        <f t="shared" ref="V5:V7" si="7">(T5-S5)*24*60</f>
        <v>57.999999999999957</v>
      </c>
      <c r="W5" s="23"/>
      <c r="X5" s="23"/>
      <c r="Y5" s="24"/>
      <c r="Z5" s="24"/>
      <c r="AA5" s="632"/>
      <c r="AB5" s="632"/>
      <c r="AC5" s="135">
        <v>3</v>
      </c>
      <c r="AD5" s="25"/>
      <c r="AE5" s="19">
        <f t="shared" ref="AE5:AE55" si="8">M5-J5</f>
        <v>-79.999999999998636</v>
      </c>
      <c r="AF5" s="284">
        <f t="shared" ref="AF5:AF68" si="9">M5/J5</f>
        <v>0.96000000000000063</v>
      </c>
      <c r="AG5" s="637">
        <f>AF8</f>
        <v>0.9606437500000008</v>
      </c>
    </row>
    <row r="6" spans="1:33">
      <c r="A6" s="665" t="s">
        <v>1360</v>
      </c>
      <c r="B6" s="42" t="s">
        <v>92</v>
      </c>
      <c r="C6" s="666" t="s">
        <v>94</v>
      </c>
      <c r="D6" s="666"/>
      <c r="E6" s="42">
        <v>50.98</v>
      </c>
      <c r="F6" s="290">
        <v>2047</v>
      </c>
      <c r="G6" s="283">
        <f t="shared" si="0"/>
        <v>104356.06</v>
      </c>
      <c r="H6" s="37" t="s">
        <v>91</v>
      </c>
      <c r="I6" s="288">
        <v>16</v>
      </c>
      <c r="J6" s="39">
        <v>2000</v>
      </c>
      <c r="K6" s="17">
        <f t="shared" si="1"/>
        <v>125</v>
      </c>
      <c r="L6" s="288">
        <v>16</v>
      </c>
      <c r="M6" s="18">
        <f t="shared" si="2"/>
        <v>1919.062500000002</v>
      </c>
      <c r="N6" s="17">
        <f t="shared" si="3"/>
        <v>119.94140625000013</v>
      </c>
      <c r="O6" s="19">
        <f t="shared" si="4"/>
        <v>0</v>
      </c>
      <c r="P6" s="20">
        <f t="shared" si="5"/>
        <v>-5.0585937499998721</v>
      </c>
      <c r="Q6" s="284">
        <f t="shared" si="6"/>
        <v>0.95953125000000106</v>
      </c>
      <c r="R6" s="637"/>
      <c r="S6" s="40">
        <v>0.75208333333333333</v>
      </c>
      <c r="T6" s="40">
        <v>0.79652777777777772</v>
      </c>
      <c r="U6" s="283">
        <f t="shared" ref="U6:U7" si="10">IF(S6=TIME(17,0,0),"",(S6-T5)*24*60)</f>
        <v>4.9999999999999822</v>
      </c>
      <c r="V6" s="289">
        <f t="shared" si="7"/>
        <v>63.999999999999929</v>
      </c>
      <c r="W6" s="23"/>
      <c r="X6" s="23"/>
      <c r="Y6" s="23"/>
      <c r="Z6" s="23"/>
      <c r="AA6" s="632"/>
      <c r="AB6" s="632"/>
      <c r="AC6" s="135"/>
      <c r="AD6" s="25"/>
      <c r="AE6" s="19">
        <f t="shared" si="8"/>
        <v>-80.937499999997954</v>
      </c>
      <c r="AF6" s="284">
        <f t="shared" si="9"/>
        <v>0.95953125000000106</v>
      </c>
      <c r="AG6" s="637"/>
    </row>
    <row r="7" spans="1:33">
      <c r="A7" s="665" t="s">
        <v>1361</v>
      </c>
      <c r="B7" s="42" t="s">
        <v>92</v>
      </c>
      <c r="C7" s="660" t="s">
        <v>109</v>
      </c>
      <c r="D7" s="661"/>
      <c r="E7" s="42">
        <v>50.49</v>
      </c>
      <c r="F7" s="290">
        <v>1604</v>
      </c>
      <c r="G7" s="283">
        <f t="shared" si="0"/>
        <v>80985.960000000006</v>
      </c>
      <c r="H7" s="37" t="s">
        <v>91</v>
      </c>
      <c r="I7" s="288">
        <v>15</v>
      </c>
      <c r="J7" s="39">
        <v>2000</v>
      </c>
      <c r="K7" s="17">
        <f t="shared" si="1"/>
        <v>133.33333333333334</v>
      </c>
      <c r="L7" s="288">
        <v>15</v>
      </c>
      <c r="M7" s="18">
        <f t="shared" si="2"/>
        <v>1924.8000000000006</v>
      </c>
      <c r="N7" s="17">
        <f t="shared" si="3"/>
        <v>128.32000000000005</v>
      </c>
      <c r="O7" s="19">
        <f t="shared" si="4"/>
        <v>0</v>
      </c>
      <c r="P7" s="20">
        <f t="shared" si="5"/>
        <v>-5.0133333333332928</v>
      </c>
      <c r="Q7" s="284">
        <f t="shared" si="6"/>
        <v>0.96240000000000026</v>
      </c>
      <c r="R7" s="637"/>
      <c r="S7" s="40">
        <v>0.80069444444444438</v>
      </c>
      <c r="T7" s="40">
        <v>0.83541666666666659</v>
      </c>
      <c r="U7" s="283">
        <f t="shared" si="10"/>
        <v>5.9999999999999787</v>
      </c>
      <c r="V7" s="289">
        <f t="shared" si="7"/>
        <v>49.999999999999986</v>
      </c>
      <c r="W7" s="23"/>
      <c r="X7" s="23"/>
      <c r="Y7" s="26"/>
      <c r="Z7" s="26"/>
      <c r="AA7" s="627"/>
      <c r="AB7" s="628"/>
      <c r="AC7" s="135"/>
      <c r="AD7" s="27"/>
      <c r="AE7" s="19">
        <f t="shared" si="8"/>
        <v>-75.199999999999363</v>
      </c>
      <c r="AF7" s="284">
        <f t="shared" si="9"/>
        <v>0.96240000000000037</v>
      </c>
      <c r="AG7" s="637"/>
    </row>
    <row r="8" spans="1:33">
      <c r="A8" s="665" t="s">
        <v>1360</v>
      </c>
      <c r="B8" s="42" t="s">
        <v>1362</v>
      </c>
      <c r="C8" s="638"/>
      <c r="D8" s="638"/>
      <c r="E8" s="285"/>
      <c r="F8" s="44"/>
      <c r="G8" s="17"/>
      <c r="H8" s="290"/>
      <c r="I8" s="29">
        <v>15.333333333333334</v>
      </c>
      <c r="J8" s="39">
        <v>2000</v>
      </c>
      <c r="K8" s="17">
        <f t="shared" si="1"/>
        <v>130.43478260869566</v>
      </c>
      <c r="L8" s="29">
        <v>15.333333333333334</v>
      </c>
      <c r="M8" s="18">
        <f>AVERAGE(M5:M7)</f>
        <v>1921.2875000000015</v>
      </c>
      <c r="N8" s="17">
        <f t="shared" si="3"/>
        <v>125.30135869565227</v>
      </c>
      <c r="O8" s="19">
        <f t="shared" si="4"/>
        <v>0</v>
      </c>
      <c r="P8" s="20">
        <f t="shared" si="5"/>
        <v>-5.1334239130433872</v>
      </c>
      <c r="Q8" s="284">
        <f t="shared" si="6"/>
        <v>0.96064375000000068</v>
      </c>
      <c r="R8" s="637"/>
      <c r="S8" s="40"/>
      <c r="T8" s="40"/>
      <c r="U8" s="283"/>
      <c r="V8" s="289"/>
      <c r="W8" s="17"/>
      <c r="X8" s="17"/>
      <c r="Y8" s="30">
        <f>SUM(Y5:Y7)</f>
        <v>0</v>
      </c>
      <c r="Z8" s="30">
        <f>SUM(Z5:Z7)</f>
        <v>0</v>
      </c>
      <c r="AA8" s="631"/>
      <c r="AB8" s="631"/>
      <c r="AC8" s="30">
        <v>3</v>
      </c>
      <c r="AD8" s="30">
        <f>SUM(AD5:AD7)</f>
        <v>0</v>
      </c>
      <c r="AE8" s="19">
        <f t="shared" si="8"/>
        <v>-78.712499999998499</v>
      </c>
      <c r="AF8" s="284">
        <f t="shared" si="9"/>
        <v>0.9606437500000008</v>
      </c>
      <c r="AG8" s="637"/>
    </row>
    <row r="9" spans="1:33" ht="15.75" customHeight="1">
      <c r="A9" s="659" t="s">
        <v>1363</v>
      </c>
      <c r="B9" s="42" t="s">
        <v>96</v>
      </c>
      <c r="C9" s="660" t="s">
        <v>97</v>
      </c>
      <c r="D9" s="661"/>
      <c r="E9" s="42">
        <v>39.799999999999997</v>
      </c>
      <c r="F9" s="290">
        <v>3500</v>
      </c>
      <c r="G9" s="283">
        <f t="shared" ref="G9:G13" si="11">E9*F9</f>
        <v>139300</v>
      </c>
      <c r="H9" s="37">
        <v>2</v>
      </c>
      <c r="I9" s="288">
        <v>17</v>
      </c>
      <c r="J9" s="39">
        <v>1500</v>
      </c>
      <c r="K9" s="17">
        <f t="shared" si="1"/>
        <v>88.235294117647058</v>
      </c>
      <c r="L9" s="288">
        <v>17</v>
      </c>
      <c r="M9" s="18">
        <f t="shared" ref="M9:M13" si="12">F9/V9*60</f>
        <v>1438.3561643835617</v>
      </c>
      <c r="N9" s="17">
        <f t="shared" si="3"/>
        <v>84.609186140209516</v>
      </c>
      <c r="O9" s="19">
        <f t="shared" si="4"/>
        <v>0</v>
      </c>
      <c r="P9" s="20">
        <f t="shared" si="5"/>
        <v>-3.6261079774375418</v>
      </c>
      <c r="Q9" s="284">
        <f t="shared" si="6"/>
        <v>0.95890410958904115</v>
      </c>
      <c r="R9" s="637">
        <f>Q14</f>
        <v>0.95503773570215533</v>
      </c>
      <c r="S9" s="40">
        <v>8.3333333333333329E-2</v>
      </c>
      <c r="T9" s="40">
        <v>0.1847222222222222</v>
      </c>
      <c r="U9" s="283"/>
      <c r="V9" s="289">
        <f t="shared" ref="V9:V13" si="13">(T9-S9)*24*60</f>
        <v>146</v>
      </c>
      <c r="W9" s="23">
        <f>T9</f>
        <v>0.1847222222222222</v>
      </c>
      <c r="X9" s="23">
        <f>S10</f>
        <v>0.2048611111111111</v>
      </c>
      <c r="Y9" s="23"/>
      <c r="Z9" s="23"/>
      <c r="AA9" s="632"/>
      <c r="AB9" s="632"/>
      <c r="AC9" s="135">
        <v>5</v>
      </c>
      <c r="AD9" s="25"/>
      <c r="AE9" s="19">
        <f t="shared" si="8"/>
        <v>-61.643835616438309</v>
      </c>
      <c r="AF9" s="284">
        <f t="shared" si="9"/>
        <v>0.95890410958904115</v>
      </c>
      <c r="AG9" s="637">
        <f>AF14</f>
        <v>0.95503773570215544</v>
      </c>
    </row>
    <row r="10" spans="1:33" ht="15.75" customHeight="1">
      <c r="A10" s="659" t="s">
        <v>1364</v>
      </c>
      <c r="B10" s="42" t="s">
        <v>96</v>
      </c>
      <c r="C10" s="660" t="s">
        <v>98</v>
      </c>
      <c r="D10" s="661"/>
      <c r="E10" s="42">
        <v>39.46</v>
      </c>
      <c r="F10" s="290">
        <v>2431</v>
      </c>
      <c r="G10" s="283">
        <f t="shared" si="11"/>
        <v>95927.260000000009</v>
      </c>
      <c r="H10" s="37" t="s">
        <v>91</v>
      </c>
      <c r="I10" s="288">
        <v>15</v>
      </c>
      <c r="J10" s="39">
        <v>1500</v>
      </c>
      <c r="K10" s="17">
        <f t="shared" si="1"/>
        <v>100</v>
      </c>
      <c r="L10" s="288">
        <v>15</v>
      </c>
      <c r="M10" s="18">
        <f t="shared" si="12"/>
        <v>1429.9999999999995</v>
      </c>
      <c r="N10" s="17">
        <f t="shared" si="3"/>
        <v>95.3333333333333</v>
      </c>
      <c r="O10" s="19">
        <f t="shared" si="4"/>
        <v>0</v>
      </c>
      <c r="P10" s="20">
        <f t="shared" si="5"/>
        <v>-4.6666666666666998</v>
      </c>
      <c r="Q10" s="284">
        <f t="shared" si="6"/>
        <v>0.95333333333333303</v>
      </c>
      <c r="R10" s="637"/>
      <c r="S10" s="40">
        <v>0.2048611111111111</v>
      </c>
      <c r="T10" s="40">
        <v>0.27569444444444446</v>
      </c>
      <c r="U10" s="283">
        <f t="shared" ref="U10:U13" si="14">IF(S10=TIME(17,0,0),"",(S10-T9)*24*60)</f>
        <v>29.000000000000018</v>
      </c>
      <c r="V10" s="289">
        <f t="shared" si="13"/>
        <v>102.00000000000004</v>
      </c>
      <c r="W10" s="23"/>
      <c r="X10" s="23"/>
      <c r="Y10" s="23"/>
      <c r="Z10" s="23"/>
      <c r="AA10" s="632"/>
      <c r="AB10" s="632"/>
      <c r="AC10" s="135"/>
      <c r="AD10" s="25"/>
      <c r="AE10" s="19">
        <f t="shared" si="8"/>
        <v>-70.000000000000455</v>
      </c>
      <c r="AF10" s="284">
        <f t="shared" si="9"/>
        <v>0.95333333333333303</v>
      </c>
      <c r="AG10" s="637"/>
    </row>
    <row r="11" spans="1:33" ht="15.75" customHeight="1">
      <c r="A11" s="659" t="s">
        <v>1363</v>
      </c>
      <c r="B11" s="42" t="s">
        <v>96</v>
      </c>
      <c r="C11" s="660" t="s">
        <v>99</v>
      </c>
      <c r="D11" s="661"/>
      <c r="E11" s="42">
        <v>39.520000000000003</v>
      </c>
      <c r="F11" s="290">
        <v>2166</v>
      </c>
      <c r="G11" s="283">
        <f t="shared" si="11"/>
        <v>85600.320000000007</v>
      </c>
      <c r="H11" s="37" t="s">
        <v>91</v>
      </c>
      <c r="I11" s="288">
        <v>19</v>
      </c>
      <c r="J11" s="39">
        <v>1500</v>
      </c>
      <c r="K11" s="17">
        <f t="shared" si="1"/>
        <v>78.94736842105263</v>
      </c>
      <c r="L11" s="288">
        <v>19</v>
      </c>
      <c r="M11" s="18">
        <f t="shared" si="12"/>
        <v>1428.1318681318683</v>
      </c>
      <c r="N11" s="17">
        <f t="shared" si="3"/>
        <v>75.164835164835168</v>
      </c>
      <c r="O11" s="19">
        <f t="shared" si="4"/>
        <v>0</v>
      </c>
      <c r="P11" s="20">
        <f t="shared" si="5"/>
        <v>-3.7825332562174623</v>
      </c>
      <c r="Q11" s="284">
        <f t="shared" si="6"/>
        <v>0.9520879120879121</v>
      </c>
      <c r="R11" s="637"/>
      <c r="S11" s="40">
        <v>0.27986111111111112</v>
      </c>
      <c r="T11" s="40">
        <v>0.34305555555555556</v>
      </c>
      <c r="U11" s="283">
        <f t="shared" si="14"/>
        <v>5.9999999999999787</v>
      </c>
      <c r="V11" s="289">
        <f t="shared" si="13"/>
        <v>91</v>
      </c>
      <c r="W11" s="23"/>
      <c r="X11" s="23"/>
      <c r="Y11" s="23"/>
      <c r="Z11" s="23"/>
      <c r="AA11" s="632"/>
      <c r="AB11" s="632"/>
      <c r="AC11" s="135"/>
      <c r="AD11" s="25"/>
      <c r="AE11" s="19">
        <f t="shared" si="8"/>
        <v>-71.868131868131741</v>
      </c>
      <c r="AF11" s="284">
        <f t="shared" si="9"/>
        <v>0.95208791208791221</v>
      </c>
      <c r="AG11" s="637"/>
    </row>
    <row r="12" spans="1:33" ht="15.75" customHeight="1">
      <c r="A12" s="659" t="s">
        <v>1363</v>
      </c>
      <c r="B12" s="42" t="s">
        <v>96</v>
      </c>
      <c r="C12" s="660" t="s">
        <v>100</v>
      </c>
      <c r="D12" s="661"/>
      <c r="E12" s="42">
        <v>39.619999999999997</v>
      </c>
      <c r="F12" s="290">
        <v>4298</v>
      </c>
      <c r="G12" s="283">
        <f t="shared" si="11"/>
        <v>170286.75999999998</v>
      </c>
      <c r="H12" s="37" t="s">
        <v>91</v>
      </c>
      <c r="I12" s="288">
        <v>19</v>
      </c>
      <c r="J12" s="39">
        <v>1500</v>
      </c>
      <c r="K12" s="17">
        <f t="shared" si="1"/>
        <v>78.94736842105263</v>
      </c>
      <c r="L12" s="288">
        <v>19</v>
      </c>
      <c r="M12" s="18">
        <f t="shared" si="12"/>
        <v>1432.6666666666665</v>
      </c>
      <c r="N12" s="17">
        <f t="shared" si="3"/>
        <v>75.403508771929822</v>
      </c>
      <c r="O12" s="19">
        <f t="shared" si="4"/>
        <v>0</v>
      </c>
      <c r="P12" s="20">
        <f t="shared" si="5"/>
        <v>-3.5438596491228083</v>
      </c>
      <c r="Q12" s="284">
        <f t="shared" si="6"/>
        <v>0.95511111111111113</v>
      </c>
      <c r="R12" s="637"/>
      <c r="S12" s="40">
        <v>0.34722222222222221</v>
      </c>
      <c r="T12" s="40">
        <v>0.47222222222222221</v>
      </c>
      <c r="U12" s="283">
        <f t="shared" si="14"/>
        <v>5.9999999999999787</v>
      </c>
      <c r="V12" s="289">
        <f t="shared" si="13"/>
        <v>180</v>
      </c>
      <c r="W12" s="23">
        <f>T12</f>
        <v>0.47222222222222221</v>
      </c>
      <c r="X12" s="23">
        <f>S13</f>
        <v>0.51249999999999996</v>
      </c>
      <c r="Y12" s="23"/>
      <c r="Z12" s="23"/>
      <c r="AA12" s="627"/>
      <c r="AB12" s="628"/>
      <c r="AC12" s="135"/>
      <c r="AD12" s="25"/>
      <c r="AE12" s="19">
        <f t="shared" si="8"/>
        <v>-67.333333333333485</v>
      </c>
      <c r="AF12" s="284">
        <f t="shared" si="9"/>
        <v>0.95511111111111102</v>
      </c>
      <c r="AG12" s="637"/>
    </row>
    <row r="13" spans="1:33" ht="15.75" customHeight="1">
      <c r="A13" s="659" t="s">
        <v>1363</v>
      </c>
      <c r="B13" s="42" t="s">
        <v>96</v>
      </c>
      <c r="C13" s="660" t="s">
        <v>97</v>
      </c>
      <c r="D13" s="661"/>
      <c r="E13" s="42">
        <v>39.799999999999997</v>
      </c>
      <c r="F13" s="290">
        <v>2700</v>
      </c>
      <c r="G13" s="283">
        <f t="shared" si="11"/>
        <v>107459.99999999999</v>
      </c>
      <c r="H13" s="37" t="s">
        <v>91</v>
      </c>
      <c r="I13" s="288">
        <v>17</v>
      </c>
      <c r="J13" s="39">
        <v>1500</v>
      </c>
      <c r="K13" s="17">
        <f t="shared" si="1"/>
        <v>88.235294117647058</v>
      </c>
      <c r="L13" s="288">
        <v>17</v>
      </c>
      <c r="M13" s="18">
        <f t="shared" si="12"/>
        <v>1433.6283185840698</v>
      </c>
      <c r="N13" s="17">
        <f t="shared" si="3"/>
        <v>84.331077563768815</v>
      </c>
      <c r="O13" s="19">
        <f t="shared" si="4"/>
        <v>0</v>
      </c>
      <c r="P13" s="20">
        <f t="shared" si="5"/>
        <v>-3.9042165538782427</v>
      </c>
      <c r="Q13" s="284">
        <f t="shared" si="6"/>
        <v>0.95575221238937991</v>
      </c>
      <c r="R13" s="637"/>
      <c r="S13" s="40">
        <v>0.51249999999999996</v>
      </c>
      <c r="T13" s="40">
        <v>0.59097222222222223</v>
      </c>
      <c r="U13" s="283">
        <f t="shared" si="14"/>
        <v>57.999999999999957</v>
      </c>
      <c r="V13" s="289">
        <f t="shared" si="13"/>
        <v>113.00000000000009</v>
      </c>
      <c r="W13" s="23"/>
      <c r="X13" s="23"/>
      <c r="Y13" s="26"/>
      <c r="Z13" s="26"/>
      <c r="AA13" s="627"/>
      <c r="AB13" s="628"/>
      <c r="AC13" s="135"/>
      <c r="AD13" s="25"/>
      <c r="AE13" s="19">
        <f t="shared" si="8"/>
        <v>-66.371681415930198</v>
      </c>
      <c r="AF13" s="284">
        <f t="shared" si="9"/>
        <v>0.95575221238937991</v>
      </c>
      <c r="AG13" s="637"/>
    </row>
    <row r="14" spans="1:33" ht="16.5" customHeight="1">
      <c r="A14" s="659" t="s">
        <v>1363</v>
      </c>
      <c r="B14" s="42" t="s">
        <v>1362</v>
      </c>
      <c r="C14" s="638"/>
      <c r="D14" s="638"/>
      <c r="E14" s="285"/>
      <c r="F14" s="39"/>
      <c r="G14" s="18"/>
      <c r="H14" s="290"/>
      <c r="I14" s="29">
        <v>17.399999999999999</v>
      </c>
      <c r="J14" s="39">
        <v>1500</v>
      </c>
      <c r="K14" s="17">
        <f t="shared" si="1"/>
        <v>86.206896551724142</v>
      </c>
      <c r="L14" s="29">
        <v>17.399999999999999</v>
      </c>
      <c r="M14" s="18">
        <f>AVERAGE(M9:M13)</f>
        <v>1432.5566035532331</v>
      </c>
      <c r="N14" s="17">
        <f t="shared" si="3"/>
        <v>82.330839284668571</v>
      </c>
      <c r="O14" s="19">
        <f t="shared" si="4"/>
        <v>0</v>
      </c>
      <c r="P14" s="20">
        <f t="shared" si="5"/>
        <v>-3.8760572670555717</v>
      </c>
      <c r="Q14" s="284">
        <f t="shared" si="6"/>
        <v>0.95503773570215533</v>
      </c>
      <c r="R14" s="637"/>
      <c r="S14" s="40"/>
      <c r="T14" s="40"/>
      <c r="U14" s="17"/>
      <c r="V14" s="289"/>
      <c r="W14" s="17"/>
      <c r="X14" s="17"/>
      <c r="Y14" s="30">
        <f>SUM(Y9:Y13)</f>
        <v>0</v>
      </c>
      <c r="Z14" s="30">
        <f>SUM(Z9:Z13)</f>
        <v>0</v>
      </c>
      <c r="AA14" s="631"/>
      <c r="AB14" s="631"/>
      <c r="AC14" s="30">
        <v>5</v>
      </c>
      <c r="AD14" s="30">
        <f>SUM(AD9:AD13)</f>
        <v>0</v>
      </c>
      <c r="AE14" s="19">
        <f t="shared" si="8"/>
        <v>-67.443396446766883</v>
      </c>
      <c r="AF14" s="284">
        <f t="shared" si="9"/>
        <v>0.95503773570215544</v>
      </c>
      <c r="AG14" s="637"/>
    </row>
    <row r="15" spans="1:33" ht="16.5" customHeight="1">
      <c r="A15" s="657" t="s">
        <v>1365</v>
      </c>
      <c r="B15" s="290" t="s">
        <v>101</v>
      </c>
      <c r="C15" s="653" t="s">
        <v>102</v>
      </c>
      <c r="D15" s="653"/>
      <c r="E15" s="42">
        <v>31.11</v>
      </c>
      <c r="F15" s="290">
        <v>3239</v>
      </c>
      <c r="G15" s="283">
        <f t="shared" ref="G15:G20" si="15">E15*F15</f>
        <v>100765.29</v>
      </c>
      <c r="H15" s="37" t="s">
        <v>91</v>
      </c>
      <c r="I15" s="288">
        <v>14</v>
      </c>
      <c r="J15" s="39">
        <v>2000</v>
      </c>
      <c r="K15" s="17">
        <f t="shared" si="1"/>
        <v>142.85714285714286</v>
      </c>
      <c r="L15" s="288">
        <v>14</v>
      </c>
      <c r="M15" s="18">
        <f t="shared" ref="M15:M20" si="16">F15/V15*60</f>
        <v>1905.2941176470588</v>
      </c>
      <c r="N15" s="17">
        <f t="shared" si="3"/>
        <v>136.0924369747899</v>
      </c>
      <c r="O15" s="19">
        <f t="shared" si="4"/>
        <v>0</v>
      </c>
      <c r="P15" s="20">
        <f t="shared" si="5"/>
        <v>-6.7647058823529562</v>
      </c>
      <c r="Q15" s="284">
        <f t="shared" si="6"/>
        <v>0.95264705882352929</v>
      </c>
      <c r="R15" s="637">
        <f>Q21</f>
        <v>0.95789182091586544</v>
      </c>
      <c r="S15" s="40">
        <v>0.20833333333333334</v>
      </c>
      <c r="T15" s="40">
        <v>0.27916666666666667</v>
      </c>
      <c r="U15" s="283"/>
      <c r="V15" s="289">
        <f t="shared" ref="V15:V20" si="17">(T15-S15)*24*60</f>
        <v>102</v>
      </c>
      <c r="W15" s="23"/>
      <c r="X15" s="23"/>
      <c r="Y15" s="28"/>
      <c r="Z15" s="28"/>
      <c r="AA15" s="632"/>
      <c r="AB15" s="632"/>
      <c r="AC15" s="135">
        <v>6</v>
      </c>
      <c r="AD15" s="25"/>
      <c r="AE15" s="19">
        <f t="shared" si="8"/>
        <v>-94.705882352941217</v>
      </c>
      <c r="AF15" s="284">
        <f t="shared" si="9"/>
        <v>0.9526470588235294</v>
      </c>
      <c r="AG15" s="637">
        <f>AF21</f>
        <v>0.95789182091586544</v>
      </c>
    </row>
    <row r="16" spans="1:33" ht="16.5" customHeight="1">
      <c r="A16" s="658" t="s">
        <v>1366</v>
      </c>
      <c r="B16" s="290" t="s">
        <v>103</v>
      </c>
      <c r="C16" s="653" t="s">
        <v>104</v>
      </c>
      <c r="D16" s="653"/>
      <c r="E16" s="42">
        <v>38.619999999999997</v>
      </c>
      <c r="F16" s="290">
        <v>2318</v>
      </c>
      <c r="G16" s="283">
        <f t="shared" si="15"/>
        <v>89521.159999999989</v>
      </c>
      <c r="H16" s="37" t="s">
        <v>91</v>
      </c>
      <c r="I16" s="288">
        <v>24</v>
      </c>
      <c r="J16" s="39">
        <v>1500</v>
      </c>
      <c r="K16" s="17">
        <f t="shared" si="1"/>
        <v>62.5</v>
      </c>
      <c r="L16" s="288">
        <v>24</v>
      </c>
      <c r="M16" s="18">
        <f t="shared" si="16"/>
        <v>1433.8144329896911</v>
      </c>
      <c r="N16" s="17">
        <f t="shared" si="3"/>
        <v>59.742268041237132</v>
      </c>
      <c r="O16" s="19">
        <f t="shared" si="4"/>
        <v>0</v>
      </c>
      <c r="P16" s="20">
        <f t="shared" si="5"/>
        <v>-2.7577319587628679</v>
      </c>
      <c r="Q16" s="284">
        <f t="shared" si="6"/>
        <v>0.95587628865979413</v>
      </c>
      <c r="R16" s="637"/>
      <c r="S16" s="40">
        <v>0.28472222222222221</v>
      </c>
      <c r="T16" s="40">
        <v>0.3520833333333333</v>
      </c>
      <c r="U16" s="283">
        <f t="shared" ref="U16:U20" si="18">IF(S16=TIME(17,0,0),"",(S16-T15)*24*60)</f>
        <v>7.9999999999999716</v>
      </c>
      <c r="V16" s="289">
        <f t="shared" si="17"/>
        <v>96.999999999999972</v>
      </c>
      <c r="W16" s="23"/>
      <c r="X16" s="23"/>
      <c r="Y16" s="23"/>
      <c r="Z16" s="23"/>
      <c r="AA16" s="632"/>
      <c r="AB16" s="632"/>
      <c r="AC16" s="135"/>
      <c r="AD16" s="25"/>
      <c r="AE16" s="19">
        <f t="shared" si="8"/>
        <v>-66.185567010308887</v>
      </c>
      <c r="AF16" s="284">
        <f t="shared" si="9"/>
        <v>0.95587628865979413</v>
      </c>
      <c r="AG16" s="637"/>
    </row>
    <row r="17" spans="1:33" ht="16.5" customHeight="1">
      <c r="A17" s="658" t="s">
        <v>1366</v>
      </c>
      <c r="B17" s="290" t="s">
        <v>103</v>
      </c>
      <c r="C17" s="653" t="s">
        <v>105</v>
      </c>
      <c r="D17" s="653"/>
      <c r="E17" s="42">
        <v>41</v>
      </c>
      <c r="F17" s="290">
        <v>1815</v>
      </c>
      <c r="G17" s="283">
        <f t="shared" si="15"/>
        <v>74415</v>
      </c>
      <c r="H17" s="37" t="s">
        <v>91</v>
      </c>
      <c r="I17" s="288">
        <v>26</v>
      </c>
      <c r="J17" s="39">
        <v>1500</v>
      </c>
      <c r="K17" s="17">
        <f t="shared" si="1"/>
        <v>57.692307692307693</v>
      </c>
      <c r="L17" s="288">
        <v>26</v>
      </c>
      <c r="M17" s="18">
        <f t="shared" si="16"/>
        <v>1432.8947368421057</v>
      </c>
      <c r="N17" s="17">
        <f t="shared" si="3"/>
        <v>55.111336032388678</v>
      </c>
      <c r="O17" s="19">
        <f t="shared" si="4"/>
        <v>0</v>
      </c>
      <c r="P17" s="20">
        <f t="shared" si="5"/>
        <v>-2.5809716599190153</v>
      </c>
      <c r="Q17" s="284">
        <f t="shared" si="6"/>
        <v>0.95526315789473704</v>
      </c>
      <c r="R17" s="637"/>
      <c r="S17" s="40">
        <v>0.35763888888888884</v>
      </c>
      <c r="T17" s="40">
        <v>0.4104166666666666</v>
      </c>
      <c r="U17" s="283">
        <f t="shared" si="18"/>
        <v>7.9999999999999716</v>
      </c>
      <c r="V17" s="289">
        <f t="shared" si="17"/>
        <v>75.999999999999972</v>
      </c>
      <c r="W17" s="23"/>
      <c r="X17" s="23"/>
      <c r="Y17" s="23"/>
      <c r="Z17" s="23"/>
      <c r="AA17" s="632"/>
      <c r="AB17" s="632"/>
      <c r="AC17" s="135"/>
      <c r="AD17" s="25"/>
      <c r="AE17" s="19">
        <f t="shared" si="8"/>
        <v>-67.105263157894342</v>
      </c>
      <c r="AF17" s="284">
        <f t="shared" si="9"/>
        <v>0.95526315789473715</v>
      </c>
      <c r="AG17" s="637"/>
    </row>
    <row r="18" spans="1:33" ht="16.5" customHeight="1">
      <c r="A18" s="658" t="s">
        <v>1366</v>
      </c>
      <c r="B18" s="290" t="s">
        <v>92</v>
      </c>
      <c r="C18" s="653" t="s">
        <v>108</v>
      </c>
      <c r="D18" s="653"/>
      <c r="E18" s="42">
        <v>54.5</v>
      </c>
      <c r="F18" s="290">
        <v>1156</v>
      </c>
      <c r="G18" s="283">
        <f t="shared" si="15"/>
        <v>63002</v>
      </c>
      <c r="H18" s="37" t="s">
        <v>91</v>
      </c>
      <c r="I18" s="288">
        <v>20</v>
      </c>
      <c r="J18" s="39">
        <v>1500</v>
      </c>
      <c r="K18" s="17">
        <f t="shared" si="1"/>
        <v>75</v>
      </c>
      <c r="L18" s="288">
        <v>20</v>
      </c>
      <c r="M18" s="18">
        <f t="shared" si="16"/>
        <v>1445.0000000000005</v>
      </c>
      <c r="N18" s="17">
        <f t="shared" si="3"/>
        <v>72.250000000000028</v>
      </c>
      <c r="O18" s="19">
        <f t="shared" si="4"/>
        <v>0</v>
      </c>
      <c r="P18" s="20">
        <f t="shared" si="5"/>
        <v>-2.7499999999999716</v>
      </c>
      <c r="Q18" s="284">
        <f t="shared" si="6"/>
        <v>0.96333333333333371</v>
      </c>
      <c r="R18" s="637"/>
      <c r="S18" s="40">
        <v>0.70833333333333337</v>
      </c>
      <c r="T18" s="40">
        <v>0.7416666666666667</v>
      </c>
      <c r="U18" s="283" t="str">
        <f t="shared" si="18"/>
        <v/>
      </c>
      <c r="V18" s="289">
        <f t="shared" si="17"/>
        <v>47.999999999999986</v>
      </c>
      <c r="W18" s="23"/>
      <c r="X18" s="23"/>
      <c r="Y18" s="23"/>
      <c r="Z18" s="23"/>
      <c r="AA18" s="632"/>
      <c r="AB18" s="632"/>
      <c r="AC18" s="135"/>
      <c r="AD18" s="25"/>
      <c r="AE18" s="19">
        <f t="shared" si="8"/>
        <v>-54.999999999999545</v>
      </c>
      <c r="AF18" s="284">
        <f t="shared" si="9"/>
        <v>0.9633333333333336</v>
      </c>
      <c r="AG18" s="637"/>
    </row>
    <row r="19" spans="1:33" ht="16.5" customHeight="1">
      <c r="A19" s="658" t="s">
        <v>1365</v>
      </c>
      <c r="B19" s="290" t="s">
        <v>92</v>
      </c>
      <c r="C19" s="653" t="s">
        <v>107</v>
      </c>
      <c r="D19" s="653"/>
      <c r="E19" s="42">
        <v>50.67</v>
      </c>
      <c r="F19" s="290">
        <v>1315</v>
      </c>
      <c r="G19" s="283">
        <f t="shared" si="15"/>
        <v>66631.05</v>
      </c>
      <c r="H19" s="37" t="s">
        <v>91</v>
      </c>
      <c r="I19" s="288">
        <v>17</v>
      </c>
      <c r="J19" s="39">
        <v>2000</v>
      </c>
      <c r="K19" s="17">
        <f t="shared" si="1"/>
        <v>117.64705882352941</v>
      </c>
      <c r="L19" s="288">
        <v>17</v>
      </c>
      <c r="M19" s="18">
        <f t="shared" si="16"/>
        <v>1924.3902439024384</v>
      </c>
      <c r="N19" s="17">
        <f t="shared" si="3"/>
        <v>113.19942611190814</v>
      </c>
      <c r="O19" s="19">
        <f t="shared" si="4"/>
        <v>0</v>
      </c>
      <c r="P19" s="20">
        <f t="shared" si="5"/>
        <v>-4.4476327116212673</v>
      </c>
      <c r="Q19" s="284">
        <f t="shared" si="6"/>
        <v>0.96219512195121926</v>
      </c>
      <c r="R19" s="637"/>
      <c r="S19" s="40">
        <v>0.74513888888888891</v>
      </c>
      <c r="T19" s="40">
        <v>0.77361111111111114</v>
      </c>
      <c r="U19" s="283">
        <f t="shared" si="18"/>
        <v>4.9999999999999822</v>
      </c>
      <c r="V19" s="289">
        <f t="shared" si="17"/>
        <v>41.000000000000014</v>
      </c>
      <c r="W19" s="23"/>
      <c r="X19" s="23"/>
      <c r="Y19" s="23"/>
      <c r="Z19" s="23"/>
      <c r="AA19" s="632"/>
      <c r="AB19" s="632"/>
      <c r="AC19" s="135"/>
      <c r="AD19" s="25"/>
      <c r="AE19" s="19">
        <f t="shared" si="8"/>
        <v>-75.609756097561558</v>
      </c>
      <c r="AF19" s="284">
        <f t="shared" si="9"/>
        <v>0.96219512195121926</v>
      </c>
      <c r="AG19" s="637"/>
    </row>
    <row r="20" spans="1:33" ht="16.5" customHeight="1">
      <c r="A20" s="658" t="s">
        <v>1366</v>
      </c>
      <c r="B20" s="290" t="s">
        <v>92</v>
      </c>
      <c r="C20" s="286" t="s">
        <v>95</v>
      </c>
      <c r="D20" s="287"/>
      <c r="E20" s="42">
        <v>50.67</v>
      </c>
      <c r="F20" s="290">
        <v>1086</v>
      </c>
      <c r="G20" s="283">
        <f t="shared" si="15"/>
        <v>55027.62</v>
      </c>
      <c r="H20" s="37" t="s">
        <v>91</v>
      </c>
      <c r="I20" s="288">
        <v>15</v>
      </c>
      <c r="J20" s="39">
        <v>2000</v>
      </c>
      <c r="K20" s="17">
        <f t="shared" si="1"/>
        <v>133.33333333333334</v>
      </c>
      <c r="L20" s="288">
        <v>15</v>
      </c>
      <c r="M20" s="18">
        <f t="shared" si="16"/>
        <v>1916.4705882352919</v>
      </c>
      <c r="N20" s="17">
        <f t="shared" si="3"/>
        <v>127.76470588235279</v>
      </c>
      <c r="O20" s="19">
        <f t="shared" si="4"/>
        <v>0</v>
      </c>
      <c r="P20" s="20">
        <f t="shared" si="5"/>
        <v>-5.5686274509805571</v>
      </c>
      <c r="Q20" s="284">
        <f t="shared" si="6"/>
        <v>0.95823529411764585</v>
      </c>
      <c r="R20" s="637"/>
      <c r="S20" s="40">
        <v>0.77777777777777779</v>
      </c>
      <c r="T20" s="40">
        <v>0.80138888888888893</v>
      </c>
      <c r="U20" s="283">
        <f t="shared" si="18"/>
        <v>5.9999999999999787</v>
      </c>
      <c r="V20" s="289">
        <f t="shared" si="17"/>
        <v>34.000000000000043</v>
      </c>
      <c r="W20" s="23"/>
      <c r="X20" s="23"/>
      <c r="Y20" s="26"/>
      <c r="Z20" s="26"/>
      <c r="AA20" s="279"/>
      <c r="AB20" s="280"/>
      <c r="AC20" s="135"/>
      <c r="AD20" s="25"/>
      <c r="AE20" s="19">
        <f t="shared" si="8"/>
        <v>-83.529411764708129</v>
      </c>
      <c r="AF20" s="284">
        <f t="shared" si="9"/>
        <v>0.95823529411764596</v>
      </c>
      <c r="AG20" s="637"/>
    </row>
    <row r="21" spans="1:33" ht="16.5" customHeight="1">
      <c r="A21" s="658" t="s">
        <v>1366</v>
      </c>
      <c r="B21" s="42" t="s">
        <v>1367</v>
      </c>
      <c r="C21" s="638"/>
      <c r="D21" s="638"/>
      <c r="E21" s="285"/>
      <c r="F21" s="44"/>
      <c r="G21" s="17"/>
      <c r="H21" s="290"/>
      <c r="I21" s="29">
        <v>19.333333333333332</v>
      </c>
      <c r="J21" s="39">
        <v>1750</v>
      </c>
      <c r="K21" s="17">
        <f t="shared" si="1"/>
        <v>90.517241379310349</v>
      </c>
      <c r="L21" s="29">
        <v>19.333333333333332</v>
      </c>
      <c r="M21" s="18">
        <f>AVERAGE(M15:M20)</f>
        <v>1676.3106866027645</v>
      </c>
      <c r="N21" s="17">
        <f t="shared" si="3"/>
        <v>86.705725169108518</v>
      </c>
      <c r="O21" s="19">
        <f t="shared" si="4"/>
        <v>0</v>
      </c>
      <c r="P21" s="20">
        <f t="shared" si="5"/>
        <v>-3.8115162102018303</v>
      </c>
      <c r="Q21" s="284">
        <f t="shared" si="6"/>
        <v>0.95789182091586544</v>
      </c>
      <c r="R21" s="637"/>
      <c r="S21" s="40"/>
      <c r="T21" s="40"/>
      <c r="U21" s="283"/>
      <c r="V21" s="289"/>
      <c r="W21" s="17"/>
      <c r="X21" s="17"/>
      <c r="Y21" s="30">
        <f>SUM(Y15:Y20)</f>
        <v>0</v>
      </c>
      <c r="Z21" s="30">
        <f>SUM(Z15:Z20)</f>
        <v>0</v>
      </c>
      <c r="AA21" s="631"/>
      <c r="AB21" s="631"/>
      <c r="AC21" s="30">
        <v>6</v>
      </c>
      <c r="AD21" s="30">
        <f>SUM(AD15:AD20)</f>
        <v>0</v>
      </c>
      <c r="AE21" s="19">
        <f t="shared" si="8"/>
        <v>-73.689313397235537</v>
      </c>
      <c r="AF21" s="284">
        <f t="shared" si="9"/>
        <v>0.95789182091586544</v>
      </c>
      <c r="AG21" s="637"/>
    </row>
    <row r="22" spans="1:33" ht="15.75" customHeight="1">
      <c r="A22" s="655" t="s">
        <v>1368</v>
      </c>
      <c r="B22" s="42" t="s">
        <v>92</v>
      </c>
      <c r="C22" s="653" t="s">
        <v>110</v>
      </c>
      <c r="D22" s="653"/>
      <c r="E22" s="42">
        <v>50.67</v>
      </c>
      <c r="F22" s="290">
        <v>1594</v>
      </c>
      <c r="G22" s="283">
        <f t="shared" ref="G22:G27" si="19">E22*F22</f>
        <v>80767.98</v>
      </c>
      <c r="H22" s="37" t="s">
        <v>91</v>
      </c>
      <c r="I22" s="288">
        <v>17</v>
      </c>
      <c r="J22" s="39">
        <v>2000</v>
      </c>
      <c r="K22" s="17">
        <f t="shared" si="1"/>
        <v>117.64705882352941</v>
      </c>
      <c r="L22" s="288">
        <v>17</v>
      </c>
      <c r="M22" s="18">
        <f t="shared" ref="M22:M27" si="20">F22/V22*60</f>
        <v>1912.799999999999</v>
      </c>
      <c r="N22" s="17">
        <f t="shared" si="3"/>
        <v>112.51764705882347</v>
      </c>
      <c r="O22" s="19">
        <f t="shared" si="4"/>
        <v>0</v>
      </c>
      <c r="P22" s="20">
        <f t="shared" si="5"/>
        <v>-5.1294117647059352</v>
      </c>
      <c r="Q22" s="284">
        <f t="shared" si="6"/>
        <v>0.95639999999999958</v>
      </c>
      <c r="R22" s="637">
        <f>Q28</f>
        <v>0.96101576038293623</v>
      </c>
      <c r="S22" s="40">
        <v>0.20833333333333334</v>
      </c>
      <c r="T22" s="40">
        <v>0.24305555555555558</v>
      </c>
      <c r="U22" s="283"/>
      <c r="V22" s="289">
        <f t="shared" ref="V22:V27" si="21">(T22-S22)*24*60</f>
        <v>50.000000000000021</v>
      </c>
      <c r="W22" s="23"/>
      <c r="X22" s="23"/>
      <c r="Y22" s="28"/>
      <c r="Z22" s="28"/>
      <c r="AA22" s="632"/>
      <c r="AB22" s="632"/>
      <c r="AC22" s="135">
        <v>6</v>
      </c>
      <c r="AD22" s="25"/>
      <c r="AE22" s="19">
        <f t="shared" si="8"/>
        <v>-87.200000000000955</v>
      </c>
      <c r="AF22" s="284">
        <f t="shared" si="9"/>
        <v>0.95639999999999947</v>
      </c>
      <c r="AG22" s="637">
        <f>AF28</f>
        <v>0.96101576038293623</v>
      </c>
    </row>
    <row r="23" spans="1:33" ht="15.75" customHeight="1">
      <c r="A23" s="656" t="s">
        <v>1368</v>
      </c>
      <c r="B23" s="42" t="s">
        <v>92</v>
      </c>
      <c r="C23" s="653" t="s">
        <v>111</v>
      </c>
      <c r="D23" s="653"/>
      <c r="E23" s="42">
        <v>57.73</v>
      </c>
      <c r="F23" s="290">
        <v>2169</v>
      </c>
      <c r="G23" s="283">
        <f t="shared" si="19"/>
        <v>125216.37</v>
      </c>
      <c r="H23" s="37" t="s">
        <v>91</v>
      </c>
      <c r="I23" s="288">
        <v>14</v>
      </c>
      <c r="J23" s="39">
        <v>2000</v>
      </c>
      <c r="K23" s="17">
        <f t="shared" si="1"/>
        <v>142.85714285714286</v>
      </c>
      <c r="L23" s="288">
        <v>14</v>
      </c>
      <c r="M23" s="18">
        <f t="shared" si="20"/>
        <v>1913.8235294117635</v>
      </c>
      <c r="N23" s="17">
        <f t="shared" si="3"/>
        <v>136.70168067226882</v>
      </c>
      <c r="O23" s="19">
        <f t="shared" si="4"/>
        <v>0</v>
      </c>
      <c r="P23" s="20">
        <f t="shared" si="5"/>
        <v>-6.1554621848740396</v>
      </c>
      <c r="Q23" s="284">
        <f t="shared" si="6"/>
        <v>0.95691176470588168</v>
      </c>
      <c r="R23" s="637"/>
      <c r="S23" s="40">
        <v>0.24861111111111114</v>
      </c>
      <c r="T23" s="40">
        <v>0.29583333333333339</v>
      </c>
      <c r="U23" s="283">
        <f t="shared" ref="U23:U27" si="22">IF(S23=TIME(17,0,0),"",(S23-T22)*24*60)</f>
        <v>8.0000000000000107</v>
      </c>
      <c r="V23" s="289">
        <f t="shared" si="21"/>
        <v>68.000000000000043</v>
      </c>
      <c r="W23" s="23"/>
      <c r="X23" s="283"/>
      <c r="Y23" s="283"/>
      <c r="Z23" s="283"/>
      <c r="AA23" s="632"/>
      <c r="AB23" s="632"/>
      <c r="AC23" s="135"/>
      <c r="AD23" s="25"/>
      <c r="AE23" s="19">
        <f t="shared" si="8"/>
        <v>-86.176470588236498</v>
      </c>
      <c r="AF23" s="284">
        <f t="shared" si="9"/>
        <v>0.9569117647058818</v>
      </c>
      <c r="AG23" s="637"/>
    </row>
    <row r="24" spans="1:33" ht="15.75" customHeight="1">
      <c r="A24" s="656" t="s">
        <v>1368</v>
      </c>
      <c r="B24" s="42" t="s">
        <v>92</v>
      </c>
      <c r="C24" s="653" t="s">
        <v>112</v>
      </c>
      <c r="D24" s="653"/>
      <c r="E24" s="42">
        <v>53.27</v>
      </c>
      <c r="F24" s="290">
        <v>1364</v>
      </c>
      <c r="G24" s="283">
        <f t="shared" si="19"/>
        <v>72660.28</v>
      </c>
      <c r="H24" s="37" t="s">
        <v>91</v>
      </c>
      <c r="I24" s="288">
        <v>16</v>
      </c>
      <c r="J24" s="39">
        <v>2000</v>
      </c>
      <c r="K24" s="17">
        <f t="shared" si="1"/>
        <v>125</v>
      </c>
      <c r="L24" s="288">
        <v>16</v>
      </c>
      <c r="M24" s="18">
        <f t="shared" si="20"/>
        <v>1948.571428571428</v>
      </c>
      <c r="N24" s="17">
        <f t="shared" si="3"/>
        <v>121.78571428571425</v>
      </c>
      <c r="O24" s="19">
        <f t="shared" si="4"/>
        <v>0</v>
      </c>
      <c r="P24" s="20">
        <f t="shared" si="5"/>
        <v>-3.2142857142857508</v>
      </c>
      <c r="Q24" s="284">
        <f t="shared" si="6"/>
        <v>0.97428571428571398</v>
      </c>
      <c r="R24" s="637"/>
      <c r="S24" s="40">
        <v>0.30000000000000004</v>
      </c>
      <c r="T24" s="40">
        <v>0.32916666666666672</v>
      </c>
      <c r="U24" s="283">
        <f t="shared" si="22"/>
        <v>5.9999999999999787</v>
      </c>
      <c r="V24" s="289">
        <f t="shared" si="21"/>
        <v>42.000000000000014</v>
      </c>
      <c r="W24" s="23"/>
      <c r="X24" s="283"/>
      <c r="Y24" s="283"/>
      <c r="Z24" s="283"/>
      <c r="AA24" s="632"/>
      <c r="AB24" s="632"/>
      <c r="AC24" s="135"/>
      <c r="AD24" s="25"/>
      <c r="AE24" s="19">
        <f t="shared" si="8"/>
        <v>-51.428571428572013</v>
      </c>
      <c r="AF24" s="284">
        <f t="shared" si="9"/>
        <v>0.97428571428571398</v>
      </c>
      <c r="AG24" s="637"/>
    </row>
    <row r="25" spans="1:33" ht="15.75" customHeight="1">
      <c r="A25" s="656" t="s">
        <v>1368</v>
      </c>
      <c r="B25" s="42" t="s">
        <v>92</v>
      </c>
      <c r="C25" s="653" t="s">
        <v>113</v>
      </c>
      <c r="D25" s="653"/>
      <c r="E25" s="42">
        <v>56.43</v>
      </c>
      <c r="F25" s="290">
        <v>1062</v>
      </c>
      <c r="G25" s="283">
        <f t="shared" si="19"/>
        <v>59928.659999999996</v>
      </c>
      <c r="H25" s="37" t="s">
        <v>91</v>
      </c>
      <c r="I25" s="288">
        <v>13</v>
      </c>
      <c r="J25" s="39">
        <v>2000</v>
      </c>
      <c r="K25" s="17">
        <f t="shared" si="1"/>
        <v>153.84615384615384</v>
      </c>
      <c r="L25" s="288">
        <v>13</v>
      </c>
      <c r="M25" s="18">
        <f t="shared" si="20"/>
        <v>1930.9090909090883</v>
      </c>
      <c r="N25" s="17">
        <f t="shared" si="3"/>
        <v>148.53146853146833</v>
      </c>
      <c r="O25" s="19">
        <f t="shared" si="4"/>
        <v>0</v>
      </c>
      <c r="P25" s="20">
        <f t="shared" si="5"/>
        <v>-5.3146853146855051</v>
      </c>
      <c r="Q25" s="284">
        <f t="shared" si="6"/>
        <v>0.96545454545454423</v>
      </c>
      <c r="R25" s="637"/>
      <c r="S25" s="40">
        <v>0.70833333333333337</v>
      </c>
      <c r="T25" s="40">
        <v>0.73125000000000007</v>
      </c>
      <c r="U25" s="283" t="str">
        <f t="shared" si="22"/>
        <v/>
      </c>
      <c r="V25" s="289">
        <f t="shared" si="21"/>
        <v>33.000000000000043</v>
      </c>
      <c r="W25" s="23"/>
      <c r="X25" s="283"/>
      <c r="Y25" s="283"/>
      <c r="Z25" s="283"/>
      <c r="AA25" s="632"/>
      <c r="AB25" s="632"/>
      <c r="AC25" s="135"/>
      <c r="AD25" s="25"/>
      <c r="AE25" s="19">
        <f t="shared" si="8"/>
        <v>-69.090909090911737</v>
      </c>
      <c r="AF25" s="284">
        <f t="shared" si="9"/>
        <v>0.96545454545454412</v>
      </c>
      <c r="AG25" s="637"/>
    </row>
    <row r="26" spans="1:33" ht="15.75" customHeight="1">
      <c r="A26" s="656" t="s">
        <v>1368</v>
      </c>
      <c r="B26" s="42" t="s">
        <v>92</v>
      </c>
      <c r="C26" s="653" t="s">
        <v>140</v>
      </c>
      <c r="D26" s="653"/>
      <c r="E26" s="42">
        <v>51.06</v>
      </c>
      <c r="F26" s="290">
        <v>2337</v>
      </c>
      <c r="G26" s="283">
        <f t="shared" si="19"/>
        <v>119327.22</v>
      </c>
      <c r="H26" s="37" t="s">
        <v>91</v>
      </c>
      <c r="I26" s="288">
        <v>13</v>
      </c>
      <c r="J26" s="39">
        <v>2000</v>
      </c>
      <c r="K26" s="17">
        <f t="shared" si="1"/>
        <v>153.84615384615384</v>
      </c>
      <c r="L26" s="288">
        <v>13</v>
      </c>
      <c r="M26" s="18">
        <f t="shared" si="20"/>
        <v>1920.8219178082179</v>
      </c>
      <c r="N26" s="17">
        <f t="shared" si="3"/>
        <v>147.75553213909367</v>
      </c>
      <c r="O26" s="19">
        <f t="shared" si="4"/>
        <v>0</v>
      </c>
      <c r="P26" s="20">
        <f t="shared" si="5"/>
        <v>-6.0906217070601656</v>
      </c>
      <c r="Q26" s="284">
        <f t="shared" si="6"/>
        <v>0.96041095890410888</v>
      </c>
      <c r="R26" s="637"/>
      <c r="S26" s="40">
        <v>0.73541666666666672</v>
      </c>
      <c r="T26" s="40">
        <v>0.7861111111111112</v>
      </c>
      <c r="U26" s="283">
        <f t="shared" si="22"/>
        <v>5.9999999999999787</v>
      </c>
      <c r="V26" s="289">
        <f t="shared" si="21"/>
        <v>73.000000000000057</v>
      </c>
      <c r="W26" s="23"/>
      <c r="X26" s="23"/>
      <c r="Y26" s="283"/>
      <c r="Z26" s="283"/>
      <c r="AA26" s="632"/>
      <c r="AB26" s="632"/>
      <c r="AC26" s="135"/>
      <c r="AD26" s="25"/>
      <c r="AE26" s="19">
        <f t="shared" si="8"/>
        <v>-79.178082191782096</v>
      </c>
      <c r="AF26" s="284">
        <f t="shared" si="9"/>
        <v>0.96041095890410899</v>
      </c>
      <c r="AG26" s="637"/>
    </row>
    <row r="27" spans="1:33" ht="15.75" customHeight="1">
      <c r="A27" s="656" t="s">
        <v>1368</v>
      </c>
      <c r="B27" s="42" t="s">
        <v>92</v>
      </c>
      <c r="C27" s="653" t="s">
        <v>114</v>
      </c>
      <c r="D27" s="653"/>
      <c r="E27" s="42">
        <v>54.09</v>
      </c>
      <c r="F27" s="290">
        <v>1810</v>
      </c>
      <c r="G27" s="283">
        <f t="shared" si="19"/>
        <v>97902.900000000009</v>
      </c>
      <c r="H27" s="37" t="s">
        <v>91</v>
      </c>
      <c r="I27" s="288">
        <v>18</v>
      </c>
      <c r="J27" s="39">
        <v>2000</v>
      </c>
      <c r="K27" s="17">
        <f t="shared" si="1"/>
        <v>111.11111111111111</v>
      </c>
      <c r="L27" s="288">
        <v>18</v>
      </c>
      <c r="M27" s="18">
        <f t="shared" si="20"/>
        <v>1905.2631578947382</v>
      </c>
      <c r="N27" s="17">
        <f t="shared" si="3"/>
        <v>105.84795321637435</v>
      </c>
      <c r="O27" s="19">
        <f t="shared" si="4"/>
        <v>0</v>
      </c>
      <c r="P27" s="20">
        <f t="shared" si="5"/>
        <v>-5.2631578947367643</v>
      </c>
      <c r="Q27" s="284">
        <f t="shared" si="6"/>
        <v>0.95263157894736916</v>
      </c>
      <c r="R27" s="637"/>
      <c r="S27" s="40">
        <v>0.7909722222222223</v>
      </c>
      <c r="T27" s="40">
        <v>0.8305555555555556</v>
      </c>
      <c r="U27" s="283">
        <f t="shared" si="22"/>
        <v>6.9999999999999751</v>
      </c>
      <c r="V27" s="289">
        <f t="shared" si="21"/>
        <v>56.999999999999957</v>
      </c>
      <c r="W27" s="23"/>
      <c r="X27" s="28"/>
      <c r="Y27" s="28"/>
      <c r="Z27" s="28"/>
      <c r="AA27" s="632"/>
      <c r="AB27" s="632"/>
      <c r="AC27" s="135"/>
      <c r="AD27" s="25"/>
      <c r="AE27" s="19">
        <f t="shared" si="8"/>
        <v>-94.736842105261758</v>
      </c>
      <c r="AF27" s="284">
        <f t="shared" si="9"/>
        <v>0.95263157894736916</v>
      </c>
      <c r="AG27" s="637"/>
    </row>
    <row r="28" spans="1:33" ht="15.75" customHeight="1">
      <c r="A28" s="656" t="s">
        <v>1368</v>
      </c>
      <c r="B28" s="42" t="s">
        <v>1362</v>
      </c>
      <c r="C28" s="638"/>
      <c r="D28" s="638"/>
      <c r="E28" s="285"/>
      <c r="F28" s="290"/>
      <c r="G28" s="283"/>
      <c r="H28" s="290"/>
      <c r="I28" s="29">
        <v>15.166666666666666</v>
      </c>
      <c r="J28" s="39">
        <v>2000</v>
      </c>
      <c r="K28" s="17">
        <f t="shared" si="1"/>
        <v>131.86813186813188</v>
      </c>
      <c r="L28" s="29">
        <v>15.166666666666666</v>
      </c>
      <c r="M28" s="18">
        <f>AVERAGE(M22:M27)</f>
        <v>1922.0315207658725</v>
      </c>
      <c r="N28" s="17">
        <f t="shared" si="3"/>
        <v>126.72735301753006</v>
      </c>
      <c r="O28" s="19">
        <f t="shared" si="4"/>
        <v>0</v>
      </c>
      <c r="P28" s="20">
        <f t="shared" si="5"/>
        <v>-5.1407788506018193</v>
      </c>
      <c r="Q28" s="284">
        <f t="shared" si="6"/>
        <v>0.96101576038293623</v>
      </c>
      <c r="R28" s="637"/>
      <c r="S28" s="40"/>
      <c r="T28" s="40"/>
      <c r="U28" s="17"/>
      <c r="V28" s="289"/>
      <c r="W28" s="17"/>
      <c r="X28" s="17"/>
      <c r="Y28" s="30">
        <f>SUM(Y22:Y27)</f>
        <v>0</v>
      </c>
      <c r="Z28" s="30">
        <f>SUM(Z22:Z27)</f>
        <v>0</v>
      </c>
      <c r="AA28" s="631"/>
      <c r="AB28" s="631"/>
      <c r="AC28" s="30">
        <v>6</v>
      </c>
      <c r="AD28" s="30">
        <f>SUM(AD22:AD27)</f>
        <v>0</v>
      </c>
      <c r="AE28" s="19">
        <f t="shared" si="8"/>
        <v>-77.968479234127471</v>
      </c>
      <c r="AF28" s="284">
        <f t="shared" si="9"/>
        <v>0.96101576038293623</v>
      </c>
      <c r="AG28" s="637"/>
    </row>
    <row r="29" spans="1:33" ht="15.75" customHeight="1">
      <c r="A29" s="654" t="s">
        <v>1369</v>
      </c>
      <c r="B29" s="42" t="s">
        <v>116</v>
      </c>
      <c r="C29" s="653" t="s">
        <v>117</v>
      </c>
      <c r="D29" s="653"/>
      <c r="E29" s="42">
        <v>31.29</v>
      </c>
      <c r="F29" s="290">
        <v>3400</v>
      </c>
      <c r="G29" s="283">
        <f t="shared" ref="G29:G34" si="23">E29*F29</f>
        <v>106386</v>
      </c>
      <c r="H29" s="37">
        <v>2</v>
      </c>
      <c r="I29" s="288">
        <v>18</v>
      </c>
      <c r="J29" s="39">
        <v>2400</v>
      </c>
      <c r="K29" s="17">
        <f t="shared" si="1"/>
        <v>133.33333333333334</v>
      </c>
      <c r="L29" s="288">
        <v>18</v>
      </c>
      <c r="M29" s="18">
        <f t="shared" ref="M29:M34" si="24">F29/V29*60</f>
        <v>2292.1348314606748</v>
      </c>
      <c r="N29" s="17">
        <f t="shared" si="3"/>
        <v>127.34082397003749</v>
      </c>
      <c r="O29" s="19">
        <f t="shared" si="4"/>
        <v>0</v>
      </c>
      <c r="P29" s="20">
        <f t="shared" si="5"/>
        <v>-5.9925093632958522</v>
      </c>
      <c r="Q29" s="284">
        <f t="shared" si="6"/>
        <v>0.95505617977528112</v>
      </c>
      <c r="R29" s="637">
        <f>Q35</f>
        <v>0.95743473105789256</v>
      </c>
      <c r="S29" s="40">
        <v>8.3333333333333329E-2</v>
      </c>
      <c r="T29" s="40">
        <v>0.14513888888888887</v>
      </c>
      <c r="U29" s="283"/>
      <c r="V29" s="289">
        <f t="shared" ref="V29:V34" si="25">(T29-S29)*24*60</f>
        <v>88.999999999999972</v>
      </c>
      <c r="W29" s="23">
        <f>T29</f>
        <v>0.14513888888888887</v>
      </c>
      <c r="X29" s="23">
        <f>S30</f>
        <v>0.16388888888888886</v>
      </c>
      <c r="Y29" s="23"/>
      <c r="Z29" s="23"/>
      <c r="AA29" s="632"/>
      <c r="AB29" s="632"/>
      <c r="AC29" s="135">
        <v>6</v>
      </c>
      <c r="AD29" s="25"/>
      <c r="AE29" s="19">
        <f t="shared" si="8"/>
        <v>-107.86516853932517</v>
      </c>
      <c r="AF29" s="284">
        <f t="shared" si="9"/>
        <v>0.95505617977528123</v>
      </c>
      <c r="AG29" s="637">
        <f>AF35</f>
        <v>0.95743473105789256</v>
      </c>
    </row>
    <row r="30" spans="1:33" ht="15.75" customHeight="1">
      <c r="A30" s="654" t="s">
        <v>1370</v>
      </c>
      <c r="B30" s="42" t="s">
        <v>116</v>
      </c>
      <c r="C30" s="653" t="s">
        <v>118</v>
      </c>
      <c r="D30" s="653"/>
      <c r="E30" s="42">
        <v>26.37</v>
      </c>
      <c r="F30" s="290">
        <v>6382</v>
      </c>
      <c r="G30" s="283">
        <f t="shared" si="23"/>
        <v>168293.34</v>
      </c>
      <c r="H30" s="37" t="s">
        <v>91</v>
      </c>
      <c r="I30" s="288">
        <v>18</v>
      </c>
      <c r="J30" s="39">
        <v>2400</v>
      </c>
      <c r="K30" s="17">
        <f t="shared" si="1"/>
        <v>133.33333333333334</v>
      </c>
      <c r="L30" s="288">
        <v>18</v>
      </c>
      <c r="M30" s="18">
        <f t="shared" si="24"/>
        <v>2292.9341317365274</v>
      </c>
      <c r="N30" s="17">
        <f t="shared" si="3"/>
        <v>127.38522954091819</v>
      </c>
      <c r="O30" s="19">
        <f t="shared" si="4"/>
        <v>0</v>
      </c>
      <c r="P30" s="20">
        <f t="shared" si="5"/>
        <v>-5.9481037924151536</v>
      </c>
      <c r="Q30" s="284">
        <f t="shared" si="6"/>
        <v>0.95538922155688633</v>
      </c>
      <c r="R30" s="637"/>
      <c r="S30" s="40">
        <v>0.16388888888888886</v>
      </c>
      <c r="T30" s="40">
        <v>0.27986111111111106</v>
      </c>
      <c r="U30" s="283">
        <f t="shared" ref="U30:U34" si="26">(S30-T29)*24*60</f>
        <v>26.999999999999986</v>
      </c>
      <c r="V30" s="289">
        <f t="shared" si="25"/>
        <v>166.99999999999997</v>
      </c>
      <c r="W30" s="23"/>
      <c r="X30" s="23"/>
      <c r="Y30" s="23"/>
      <c r="Z30" s="23"/>
      <c r="AA30" s="632"/>
      <c r="AB30" s="632"/>
      <c r="AC30" s="135"/>
      <c r="AD30" s="25"/>
      <c r="AE30" s="19">
        <f t="shared" si="8"/>
        <v>-107.06586826347257</v>
      </c>
      <c r="AF30" s="284">
        <f t="shared" si="9"/>
        <v>0.95538922155688644</v>
      </c>
      <c r="AG30" s="637"/>
    </row>
    <row r="31" spans="1:33" ht="15.75" customHeight="1">
      <c r="A31" s="654" t="s">
        <v>1370</v>
      </c>
      <c r="B31" s="42" t="s">
        <v>116</v>
      </c>
      <c r="C31" s="653" t="s">
        <v>124</v>
      </c>
      <c r="D31" s="653"/>
      <c r="E31" s="42">
        <v>24.43</v>
      </c>
      <c r="F31" s="290">
        <v>6561</v>
      </c>
      <c r="G31" s="283">
        <f t="shared" si="23"/>
        <v>160285.23000000001</v>
      </c>
      <c r="H31" s="37" t="s">
        <v>91</v>
      </c>
      <c r="I31" s="288">
        <v>14</v>
      </c>
      <c r="J31" s="39">
        <v>2400</v>
      </c>
      <c r="K31" s="17">
        <f t="shared" si="1"/>
        <v>171.42857142857142</v>
      </c>
      <c r="L31" s="288">
        <v>14</v>
      </c>
      <c r="M31" s="18">
        <f t="shared" si="24"/>
        <v>2288.7209302325577</v>
      </c>
      <c r="N31" s="17">
        <f t="shared" si="3"/>
        <v>163.4800664451827</v>
      </c>
      <c r="O31" s="19">
        <f t="shared" si="4"/>
        <v>0</v>
      </c>
      <c r="P31" s="20">
        <f t="shared" si="5"/>
        <v>-7.948504983388716</v>
      </c>
      <c r="Q31" s="284">
        <f t="shared" si="6"/>
        <v>0.95363372093023246</v>
      </c>
      <c r="R31" s="637"/>
      <c r="S31" s="40">
        <v>0.28333333333333327</v>
      </c>
      <c r="T31" s="40">
        <v>0.40277777777777773</v>
      </c>
      <c r="U31" s="283">
        <f t="shared" si="26"/>
        <v>4.9999999999999822</v>
      </c>
      <c r="V31" s="289">
        <f t="shared" si="25"/>
        <v>172.00000000000003</v>
      </c>
      <c r="W31" s="23"/>
      <c r="X31" s="23"/>
      <c r="Y31" s="23"/>
      <c r="Z31" s="23"/>
      <c r="AA31" s="632"/>
      <c r="AB31" s="632"/>
      <c r="AC31" s="135"/>
      <c r="AD31" s="25"/>
      <c r="AE31" s="19">
        <f t="shared" si="8"/>
        <v>-111.27906976744225</v>
      </c>
      <c r="AF31" s="284">
        <f t="shared" si="9"/>
        <v>0.95363372093023235</v>
      </c>
      <c r="AG31" s="637"/>
    </row>
    <row r="32" spans="1:33" ht="15.75" customHeight="1">
      <c r="A32" s="654" t="s">
        <v>1370</v>
      </c>
      <c r="B32" s="42" t="s">
        <v>116</v>
      </c>
      <c r="C32" s="653" t="s">
        <v>147</v>
      </c>
      <c r="D32" s="653"/>
      <c r="E32" s="42">
        <v>25.98</v>
      </c>
      <c r="F32" s="290">
        <v>2641</v>
      </c>
      <c r="G32" s="283">
        <f t="shared" si="23"/>
        <v>68613.180000000008</v>
      </c>
      <c r="H32" s="37" t="s">
        <v>91</v>
      </c>
      <c r="I32" s="288">
        <v>17</v>
      </c>
      <c r="J32" s="39">
        <v>2400</v>
      </c>
      <c r="K32" s="17">
        <f t="shared" si="1"/>
        <v>141.1764705882353</v>
      </c>
      <c r="L32" s="288">
        <v>17</v>
      </c>
      <c r="M32" s="18">
        <f t="shared" si="24"/>
        <v>2296.5217391304345</v>
      </c>
      <c r="N32" s="17">
        <f t="shared" si="3"/>
        <v>135.08951406649615</v>
      </c>
      <c r="O32" s="19">
        <f t="shared" si="4"/>
        <v>0</v>
      </c>
      <c r="P32" s="20">
        <f t="shared" si="5"/>
        <v>-6.0869565217391539</v>
      </c>
      <c r="Q32" s="284">
        <f t="shared" si="6"/>
        <v>0.95688405797101428</v>
      </c>
      <c r="R32" s="637"/>
      <c r="S32" s="40">
        <v>0.40833333333333327</v>
      </c>
      <c r="T32" s="40">
        <v>0.45624999999999993</v>
      </c>
      <c r="U32" s="283">
        <f t="shared" si="26"/>
        <v>7.9999999999999716</v>
      </c>
      <c r="V32" s="289">
        <f t="shared" si="25"/>
        <v>69</v>
      </c>
      <c r="W32" s="23"/>
      <c r="X32" s="23"/>
      <c r="Y32" s="23"/>
      <c r="Z32" s="23"/>
      <c r="AA32" s="632"/>
      <c r="AB32" s="632"/>
      <c r="AC32" s="135"/>
      <c r="AD32" s="25"/>
      <c r="AE32" s="19">
        <f t="shared" si="8"/>
        <v>-103.47826086956547</v>
      </c>
      <c r="AF32" s="284">
        <f t="shared" si="9"/>
        <v>0.95688405797101439</v>
      </c>
      <c r="AG32" s="637"/>
    </row>
    <row r="33" spans="1:33" ht="15.75" customHeight="1">
      <c r="A33" s="654" t="s">
        <v>1370</v>
      </c>
      <c r="B33" s="42" t="s">
        <v>116</v>
      </c>
      <c r="C33" s="653" t="s">
        <v>122</v>
      </c>
      <c r="D33" s="653"/>
      <c r="E33" s="42">
        <v>20.21</v>
      </c>
      <c r="F33" s="290">
        <v>1977</v>
      </c>
      <c r="G33" s="283">
        <f t="shared" si="23"/>
        <v>39955.17</v>
      </c>
      <c r="H33" s="37" t="s">
        <v>91</v>
      </c>
      <c r="I33" s="288">
        <v>18</v>
      </c>
      <c r="J33" s="39">
        <v>2400</v>
      </c>
      <c r="K33" s="17">
        <f t="shared" si="1"/>
        <v>133.33333333333334</v>
      </c>
      <c r="L33" s="288">
        <v>18</v>
      </c>
      <c r="M33" s="18">
        <f t="shared" si="24"/>
        <v>2325.8823529411775</v>
      </c>
      <c r="N33" s="17">
        <f t="shared" si="3"/>
        <v>129.21568627450986</v>
      </c>
      <c r="O33" s="19">
        <f t="shared" si="4"/>
        <v>0</v>
      </c>
      <c r="P33" s="20">
        <f t="shared" si="5"/>
        <v>-4.1176470588234793</v>
      </c>
      <c r="Q33" s="284">
        <f t="shared" si="6"/>
        <v>0.96911764705882386</v>
      </c>
      <c r="R33" s="637"/>
      <c r="S33" s="40">
        <v>0.46041666666666659</v>
      </c>
      <c r="T33" s="40">
        <v>0.49583333333333324</v>
      </c>
      <c r="U33" s="283">
        <f t="shared" si="26"/>
        <v>5.9999999999999787</v>
      </c>
      <c r="V33" s="289">
        <f t="shared" si="25"/>
        <v>50.999999999999979</v>
      </c>
      <c r="W33" s="23">
        <f>T33</f>
        <v>0.49583333333333324</v>
      </c>
      <c r="X33" s="23">
        <f>S34</f>
        <v>0.53541666666666654</v>
      </c>
      <c r="Y33" s="23"/>
      <c r="Z33" s="23"/>
      <c r="AA33" s="632"/>
      <c r="AB33" s="632"/>
      <c r="AC33" s="135"/>
      <c r="AD33" s="25"/>
      <c r="AE33" s="19">
        <f t="shared" si="8"/>
        <v>-74.117647058822513</v>
      </c>
      <c r="AF33" s="284">
        <f t="shared" si="9"/>
        <v>0.96911764705882397</v>
      </c>
      <c r="AG33" s="637"/>
    </row>
    <row r="34" spans="1:33" ht="15.75" customHeight="1">
      <c r="A34" s="654" t="s">
        <v>1370</v>
      </c>
      <c r="B34" s="42" t="s">
        <v>116</v>
      </c>
      <c r="C34" s="653" t="s">
        <v>117</v>
      </c>
      <c r="D34" s="653"/>
      <c r="E34" s="42">
        <v>31.29</v>
      </c>
      <c r="F34" s="290">
        <v>4849</v>
      </c>
      <c r="G34" s="283">
        <f t="shared" si="23"/>
        <v>151725.21</v>
      </c>
      <c r="H34" s="37" t="s">
        <v>91</v>
      </c>
      <c r="I34" s="288">
        <v>18</v>
      </c>
      <c r="J34" s="39">
        <v>2400</v>
      </c>
      <c r="K34" s="17">
        <f t="shared" si="1"/>
        <v>133.33333333333334</v>
      </c>
      <c r="L34" s="288">
        <v>18</v>
      </c>
      <c r="M34" s="18">
        <f t="shared" si="24"/>
        <v>2290.8661417322833</v>
      </c>
      <c r="N34" s="17">
        <f t="shared" si="3"/>
        <v>127.27034120734908</v>
      </c>
      <c r="O34" s="19">
        <f t="shared" si="4"/>
        <v>0</v>
      </c>
      <c r="P34" s="20">
        <f t="shared" si="5"/>
        <v>-6.0629921259842661</v>
      </c>
      <c r="Q34" s="284">
        <f t="shared" si="6"/>
        <v>0.95452755905511799</v>
      </c>
      <c r="R34" s="637"/>
      <c r="S34" s="40">
        <v>0.53541666666666654</v>
      </c>
      <c r="T34" s="40">
        <v>0.62361111111111101</v>
      </c>
      <c r="U34" s="283">
        <f t="shared" si="26"/>
        <v>56.999999999999957</v>
      </c>
      <c r="V34" s="289">
        <f t="shared" si="25"/>
        <v>127.00000000000003</v>
      </c>
      <c r="W34" s="23"/>
      <c r="X34" s="23"/>
      <c r="Y34" s="23"/>
      <c r="Z34" s="23"/>
      <c r="AA34" s="632"/>
      <c r="AB34" s="632"/>
      <c r="AC34" s="135"/>
      <c r="AD34" s="25"/>
      <c r="AE34" s="19">
        <f t="shared" si="8"/>
        <v>-109.13385826771673</v>
      </c>
      <c r="AF34" s="284">
        <f t="shared" si="9"/>
        <v>0.95452755905511799</v>
      </c>
      <c r="AG34" s="637"/>
    </row>
    <row r="35" spans="1:33" ht="15.75" customHeight="1">
      <c r="A35" s="654" t="s">
        <v>1370</v>
      </c>
      <c r="B35" s="42" t="s">
        <v>1362</v>
      </c>
      <c r="C35" s="638"/>
      <c r="D35" s="638"/>
      <c r="E35" s="285"/>
      <c r="F35" s="290"/>
      <c r="G35" s="283"/>
      <c r="H35" s="290"/>
      <c r="I35" s="29">
        <v>17.166666666666668</v>
      </c>
      <c r="J35" s="39">
        <v>2400</v>
      </c>
      <c r="K35" s="17">
        <f t="shared" si="1"/>
        <v>139.80582524271844</v>
      </c>
      <c r="L35" s="29">
        <v>17.166666666666668</v>
      </c>
      <c r="M35" s="18">
        <f>AVERAGE(M29:M34)</f>
        <v>2297.8433545389421</v>
      </c>
      <c r="N35" s="17">
        <f t="shared" si="3"/>
        <v>133.85495269158886</v>
      </c>
      <c r="O35" s="19">
        <f t="shared" si="4"/>
        <v>0</v>
      </c>
      <c r="P35" s="20">
        <f t="shared" si="5"/>
        <v>-5.9508725511295779</v>
      </c>
      <c r="Q35" s="284">
        <f t="shared" si="6"/>
        <v>0.95743473105789256</v>
      </c>
      <c r="R35" s="637"/>
      <c r="S35" s="40"/>
      <c r="T35" s="40"/>
      <c r="U35" s="283"/>
      <c r="V35" s="289"/>
      <c r="W35" s="283"/>
      <c r="X35" s="283"/>
      <c r="Y35" s="30">
        <f>SUM(Y29:Y34)</f>
        <v>0</v>
      </c>
      <c r="Z35" s="30">
        <f>SUM(Z29:Z34)</f>
        <v>0</v>
      </c>
      <c r="AA35" s="631"/>
      <c r="AB35" s="631"/>
      <c r="AC35" s="30">
        <v>6</v>
      </c>
      <c r="AD35" s="30">
        <f>SUM(AD29:AD34)</f>
        <v>0</v>
      </c>
      <c r="AE35" s="19">
        <f t="shared" si="8"/>
        <v>-102.15664546105791</v>
      </c>
      <c r="AF35" s="284">
        <f t="shared" si="9"/>
        <v>0.95743473105789256</v>
      </c>
      <c r="AG35" s="637"/>
    </row>
    <row r="36" spans="1:33" ht="15.75" customHeight="1">
      <c r="A36" s="651" t="s">
        <v>1371</v>
      </c>
      <c r="B36" s="42" t="s">
        <v>116</v>
      </c>
      <c r="C36" s="633" t="s">
        <v>123</v>
      </c>
      <c r="D36" s="633"/>
      <c r="E36" s="42">
        <v>26.18</v>
      </c>
      <c r="F36" s="290">
        <v>5785</v>
      </c>
      <c r="G36" s="283">
        <f t="shared" ref="G36:G42" si="27">E36*F36</f>
        <v>151451.29999999999</v>
      </c>
      <c r="H36" s="37" t="s">
        <v>91</v>
      </c>
      <c r="I36" s="288">
        <v>20</v>
      </c>
      <c r="J36" s="39">
        <v>2400</v>
      </c>
      <c r="K36" s="17">
        <f t="shared" si="1"/>
        <v>120</v>
      </c>
      <c r="L36" s="288">
        <v>20</v>
      </c>
      <c r="M36" s="18">
        <f t="shared" ref="M36:M42" si="28">F36/V36*60</f>
        <v>2283.5526315789471</v>
      </c>
      <c r="N36" s="17">
        <f t="shared" si="3"/>
        <v>114.17763157894736</v>
      </c>
      <c r="O36" s="19">
        <f t="shared" si="4"/>
        <v>0</v>
      </c>
      <c r="P36" s="20">
        <f t="shared" si="5"/>
        <v>-5.8223684210526443</v>
      </c>
      <c r="Q36" s="284">
        <f t="shared" si="6"/>
        <v>0.95148026315789458</v>
      </c>
      <c r="R36" s="637">
        <f>Q43</f>
        <v>0.95354541021405892</v>
      </c>
      <c r="S36" s="40">
        <v>8.3333333333333329E-2</v>
      </c>
      <c r="T36" s="40">
        <v>0.18888888888888888</v>
      </c>
      <c r="U36" s="283"/>
      <c r="V36" s="289">
        <f t="shared" ref="V36:V42" si="29">(T36-S36)*24*60</f>
        <v>152</v>
      </c>
      <c r="W36" s="28">
        <f>T36</f>
        <v>0.18888888888888888</v>
      </c>
      <c r="X36" s="28">
        <f>S37</f>
        <v>0.20902777777777778</v>
      </c>
      <c r="Y36" s="28"/>
      <c r="Z36" s="28"/>
      <c r="AA36" s="632"/>
      <c r="AB36" s="632"/>
      <c r="AC36" s="135">
        <v>7</v>
      </c>
      <c r="AD36" s="25"/>
      <c r="AE36" s="19">
        <f t="shared" si="8"/>
        <v>-116.44736842105294</v>
      </c>
      <c r="AF36" s="284">
        <f t="shared" si="9"/>
        <v>0.95148026315789458</v>
      </c>
      <c r="AG36" s="637">
        <f>AF43</f>
        <v>0.95354541021405892</v>
      </c>
    </row>
    <row r="37" spans="1:33" ht="15.75" customHeight="1">
      <c r="A37" s="651" t="s">
        <v>1371</v>
      </c>
      <c r="B37" s="42" t="s">
        <v>116</v>
      </c>
      <c r="C37" s="633" t="s">
        <v>125</v>
      </c>
      <c r="D37" s="633"/>
      <c r="E37" s="42">
        <v>25.98</v>
      </c>
      <c r="F37" s="290">
        <v>3222</v>
      </c>
      <c r="G37" s="283">
        <f t="shared" si="27"/>
        <v>83707.56</v>
      </c>
      <c r="H37" s="37" t="s">
        <v>91</v>
      </c>
      <c r="I37" s="288">
        <v>20</v>
      </c>
      <c r="J37" s="39">
        <v>2400</v>
      </c>
      <c r="K37" s="17">
        <f t="shared" si="1"/>
        <v>120</v>
      </c>
      <c r="L37" s="288">
        <v>20</v>
      </c>
      <c r="M37" s="18">
        <f t="shared" si="28"/>
        <v>2301.4285714285716</v>
      </c>
      <c r="N37" s="17">
        <f t="shared" si="3"/>
        <v>115.07142857142858</v>
      </c>
      <c r="O37" s="19">
        <f t="shared" si="4"/>
        <v>0</v>
      </c>
      <c r="P37" s="20">
        <f t="shared" si="5"/>
        <v>-4.9285714285714164</v>
      </c>
      <c r="Q37" s="284">
        <f t="shared" si="6"/>
        <v>0.95892857142857157</v>
      </c>
      <c r="R37" s="637"/>
      <c r="S37" s="40">
        <v>0.20902777777777778</v>
      </c>
      <c r="T37" s="40">
        <v>0.2673611111111111</v>
      </c>
      <c r="U37" s="283">
        <f t="shared" ref="U37:U42" si="30">(S37-T36)*24*60</f>
        <v>29.000000000000018</v>
      </c>
      <c r="V37" s="289">
        <f t="shared" si="29"/>
        <v>83.999999999999986</v>
      </c>
      <c r="W37" s="283"/>
      <c r="X37" s="283"/>
      <c r="Y37" s="283"/>
      <c r="Z37" s="283"/>
      <c r="AA37" s="632"/>
      <c r="AB37" s="632"/>
      <c r="AC37" s="135"/>
      <c r="AD37" s="25"/>
      <c r="AE37" s="19">
        <f t="shared" si="8"/>
        <v>-98.571428571428442</v>
      </c>
      <c r="AF37" s="284">
        <f t="shared" si="9"/>
        <v>0.95892857142857146</v>
      </c>
      <c r="AG37" s="637"/>
    </row>
    <row r="38" spans="1:33">
      <c r="A38" s="652" t="s">
        <v>66</v>
      </c>
      <c r="B38" s="42" t="s">
        <v>116</v>
      </c>
      <c r="C38" s="633" t="s">
        <v>119</v>
      </c>
      <c r="D38" s="633"/>
      <c r="E38" s="42">
        <v>26.18</v>
      </c>
      <c r="F38" s="290">
        <v>4300</v>
      </c>
      <c r="G38" s="283">
        <f t="shared" si="27"/>
        <v>112574</v>
      </c>
      <c r="H38" s="37">
        <v>2</v>
      </c>
      <c r="I38" s="288">
        <v>18</v>
      </c>
      <c r="J38" s="39">
        <v>2400</v>
      </c>
      <c r="K38" s="17">
        <f t="shared" si="1"/>
        <v>133.33333333333334</v>
      </c>
      <c r="L38" s="288">
        <v>18</v>
      </c>
      <c r="M38" s="18">
        <f t="shared" si="28"/>
        <v>2283.1858407079644</v>
      </c>
      <c r="N38" s="17">
        <f t="shared" si="3"/>
        <v>126.84365781710913</v>
      </c>
      <c r="O38" s="19">
        <f t="shared" si="4"/>
        <v>0</v>
      </c>
      <c r="P38" s="20">
        <f t="shared" si="5"/>
        <v>-6.4896755162242101</v>
      </c>
      <c r="Q38" s="284">
        <f t="shared" si="6"/>
        <v>0.9513274336283184</v>
      </c>
      <c r="R38" s="637"/>
      <c r="S38" s="40">
        <v>0.27291666666666664</v>
      </c>
      <c r="T38" s="40">
        <v>0.35138888888888886</v>
      </c>
      <c r="U38" s="283">
        <f t="shared" si="30"/>
        <v>7.9999999999999716</v>
      </c>
      <c r="V38" s="289">
        <f t="shared" si="29"/>
        <v>113</v>
      </c>
      <c r="W38" s="283"/>
      <c r="X38" s="283"/>
      <c r="Y38" s="283"/>
      <c r="Z38" s="283"/>
      <c r="AA38" s="632"/>
      <c r="AB38" s="632"/>
      <c r="AC38" s="135"/>
      <c r="AD38" s="25"/>
      <c r="AE38" s="19">
        <f t="shared" si="8"/>
        <v>-116.81415929203558</v>
      </c>
      <c r="AF38" s="284">
        <f t="shared" si="9"/>
        <v>0.95132743362831851</v>
      </c>
      <c r="AG38" s="637"/>
    </row>
    <row r="39" spans="1:33">
      <c r="A39" s="652" t="s">
        <v>66</v>
      </c>
      <c r="B39" s="42" t="s">
        <v>116</v>
      </c>
      <c r="C39" s="633" t="s">
        <v>121</v>
      </c>
      <c r="D39" s="633"/>
      <c r="E39" s="42">
        <v>25.99</v>
      </c>
      <c r="F39" s="290">
        <v>3705</v>
      </c>
      <c r="G39" s="283">
        <f t="shared" si="27"/>
        <v>96292.95</v>
      </c>
      <c r="H39" s="37" t="s">
        <v>91</v>
      </c>
      <c r="I39" s="288">
        <v>14</v>
      </c>
      <c r="J39" s="39">
        <v>2400</v>
      </c>
      <c r="K39" s="17">
        <f t="shared" si="1"/>
        <v>171.42857142857142</v>
      </c>
      <c r="L39" s="288">
        <v>14</v>
      </c>
      <c r="M39" s="18">
        <f t="shared" si="28"/>
        <v>2291.7525773195885</v>
      </c>
      <c r="N39" s="17">
        <f t="shared" si="3"/>
        <v>163.69661266568488</v>
      </c>
      <c r="O39" s="19">
        <f t="shared" si="4"/>
        <v>0</v>
      </c>
      <c r="P39" s="20">
        <f t="shared" si="5"/>
        <v>-7.7319587628865349</v>
      </c>
      <c r="Q39" s="284">
        <f t="shared" si="6"/>
        <v>0.95489690721649523</v>
      </c>
      <c r="R39" s="637"/>
      <c r="S39" s="40">
        <v>0.35486111111111107</v>
      </c>
      <c r="T39" s="40">
        <v>0.42222222222222217</v>
      </c>
      <c r="U39" s="283">
        <f t="shared" si="30"/>
        <v>4.9999999999999822</v>
      </c>
      <c r="V39" s="289">
        <f t="shared" si="29"/>
        <v>96.999999999999972</v>
      </c>
      <c r="W39" s="23"/>
      <c r="X39" s="23"/>
      <c r="Y39" s="23"/>
      <c r="Z39" s="23"/>
      <c r="AA39" s="632"/>
      <c r="AB39" s="632"/>
      <c r="AC39" s="135"/>
      <c r="AD39" s="25"/>
      <c r="AE39" s="19">
        <f t="shared" si="8"/>
        <v>-108.24742268041155</v>
      </c>
      <c r="AF39" s="284">
        <f t="shared" si="9"/>
        <v>0.95489690721649523</v>
      </c>
      <c r="AG39" s="637"/>
    </row>
    <row r="40" spans="1:33">
      <c r="A40" s="652" t="s">
        <v>1371</v>
      </c>
      <c r="B40" s="42" t="s">
        <v>116</v>
      </c>
      <c r="C40" s="633" t="s">
        <v>126</v>
      </c>
      <c r="D40" s="633"/>
      <c r="E40" s="42">
        <v>34.1</v>
      </c>
      <c r="F40" s="290">
        <v>3400</v>
      </c>
      <c r="G40" s="283">
        <f t="shared" si="27"/>
        <v>115940</v>
      </c>
      <c r="H40" s="37">
        <v>2</v>
      </c>
      <c r="I40" s="288">
        <v>17</v>
      </c>
      <c r="J40" s="39">
        <v>1600</v>
      </c>
      <c r="K40" s="17">
        <f t="shared" si="1"/>
        <v>94.117647058823536</v>
      </c>
      <c r="L40" s="288">
        <v>17</v>
      </c>
      <c r="M40" s="18">
        <f t="shared" si="28"/>
        <v>1522.3880597014925</v>
      </c>
      <c r="N40" s="17">
        <f t="shared" si="3"/>
        <v>89.552238805970148</v>
      </c>
      <c r="O40" s="19">
        <f t="shared" si="4"/>
        <v>0</v>
      </c>
      <c r="P40" s="20">
        <f t="shared" si="5"/>
        <v>-4.5654082528533877</v>
      </c>
      <c r="Q40" s="284">
        <f t="shared" si="6"/>
        <v>0.95149253731343275</v>
      </c>
      <c r="R40" s="637"/>
      <c r="S40" s="40">
        <v>0.4277777777777777</v>
      </c>
      <c r="T40" s="40">
        <v>0.52083333333333326</v>
      </c>
      <c r="U40" s="283">
        <f t="shared" si="30"/>
        <v>7.9999999999999716</v>
      </c>
      <c r="V40" s="289">
        <f t="shared" si="29"/>
        <v>134</v>
      </c>
      <c r="W40" s="23">
        <f>T40</f>
        <v>0.52083333333333326</v>
      </c>
      <c r="X40" s="23">
        <f>S41</f>
        <v>0.55972222222222212</v>
      </c>
      <c r="Y40" s="23"/>
      <c r="Z40" s="23"/>
      <c r="AA40" s="632"/>
      <c r="AB40" s="632"/>
      <c r="AC40" s="135"/>
      <c r="AD40" s="25"/>
      <c r="AE40" s="19">
        <f t="shared" si="8"/>
        <v>-77.611940298507534</v>
      </c>
      <c r="AF40" s="284">
        <f t="shared" si="9"/>
        <v>0.95149253731343275</v>
      </c>
      <c r="AG40" s="637"/>
    </row>
    <row r="41" spans="1:33">
      <c r="A41" s="652" t="s">
        <v>66</v>
      </c>
      <c r="B41" s="42" t="s">
        <v>116</v>
      </c>
      <c r="C41" s="633" t="s">
        <v>119</v>
      </c>
      <c r="D41" s="633"/>
      <c r="E41" s="42">
        <v>26.18</v>
      </c>
      <c r="F41" s="290">
        <v>3427</v>
      </c>
      <c r="G41" s="283">
        <f t="shared" si="27"/>
        <v>89718.86</v>
      </c>
      <c r="H41" s="37" t="s">
        <v>91</v>
      </c>
      <c r="I41" s="288">
        <v>18</v>
      </c>
      <c r="J41" s="39">
        <v>2400</v>
      </c>
      <c r="K41" s="17">
        <f t="shared" si="1"/>
        <v>133.33333333333334</v>
      </c>
      <c r="L41" s="288">
        <v>18</v>
      </c>
      <c r="M41" s="18">
        <f t="shared" si="28"/>
        <v>2284.6666666666665</v>
      </c>
      <c r="N41" s="17">
        <f t="shared" si="3"/>
        <v>126.92592592592592</v>
      </c>
      <c r="O41" s="19">
        <f t="shared" si="4"/>
        <v>0</v>
      </c>
      <c r="P41" s="20">
        <f t="shared" si="5"/>
        <v>-6.407407407407419</v>
      </c>
      <c r="Q41" s="284">
        <f t="shared" si="6"/>
        <v>0.95194444444444437</v>
      </c>
      <c r="R41" s="637"/>
      <c r="S41" s="40">
        <v>0.55972222222222212</v>
      </c>
      <c r="T41" s="40">
        <v>0.62222222222222212</v>
      </c>
      <c r="U41" s="283">
        <f t="shared" si="30"/>
        <v>55.999999999999957</v>
      </c>
      <c r="V41" s="289">
        <f t="shared" si="29"/>
        <v>90</v>
      </c>
      <c r="W41" s="23"/>
      <c r="X41" s="23"/>
      <c r="Y41" s="23"/>
      <c r="Z41" s="23"/>
      <c r="AA41" s="632"/>
      <c r="AB41" s="632"/>
      <c r="AC41" s="135"/>
      <c r="AD41" s="25"/>
      <c r="AE41" s="19">
        <f t="shared" si="8"/>
        <v>-115.33333333333348</v>
      </c>
      <c r="AF41" s="284">
        <f t="shared" si="9"/>
        <v>0.95194444444444437</v>
      </c>
      <c r="AG41" s="637"/>
    </row>
    <row r="42" spans="1:33">
      <c r="A42" s="652" t="s">
        <v>1371</v>
      </c>
      <c r="B42" s="42" t="s">
        <v>116</v>
      </c>
      <c r="C42" s="633" t="s">
        <v>126</v>
      </c>
      <c r="D42" s="633"/>
      <c r="E42" s="42">
        <v>34.1</v>
      </c>
      <c r="F42" s="290">
        <v>2723</v>
      </c>
      <c r="G42" s="283">
        <f t="shared" si="27"/>
        <v>92854.3</v>
      </c>
      <c r="H42" s="37" t="s">
        <v>91</v>
      </c>
      <c r="I42" s="288">
        <v>17</v>
      </c>
      <c r="J42" s="39">
        <v>1600</v>
      </c>
      <c r="K42" s="17">
        <f t="shared" si="1"/>
        <v>94.117647058823536</v>
      </c>
      <c r="L42" s="288">
        <v>17</v>
      </c>
      <c r="M42" s="18">
        <f t="shared" si="28"/>
        <v>1526.9158878504682</v>
      </c>
      <c r="N42" s="17">
        <f t="shared" si="3"/>
        <v>89.818581638262827</v>
      </c>
      <c r="O42" s="19">
        <f t="shared" si="4"/>
        <v>0</v>
      </c>
      <c r="P42" s="20">
        <f t="shared" si="5"/>
        <v>-4.2990654205607086</v>
      </c>
      <c r="Q42" s="284">
        <f t="shared" si="6"/>
        <v>0.95432242990654248</v>
      </c>
      <c r="R42" s="637"/>
      <c r="S42" s="40">
        <v>0.62708333333333321</v>
      </c>
      <c r="T42" s="40">
        <v>0.70138888888888873</v>
      </c>
      <c r="U42" s="283">
        <f t="shared" si="30"/>
        <v>6.9999999999999751</v>
      </c>
      <c r="V42" s="289">
        <f t="shared" si="29"/>
        <v>106.99999999999994</v>
      </c>
      <c r="W42" s="23"/>
      <c r="X42" s="23"/>
      <c r="Y42" s="26"/>
      <c r="Z42" s="26"/>
      <c r="AA42" s="627"/>
      <c r="AB42" s="628"/>
      <c r="AC42" s="135"/>
      <c r="AD42" s="25"/>
      <c r="AE42" s="19">
        <f t="shared" si="8"/>
        <v>-73.084112149531848</v>
      </c>
      <c r="AF42" s="284">
        <f t="shared" si="9"/>
        <v>0.95432242990654259</v>
      </c>
      <c r="AG42" s="637"/>
    </row>
    <row r="43" spans="1:33">
      <c r="A43" s="652" t="s">
        <v>1371</v>
      </c>
      <c r="B43" s="44" t="s">
        <v>1362</v>
      </c>
      <c r="C43" s="638"/>
      <c r="D43" s="638"/>
      <c r="E43" s="285"/>
      <c r="F43" s="44"/>
      <c r="G43" s="17"/>
      <c r="H43" s="290"/>
      <c r="I43" s="29">
        <v>17.714285714285715</v>
      </c>
      <c r="J43" s="39">
        <v>2171.4285714285716</v>
      </c>
      <c r="K43" s="17">
        <f t="shared" si="1"/>
        <v>122.58064516129032</v>
      </c>
      <c r="L43" s="29">
        <v>17.714285714285715</v>
      </c>
      <c r="M43" s="18">
        <f>AVERAGE(M36:M42)</f>
        <v>2070.5557478933852</v>
      </c>
      <c r="N43" s="17">
        <f t="shared" si="3"/>
        <v>116.88621157462657</v>
      </c>
      <c r="O43" s="19">
        <f t="shared" si="4"/>
        <v>0</v>
      </c>
      <c r="P43" s="20">
        <f t="shared" si="5"/>
        <v>-5.6944335866637488</v>
      </c>
      <c r="Q43" s="284">
        <f t="shared" si="6"/>
        <v>0.95354541021405892</v>
      </c>
      <c r="R43" s="637"/>
      <c r="S43" s="40"/>
      <c r="T43" s="40"/>
      <c r="U43" s="17"/>
      <c r="V43" s="289"/>
      <c r="W43" s="17"/>
      <c r="X43" s="17"/>
      <c r="Y43" s="30">
        <f>SUM(Y36:Y42)</f>
        <v>0</v>
      </c>
      <c r="Z43" s="30">
        <f>SUM(Z36:Z42)</f>
        <v>0</v>
      </c>
      <c r="AA43" s="631"/>
      <c r="AB43" s="631"/>
      <c r="AC43" s="30">
        <v>7</v>
      </c>
      <c r="AD43" s="30">
        <f>SUM(AD36:AD42)</f>
        <v>0</v>
      </c>
      <c r="AE43" s="19">
        <f t="shared" si="8"/>
        <v>-100.8728235351864</v>
      </c>
      <c r="AF43" s="284">
        <f t="shared" si="9"/>
        <v>0.95354541021405892</v>
      </c>
      <c r="AG43" s="637"/>
    </row>
    <row r="44" spans="1:33" ht="15.75" customHeight="1">
      <c r="A44" s="648" t="s">
        <v>1372</v>
      </c>
      <c r="B44" s="42" t="s">
        <v>127</v>
      </c>
      <c r="C44" s="625" t="s">
        <v>128</v>
      </c>
      <c r="D44" s="626"/>
      <c r="E44" s="42">
        <v>21.13</v>
      </c>
      <c r="F44" s="290">
        <v>5365</v>
      </c>
      <c r="G44" s="283">
        <f t="shared" ref="G44:G47" si="31">E44*F44</f>
        <v>113362.45</v>
      </c>
      <c r="H44" s="37" t="s">
        <v>91</v>
      </c>
      <c r="I44" s="288">
        <v>10</v>
      </c>
      <c r="J44" s="39">
        <v>3000</v>
      </c>
      <c r="K44" s="17">
        <f t="shared" si="1"/>
        <v>300</v>
      </c>
      <c r="L44" s="288">
        <v>10</v>
      </c>
      <c r="M44" s="18">
        <f t="shared" ref="M44:M47" si="32">F44/V44*60</f>
        <v>2874.1071428571436</v>
      </c>
      <c r="N44" s="18">
        <f t="shared" si="3"/>
        <v>287.41071428571433</v>
      </c>
      <c r="O44" s="19">
        <f t="shared" si="4"/>
        <v>0</v>
      </c>
      <c r="P44" s="20">
        <f t="shared" si="5"/>
        <v>-12.589285714285666</v>
      </c>
      <c r="Q44" s="284">
        <f t="shared" si="6"/>
        <v>0.95803571428571443</v>
      </c>
      <c r="R44" s="643">
        <f>Q48</f>
        <v>0.96665921258028487</v>
      </c>
      <c r="S44" s="40">
        <v>0.20833333333333334</v>
      </c>
      <c r="T44" s="40">
        <v>0.28611111111111109</v>
      </c>
      <c r="U44" s="28"/>
      <c r="V44" s="289">
        <f t="shared" ref="V44:V47" si="33">(T44-S44)*24*60</f>
        <v>111.99999999999996</v>
      </c>
      <c r="W44" s="23"/>
      <c r="X44" s="23"/>
      <c r="Y44" s="26"/>
      <c r="Z44" s="26"/>
      <c r="AA44" s="627"/>
      <c r="AB44" s="628"/>
      <c r="AC44" s="135">
        <v>4</v>
      </c>
      <c r="AD44" s="25"/>
      <c r="AE44" s="19">
        <f t="shared" si="8"/>
        <v>-125.89285714285643</v>
      </c>
      <c r="AF44" s="284">
        <f t="shared" si="9"/>
        <v>0.95803571428571455</v>
      </c>
      <c r="AG44" s="643">
        <f>AF48</f>
        <v>0.96665921258028498</v>
      </c>
    </row>
    <row r="45" spans="1:33" ht="15.75" customHeight="1">
      <c r="A45" s="649" t="s">
        <v>70</v>
      </c>
      <c r="B45" s="42" t="s">
        <v>127</v>
      </c>
      <c r="C45" s="625" t="s">
        <v>129</v>
      </c>
      <c r="D45" s="626"/>
      <c r="E45" s="42">
        <v>27.17</v>
      </c>
      <c r="F45" s="290">
        <v>4505</v>
      </c>
      <c r="G45" s="283">
        <f t="shared" si="31"/>
        <v>122400.85</v>
      </c>
      <c r="H45" s="37" t="s">
        <v>91</v>
      </c>
      <c r="I45" s="288">
        <v>10</v>
      </c>
      <c r="J45" s="39">
        <v>3000</v>
      </c>
      <c r="K45" s="17">
        <f t="shared" si="1"/>
        <v>300</v>
      </c>
      <c r="L45" s="288">
        <v>10</v>
      </c>
      <c r="M45" s="18">
        <f t="shared" si="32"/>
        <v>2875.5319148936173</v>
      </c>
      <c r="N45" s="18">
        <f t="shared" si="3"/>
        <v>287.55319148936172</v>
      </c>
      <c r="O45" s="19">
        <f t="shared" si="4"/>
        <v>0</v>
      </c>
      <c r="P45" s="20">
        <f t="shared" si="5"/>
        <v>-12.446808510638277</v>
      </c>
      <c r="Q45" s="284">
        <f t="shared" si="6"/>
        <v>0.95851063829787242</v>
      </c>
      <c r="R45" s="644"/>
      <c r="S45" s="40">
        <v>0.29097222222222219</v>
      </c>
      <c r="T45" s="40">
        <v>0.35624999999999996</v>
      </c>
      <c r="U45" s="283">
        <f t="shared" ref="U45:U47" si="34">(S45-T44)*24*60</f>
        <v>6.9999999999999751</v>
      </c>
      <c r="V45" s="289">
        <f t="shared" si="33"/>
        <v>93.999999999999986</v>
      </c>
      <c r="W45" s="23"/>
      <c r="X45" s="23"/>
      <c r="Y45" s="26"/>
      <c r="Z45" s="26"/>
      <c r="AA45" s="627"/>
      <c r="AB45" s="628"/>
      <c r="AC45" s="135"/>
      <c r="AD45" s="25"/>
      <c r="AE45" s="19">
        <f t="shared" si="8"/>
        <v>-124.46808510638266</v>
      </c>
      <c r="AF45" s="284">
        <f t="shared" si="9"/>
        <v>0.95851063829787242</v>
      </c>
      <c r="AG45" s="644"/>
    </row>
    <row r="46" spans="1:33" ht="15.75" customHeight="1">
      <c r="A46" s="649" t="s">
        <v>1372</v>
      </c>
      <c r="B46" s="42" t="s">
        <v>127</v>
      </c>
      <c r="C46" s="625" t="s">
        <v>130</v>
      </c>
      <c r="D46" s="626"/>
      <c r="E46" s="42">
        <v>35.869999999999997</v>
      </c>
      <c r="F46" s="290">
        <v>1623</v>
      </c>
      <c r="G46" s="283">
        <f t="shared" si="31"/>
        <v>58217.009999999995</v>
      </c>
      <c r="H46" s="37" t="s">
        <v>91</v>
      </c>
      <c r="I46" s="288">
        <v>9</v>
      </c>
      <c r="J46" s="39">
        <v>3000</v>
      </c>
      <c r="K46" s="17">
        <f t="shared" si="1"/>
        <v>333.33333333333331</v>
      </c>
      <c r="L46" s="288">
        <v>9</v>
      </c>
      <c r="M46" s="18">
        <f t="shared" si="32"/>
        <v>2864.1176470588202</v>
      </c>
      <c r="N46" s="18">
        <f t="shared" si="3"/>
        <v>318.23529411764667</v>
      </c>
      <c r="O46" s="19">
        <f t="shared" si="4"/>
        <v>0</v>
      </c>
      <c r="P46" s="20">
        <f t="shared" si="5"/>
        <v>-15.09803921568664</v>
      </c>
      <c r="Q46" s="284">
        <f t="shared" si="6"/>
        <v>0.95470588235294007</v>
      </c>
      <c r="R46" s="644"/>
      <c r="S46" s="40">
        <v>0.35972222222222217</v>
      </c>
      <c r="T46" s="40">
        <v>0.3833333333333333</v>
      </c>
      <c r="U46" s="283">
        <f t="shared" si="34"/>
        <v>4.9999999999999822</v>
      </c>
      <c r="V46" s="289">
        <f t="shared" si="33"/>
        <v>34.000000000000043</v>
      </c>
      <c r="W46" s="23"/>
      <c r="X46" s="23"/>
      <c r="Y46" s="26"/>
      <c r="Z46" s="26"/>
      <c r="AA46" s="627"/>
      <c r="AB46" s="628"/>
      <c r="AC46" s="135"/>
      <c r="AD46" s="25"/>
      <c r="AE46" s="19">
        <f t="shared" si="8"/>
        <v>-135.88235294117976</v>
      </c>
      <c r="AF46" s="284">
        <f t="shared" si="9"/>
        <v>0.95470588235294007</v>
      </c>
      <c r="AG46" s="644"/>
    </row>
    <row r="47" spans="1:33" ht="15.75" customHeight="1">
      <c r="A47" s="649" t="s">
        <v>1372</v>
      </c>
      <c r="B47" s="42" t="s">
        <v>127</v>
      </c>
      <c r="C47" s="625" t="s">
        <v>131</v>
      </c>
      <c r="D47" s="626"/>
      <c r="E47" s="42">
        <v>34.35</v>
      </c>
      <c r="F47" s="290">
        <v>647</v>
      </c>
      <c r="G47" s="283">
        <f t="shared" si="31"/>
        <v>22224.45</v>
      </c>
      <c r="H47" s="37" t="s">
        <v>91</v>
      </c>
      <c r="I47" s="288">
        <v>8</v>
      </c>
      <c r="J47" s="39">
        <v>3000</v>
      </c>
      <c r="K47" s="17">
        <f t="shared" si="1"/>
        <v>375</v>
      </c>
      <c r="L47" s="288">
        <v>8</v>
      </c>
      <c r="M47" s="18">
        <f t="shared" si="32"/>
        <v>2986.1538461538385</v>
      </c>
      <c r="N47" s="18">
        <f t="shared" si="3"/>
        <v>373.26923076922981</v>
      </c>
      <c r="O47" s="19">
        <f t="shared" si="4"/>
        <v>0</v>
      </c>
      <c r="P47" s="20">
        <f t="shared" si="5"/>
        <v>-1.7307692307701927</v>
      </c>
      <c r="Q47" s="284">
        <f t="shared" si="6"/>
        <v>0.99538461538461287</v>
      </c>
      <c r="R47" s="644"/>
      <c r="S47" s="40">
        <v>0.38749999999999996</v>
      </c>
      <c r="T47" s="40">
        <v>0.39652777777777776</v>
      </c>
      <c r="U47" s="283">
        <f t="shared" si="34"/>
        <v>5.9999999999999787</v>
      </c>
      <c r="V47" s="289">
        <f t="shared" si="33"/>
        <v>13.000000000000034</v>
      </c>
      <c r="W47" s="23"/>
      <c r="X47" s="23"/>
      <c r="Y47" s="26"/>
      <c r="Z47" s="26"/>
      <c r="AA47" s="627"/>
      <c r="AB47" s="628"/>
      <c r="AC47" s="135"/>
      <c r="AD47" s="25"/>
      <c r="AE47" s="19">
        <f t="shared" si="8"/>
        <v>-13.846153846161542</v>
      </c>
      <c r="AF47" s="284">
        <f t="shared" si="9"/>
        <v>0.99538461538461287</v>
      </c>
      <c r="AG47" s="644"/>
    </row>
    <row r="48" spans="1:33" ht="15.75" customHeight="1">
      <c r="A48" s="650" t="s">
        <v>70</v>
      </c>
      <c r="B48" s="42" t="s">
        <v>1362</v>
      </c>
      <c r="C48" s="629"/>
      <c r="D48" s="630"/>
      <c r="E48" s="281"/>
      <c r="F48" s="290"/>
      <c r="G48" s="283"/>
      <c r="H48" s="290"/>
      <c r="I48" s="29">
        <v>9.25</v>
      </c>
      <c r="J48" s="39">
        <v>3000</v>
      </c>
      <c r="K48" s="17">
        <f t="shared" si="1"/>
        <v>324.32432432432432</v>
      </c>
      <c r="L48" s="29">
        <v>9.25</v>
      </c>
      <c r="M48" s="18">
        <f>AVERAGE(M44:M47)</f>
        <v>2899.9776377408548</v>
      </c>
      <c r="N48" s="17">
        <f t="shared" si="3"/>
        <v>313.51109597198428</v>
      </c>
      <c r="O48" s="19">
        <f t="shared" si="4"/>
        <v>0</v>
      </c>
      <c r="P48" s="20">
        <f t="shared" si="5"/>
        <v>-10.813228352340047</v>
      </c>
      <c r="Q48" s="284">
        <f t="shared" si="6"/>
        <v>0.96665921258028487</v>
      </c>
      <c r="R48" s="645"/>
      <c r="S48" s="40"/>
      <c r="T48" s="40"/>
      <c r="U48" s="283"/>
      <c r="V48" s="289"/>
      <c r="W48" s="23"/>
      <c r="X48" s="23"/>
      <c r="Y48" s="30">
        <f>SUM(Y44:Y47)</f>
        <v>0</v>
      </c>
      <c r="Z48" s="30">
        <f>SUM(Z44:Z47)</f>
        <v>0</v>
      </c>
      <c r="AA48" s="646"/>
      <c r="AB48" s="647"/>
      <c r="AC48" s="30">
        <v>4</v>
      </c>
      <c r="AD48" s="30">
        <f>SUM(AD44:AD47)</f>
        <v>0</v>
      </c>
      <c r="AE48" s="19">
        <f t="shared" si="8"/>
        <v>-100.02236225914521</v>
      </c>
      <c r="AF48" s="284">
        <f t="shared" si="9"/>
        <v>0.96665921258028498</v>
      </c>
      <c r="AG48" s="645"/>
    </row>
    <row r="49" spans="1:33" ht="15.75" customHeight="1">
      <c r="A49" s="641" t="s">
        <v>1373</v>
      </c>
      <c r="B49" s="42" t="s">
        <v>92</v>
      </c>
      <c r="C49" s="633" t="s">
        <v>133</v>
      </c>
      <c r="D49" s="633"/>
      <c r="E49" s="42">
        <v>59.04</v>
      </c>
      <c r="F49" s="48">
        <v>1491</v>
      </c>
      <c r="G49" s="283">
        <f t="shared" ref="G49:G55" si="35">E49*F49</f>
        <v>88028.64</v>
      </c>
      <c r="H49" s="37" t="s">
        <v>91</v>
      </c>
      <c r="I49" s="288">
        <v>19</v>
      </c>
      <c r="J49" s="39">
        <v>2000</v>
      </c>
      <c r="K49" s="17">
        <f t="shared" si="1"/>
        <v>105.26315789473684</v>
      </c>
      <c r="L49" s="288">
        <v>19</v>
      </c>
      <c r="M49" s="18">
        <f t="shared" ref="M49" si="36">F49/V49*60</f>
        <v>1944.782608695652</v>
      </c>
      <c r="N49" s="18">
        <f t="shared" si="3"/>
        <v>102.35697940503432</v>
      </c>
      <c r="O49" s="19">
        <f t="shared" si="4"/>
        <v>0</v>
      </c>
      <c r="P49" s="20">
        <f t="shared" si="5"/>
        <v>-2.906178489702512</v>
      </c>
      <c r="Q49" s="284">
        <f t="shared" si="6"/>
        <v>0.97239130434782617</v>
      </c>
      <c r="R49" s="637">
        <f>Q56</f>
        <v>0.9597729163404336</v>
      </c>
      <c r="S49" s="40">
        <v>0.20833333333333334</v>
      </c>
      <c r="T49" s="40">
        <v>0.24027777777777778</v>
      </c>
      <c r="U49" s="28"/>
      <c r="V49" s="289">
        <f t="shared" ref="V49:V55" si="37">(T49-S49)*24*60</f>
        <v>46</v>
      </c>
      <c r="W49" s="23"/>
      <c r="X49" s="23"/>
      <c r="Y49" s="28"/>
      <c r="Z49" s="28"/>
      <c r="AA49" s="632"/>
      <c r="AB49" s="632"/>
      <c r="AC49" s="135">
        <v>7</v>
      </c>
      <c r="AD49" s="25"/>
      <c r="AE49" s="19">
        <f t="shared" si="8"/>
        <v>-55.217391304347984</v>
      </c>
      <c r="AF49" s="284">
        <f t="shared" si="9"/>
        <v>0.97239130434782606</v>
      </c>
      <c r="AG49" s="637">
        <f>AF56</f>
        <v>0.95977291634043349</v>
      </c>
    </row>
    <row r="50" spans="1:33" ht="15.75" customHeight="1">
      <c r="A50" s="641" t="s">
        <v>1373</v>
      </c>
      <c r="B50" s="42" t="s">
        <v>103</v>
      </c>
      <c r="C50" s="633" t="s">
        <v>132</v>
      </c>
      <c r="D50" s="633"/>
      <c r="E50" s="42">
        <v>51.44</v>
      </c>
      <c r="F50" s="48">
        <v>3689</v>
      </c>
      <c r="G50" s="283">
        <f t="shared" si="35"/>
        <v>189762.16</v>
      </c>
      <c r="H50" s="37" t="s">
        <v>91</v>
      </c>
      <c r="I50" s="288">
        <v>18</v>
      </c>
      <c r="J50" s="39">
        <v>2000</v>
      </c>
      <c r="K50" s="17">
        <f t="shared" si="1"/>
        <v>111.11111111111111</v>
      </c>
      <c r="L50" s="288">
        <v>18</v>
      </c>
      <c r="M50" s="18">
        <f>F50/V50*60</f>
        <v>1908.1034482758623</v>
      </c>
      <c r="N50" s="18">
        <f t="shared" si="3"/>
        <v>106.0057471264368</v>
      </c>
      <c r="O50" s="19">
        <f t="shared" si="4"/>
        <v>0</v>
      </c>
      <c r="P50" s="20">
        <f t="shared" si="5"/>
        <v>-5.1053639846743124</v>
      </c>
      <c r="Q50" s="284">
        <f t="shared" si="6"/>
        <v>0.95405172413793116</v>
      </c>
      <c r="R50" s="637"/>
      <c r="S50" s="40">
        <v>0.24583333333333335</v>
      </c>
      <c r="T50" s="40">
        <v>0.3263888888888889</v>
      </c>
      <c r="U50" s="283">
        <f t="shared" ref="U50:U55" si="38">IF(S50=TIME(17,0,0),"",(S50-T49)*24*60)</f>
        <v>8.0000000000000107</v>
      </c>
      <c r="V50" s="289">
        <f t="shared" si="37"/>
        <v>115.99999999999999</v>
      </c>
      <c r="W50" s="23"/>
      <c r="X50" s="23"/>
      <c r="Y50" s="23"/>
      <c r="Z50" s="23"/>
      <c r="AA50" s="632"/>
      <c r="AB50" s="632"/>
      <c r="AC50" s="135"/>
      <c r="AD50" s="25"/>
      <c r="AE50" s="19">
        <f t="shared" si="8"/>
        <v>-91.89655172413768</v>
      </c>
      <c r="AF50" s="284">
        <f t="shared" si="9"/>
        <v>0.95405172413793116</v>
      </c>
      <c r="AG50" s="637"/>
    </row>
    <row r="51" spans="1:33" ht="15.75" customHeight="1">
      <c r="A51" s="641" t="s">
        <v>1373</v>
      </c>
      <c r="B51" s="42" t="s">
        <v>92</v>
      </c>
      <c r="C51" s="625" t="s">
        <v>135</v>
      </c>
      <c r="D51" s="626"/>
      <c r="E51" s="42">
        <v>51.44</v>
      </c>
      <c r="F51" s="48">
        <v>1627</v>
      </c>
      <c r="G51" s="283">
        <f t="shared" si="35"/>
        <v>83692.87999999999</v>
      </c>
      <c r="H51" s="37" t="s">
        <v>91</v>
      </c>
      <c r="I51" s="288">
        <v>25</v>
      </c>
      <c r="J51" s="39">
        <v>2000</v>
      </c>
      <c r="K51" s="17">
        <f t="shared" si="1"/>
        <v>80</v>
      </c>
      <c r="L51" s="288">
        <v>25</v>
      </c>
      <c r="M51" s="18">
        <f t="shared" ref="M51:M55" si="39">F51/V51*60</f>
        <v>1914.1176470588243</v>
      </c>
      <c r="N51" s="18">
        <f t="shared" si="3"/>
        <v>76.564705882352968</v>
      </c>
      <c r="O51" s="19">
        <f t="shared" si="4"/>
        <v>0</v>
      </c>
      <c r="P51" s="20">
        <f t="shared" si="5"/>
        <v>-3.4352941176470324</v>
      </c>
      <c r="Q51" s="284">
        <f t="shared" si="6"/>
        <v>0.95705882352941207</v>
      </c>
      <c r="R51" s="637"/>
      <c r="S51" s="40">
        <v>0.33055555555555555</v>
      </c>
      <c r="T51" s="40">
        <v>0.3659722222222222</v>
      </c>
      <c r="U51" s="283">
        <f t="shared" si="38"/>
        <v>5.9999999999999787</v>
      </c>
      <c r="V51" s="289">
        <f t="shared" si="37"/>
        <v>50.999999999999979</v>
      </c>
      <c r="W51" s="23"/>
      <c r="X51" s="23"/>
      <c r="Y51" s="26"/>
      <c r="Z51" s="26"/>
      <c r="AA51" s="632"/>
      <c r="AB51" s="632"/>
      <c r="AC51" s="135"/>
      <c r="AD51" s="25"/>
      <c r="AE51" s="19">
        <f t="shared" si="8"/>
        <v>-85.882352941175668</v>
      </c>
      <c r="AF51" s="284">
        <f t="shared" si="9"/>
        <v>0.95705882352941218</v>
      </c>
      <c r="AG51" s="637"/>
    </row>
    <row r="52" spans="1:33" ht="15.75" customHeight="1">
      <c r="A52" s="641" t="s">
        <v>1373</v>
      </c>
      <c r="B52" s="42" t="s">
        <v>96</v>
      </c>
      <c r="C52" s="277" t="s">
        <v>136</v>
      </c>
      <c r="D52" s="278"/>
      <c r="E52" s="42">
        <v>46</v>
      </c>
      <c r="F52" s="48">
        <v>1386</v>
      </c>
      <c r="G52" s="283">
        <f t="shared" si="35"/>
        <v>63756</v>
      </c>
      <c r="H52" s="37" t="s">
        <v>91</v>
      </c>
      <c r="I52" s="288">
        <v>16</v>
      </c>
      <c r="J52" s="39">
        <v>2000</v>
      </c>
      <c r="K52" s="17">
        <f t="shared" si="1"/>
        <v>125</v>
      </c>
      <c r="L52" s="288">
        <v>16</v>
      </c>
      <c r="M52" s="18">
        <f t="shared" si="39"/>
        <v>1933.9534883720928</v>
      </c>
      <c r="N52" s="18">
        <f t="shared" si="3"/>
        <v>120.8720930232558</v>
      </c>
      <c r="O52" s="19">
        <f t="shared" si="4"/>
        <v>0</v>
      </c>
      <c r="P52" s="20">
        <f t="shared" si="5"/>
        <v>-4.1279069767441996</v>
      </c>
      <c r="Q52" s="284">
        <f t="shared" si="6"/>
        <v>0.9669767441860464</v>
      </c>
      <c r="R52" s="637"/>
      <c r="S52" s="40">
        <v>0.37152777777777773</v>
      </c>
      <c r="T52" s="40">
        <v>0.40138888888888885</v>
      </c>
      <c r="U52" s="283">
        <f t="shared" si="38"/>
        <v>7.9999999999999716</v>
      </c>
      <c r="V52" s="289">
        <f t="shared" si="37"/>
        <v>43.000000000000007</v>
      </c>
      <c r="W52" s="23"/>
      <c r="X52" s="23"/>
      <c r="Y52" s="26"/>
      <c r="Z52" s="26"/>
      <c r="AA52" s="632"/>
      <c r="AB52" s="632"/>
      <c r="AC52" s="135"/>
      <c r="AD52" s="25"/>
      <c r="AE52" s="19">
        <f t="shared" si="8"/>
        <v>-66.046511627907194</v>
      </c>
      <c r="AF52" s="284">
        <f t="shared" si="9"/>
        <v>0.9669767441860464</v>
      </c>
      <c r="AG52" s="637"/>
    </row>
    <row r="53" spans="1:33" ht="15.75" customHeight="1">
      <c r="A53" s="641" t="s">
        <v>75</v>
      </c>
      <c r="B53" s="42" t="s">
        <v>96</v>
      </c>
      <c r="C53" s="277" t="s">
        <v>137</v>
      </c>
      <c r="D53" s="278"/>
      <c r="E53" s="42">
        <v>46</v>
      </c>
      <c r="F53" s="48">
        <v>1751</v>
      </c>
      <c r="G53" s="283">
        <f t="shared" si="35"/>
        <v>80546</v>
      </c>
      <c r="H53" s="37" t="s">
        <v>91</v>
      </c>
      <c r="I53" s="288">
        <v>17</v>
      </c>
      <c r="J53" s="39">
        <v>2000</v>
      </c>
      <c r="K53" s="17">
        <f t="shared" si="1"/>
        <v>117.64705882352941</v>
      </c>
      <c r="L53" s="288">
        <v>17</v>
      </c>
      <c r="M53" s="18">
        <f t="shared" si="39"/>
        <v>1910.1818181818194</v>
      </c>
      <c r="N53" s="18">
        <f t="shared" si="3"/>
        <v>112.36363636363643</v>
      </c>
      <c r="O53" s="19">
        <f t="shared" si="4"/>
        <v>0</v>
      </c>
      <c r="P53" s="20">
        <f t="shared" si="5"/>
        <v>-5.2834224598929751</v>
      </c>
      <c r="Q53" s="284">
        <f t="shared" si="6"/>
        <v>0.95509090909090966</v>
      </c>
      <c r="R53" s="637"/>
      <c r="S53" s="40">
        <v>0.4055555555555555</v>
      </c>
      <c r="T53" s="40">
        <v>0.44374999999999992</v>
      </c>
      <c r="U53" s="283">
        <f t="shared" si="38"/>
        <v>5.9999999999999787</v>
      </c>
      <c r="V53" s="289">
        <f t="shared" si="37"/>
        <v>54.999999999999964</v>
      </c>
      <c r="W53" s="23"/>
      <c r="X53" s="23"/>
      <c r="Y53" s="26"/>
      <c r="Z53" s="26"/>
      <c r="AA53" s="632"/>
      <c r="AB53" s="632"/>
      <c r="AC53" s="135"/>
      <c r="AD53" s="25"/>
      <c r="AE53" s="19">
        <f t="shared" si="8"/>
        <v>-89.818181818180619</v>
      </c>
      <c r="AF53" s="284">
        <f t="shared" si="9"/>
        <v>0.95509090909090966</v>
      </c>
      <c r="AG53" s="637"/>
    </row>
    <row r="54" spans="1:33" ht="15.75" customHeight="1">
      <c r="A54" s="641" t="s">
        <v>1373</v>
      </c>
      <c r="B54" s="42" t="s">
        <v>92</v>
      </c>
      <c r="C54" s="625" t="s">
        <v>138</v>
      </c>
      <c r="D54" s="626"/>
      <c r="E54" s="42">
        <v>55.56</v>
      </c>
      <c r="F54" s="48">
        <v>2110</v>
      </c>
      <c r="G54" s="283">
        <f t="shared" si="35"/>
        <v>117231.6</v>
      </c>
      <c r="H54" s="37" t="s">
        <v>91</v>
      </c>
      <c r="I54" s="288">
        <v>17</v>
      </c>
      <c r="J54" s="39">
        <v>2000</v>
      </c>
      <c r="K54" s="17">
        <f t="shared" si="1"/>
        <v>117.64705882352941</v>
      </c>
      <c r="L54" s="288">
        <v>17</v>
      </c>
      <c r="M54" s="18">
        <f t="shared" si="39"/>
        <v>1918.1818181818203</v>
      </c>
      <c r="N54" s="18">
        <f t="shared" si="3"/>
        <v>112.8342245989306</v>
      </c>
      <c r="O54" s="19">
        <f t="shared" si="4"/>
        <v>0</v>
      </c>
      <c r="P54" s="20">
        <f t="shared" si="5"/>
        <v>-4.8128342245988023</v>
      </c>
      <c r="Q54" s="284">
        <f t="shared" si="6"/>
        <v>0.95909090909091022</v>
      </c>
      <c r="R54" s="637"/>
      <c r="S54" s="40">
        <v>0.70833333333333337</v>
      </c>
      <c r="T54" s="40">
        <v>0.75416666666666665</v>
      </c>
      <c r="U54" s="283" t="str">
        <f t="shared" si="38"/>
        <v/>
      </c>
      <c r="V54" s="289">
        <f t="shared" si="37"/>
        <v>65.999999999999929</v>
      </c>
      <c r="W54" s="23"/>
      <c r="X54" s="23"/>
      <c r="Y54" s="26"/>
      <c r="Z54" s="26"/>
      <c r="AA54" s="627"/>
      <c r="AB54" s="628"/>
      <c r="AC54" s="135"/>
      <c r="AD54" s="25"/>
      <c r="AE54" s="19">
        <f t="shared" si="8"/>
        <v>-81.81818181817971</v>
      </c>
      <c r="AF54" s="284">
        <f t="shared" si="9"/>
        <v>0.9590909090909101</v>
      </c>
      <c r="AG54" s="637"/>
    </row>
    <row r="55" spans="1:33" ht="15.75" customHeight="1">
      <c r="A55" s="641" t="s">
        <v>1373</v>
      </c>
      <c r="B55" s="42" t="s">
        <v>92</v>
      </c>
      <c r="C55" s="625" t="s">
        <v>420</v>
      </c>
      <c r="D55" s="626"/>
      <c r="E55" s="42">
        <v>58.17</v>
      </c>
      <c r="F55" s="48">
        <v>2289</v>
      </c>
      <c r="G55" s="283">
        <f t="shared" si="35"/>
        <v>133151.13</v>
      </c>
      <c r="H55" s="37" t="s">
        <v>91</v>
      </c>
      <c r="I55" s="288">
        <v>13</v>
      </c>
      <c r="J55" s="39">
        <v>2000</v>
      </c>
      <c r="K55" s="17">
        <f t="shared" si="1"/>
        <v>153.84615384615384</v>
      </c>
      <c r="L55" s="288">
        <v>13</v>
      </c>
      <c r="M55" s="18">
        <f t="shared" si="39"/>
        <v>1907.4999999999986</v>
      </c>
      <c r="N55" s="18">
        <f t="shared" si="3"/>
        <v>146.73076923076911</v>
      </c>
      <c r="O55" s="19">
        <f t="shared" si="4"/>
        <v>0</v>
      </c>
      <c r="P55" s="20">
        <f t="shared" si="5"/>
        <v>-7.1153846153847269</v>
      </c>
      <c r="Q55" s="284">
        <f t="shared" si="6"/>
        <v>0.95374999999999932</v>
      </c>
      <c r="R55" s="637"/>
      <c r="S55" s="40">
        <v>0.75763888888888886</v>
      </c>
      <c r="T55" s="40">
        <v>0.80763888888888891</v>
      </c>
      <c r="U55" s="283">
        <f t="shared" si="38"/>
        <v>4.9999999999999822</v>
      </c>
      <c r="V55" s="289">
        <f t="shared" si="37"/>
        <v>72.000000000000057</v>
      </c>
      <c r="W55" s="23"/>
      <c r="X55" s="23"/>
      <c r="Y55" s="26"/>
      <c r="Z55" s="26"/>
      <c r="AA55" s="627"/>
      <c r="AB55" s="628"/>
      <c r="AC55" s="135"/>
      <c r="AD55" s="25"/>
      <c r="AE55" s="19">
        <f t="shared" si="8"/>
        <v>-92.500000000001364</v>
      </c>
      <c r="AF55" s="284">
        <f t="shared" si="9"/>
        <v>0.95374999999999932</v>
      </c>
      <c r="AG55" s="637"/>
    </row>
    <row r="56" spans="1:33">
      <c r="A56" s="642" t="s">
        <v>1373</v>
      </c>
      <c r="B56" s="42" t="s">
        <v>1362</v>
      </c>
      <c r="C56" s="638"/>
      <c r="D56" s="638"/>
      <c r="E56" s="285"/>
      <c r="F56" s="44"/>
      <c r="G56" s="17"/>
      <c r="H56" s="290"/>
      <c r="I56" s="29">
        <v>17.857142857142858</v>
      </c>
      <c r="J56" s="39">
        <v>2000</v>
      </c>
      <c r="K56" s="17">
        <f t="shared" si="1"/>
        <v>112</v>
      </c>
      <c r="L56" s="29">
        <v>17.857142857142858</v>
      </c>
      <c r="M56" s="18">
        <f>AVERAGE(M49:M55)</f>
        <v>1919.5458326808671</v>
      </c>
      <c r="N56" s="17">
        <f t="shared" si="3"/>
        <v>107.49456663012856</v>
      </c>
      <c r="O56" s="19">
        <f t="shared" si="4"/>
        <v>0</v>
      </c>
      <c r="P56" s="20">
        <f t="shared" si="5"/>
        <v>-4.5054333698714402</v>
      </c>
      <c r="Q56" s="284">
        <f t="shared" si="6"/>
        <v>0.9597729163404336</v>
      </c>
      <c r="R56" s="637"/>
      <c r="S56" s="40"/>
      <c r="T56" s="40"/>
      <c r="U56" s="283"/>
      <c r="V56" s="289"/>
      <c r="W56" s="17"/>
      <c r="X56" s="17"/>
      <c r="Y56" s="30">
        <f>SUM(Y49:Y55)</f>
        <v>0</v>
      </c>
      <c r="Z56" s="30">
        <f>SUM(Z49:Z55)</f>
        <v>0</v>
      </c>
      <c r="AA56" s="631"/>
      <c r="AB56" s="631"/>
      <c r="AC56" s="30">
        <v>7</v>
      </c>
      <c r="AD56" s="30">
        <f>SUM(AD49:AD55)</f>
        <v>0</v>
      </c>
      <c r="AE56" s="19">
        <f>M56-J56</f>
        <v>-80.454167319132921</v>
      </c>
      <c r="AF56" s="284">
        <f t="shared" si="9"/>
        <v>0.95977291634043349</v>
      </c>
      <c r="AG56" s="637"/>
    </row>
    <row r="57" spans="1:33" ht="15.75" customHeight="1">
      <c r="A57" s="639" t="s">
        <v>83</v>
      </c>
      <c r="B57" s="290" t="s">
        <v>127</v>
      </c>
      <c r="C57" s="633" t="s">
        <v>141</v>
      </c>
      <c r="D57" s="633"/>
      <c r="E57" s="42">
        <v>35.119999999999997</v>
      </c>
      <c r="F57" s="48">
        <v>3869</v>
      </c>
      <c r="G57" s="283">
        <f t="shared" ref="G57:G60" si="40">E57*F57</f>
        <v>135879.28</v>
      </c>
      <c r="H57" s="37" t="s">
        <v>91</v>
      </c>
      <c r="I57" s="288">
        <v>10</v>
      </c>
      <c r="J57" s="39">
        <v>3000</v>
      </c>
      <c r="K57" s="17">
        <f t="shared" si="1"/>
        <v>300</v>
      </c>
      <c r="L57" s="288">
        <v>10</v>
      </c>
      <c r="M57" s="18">
        <f t="shared" ref="M57:M60" si="41">F57/V57*60</f>
        <v>2865.9259259259261</v>
      </c>
      <c r="N57" s="17">
        <f t="shared" si="3"/>
        <v>286.59259259259261</v>
      </c>
      <c r="O57" s="19">
        <f t="shared" si="4"/>
        <v>0</v>
      </c>
      <c r="P57" s="20">
        <f t="shared" si="5"/>
        <v>-13.407407407407391</v>
      </c>
      <c r="Q57" s="284">
        <f t="shared" si="6"/>
        <v>0.95530864197530874</v>
      </c>
      <c r="R57" s="637">
        <f>Q61</f>
        <v>0.95832286185129345</v>
      </c>
      <c r="S57" s="40">
        <v>0.20833333333333334</v>
      </c>
      <c r="T57" s="40">
        <v>0.26458333333333334</v>
      </c>
      <c r="U57" s="283"/>
      <c r="V57" s="289">
        <f t="shared" ref="V57:V60" si="42">(T57-S57)*24*60</f>
        <v>80.999999999999986</v>
      </c>
      <c r="W57" s="23"/>
      <c r="X57" s="23"/>
      <c r="Y57" s="28"/>
      <c r="Z57" s="28"/>
      <c r="AA57" s="632"/>
      <c r="AB57" s="632"/>
      <c r="AC57" s="135">
        <v>4</v>
      </c>
      <c r="AD57" s="25"/>
      <c r="AE57" s="19">
        <f t="shared" ref="AE57:AE69" si="43">M57-J57</f>
        <v>-134.07407407407391</v>
      </c>
      <c r="AF57" s="284">
        <f t="shared" si="9"/>
        <v>0.95530864197530874</v>
      </c>
      <c r="AG57" s="637">
        <f>AF61</f>
        <v>0.95832286185129356</v>
      </c>
    </row>
    <row r="58" spans="1:33" ht="15.75" customHeight="1">
      <c r="A58" s="639" t="s">
        <v>83</v>
      </c>
      <c r="B58" s="290" t="s">
        <v>127</v>
      </c>
      <c r="C58" s="633" t="s">
        <v>142</v>
      </c>
      <c r="D58" s="633"/>
      <c r="E58" s="42">
        <v>26.78</v>
      </c>
      <c r="F58" s="48">
        <v>2413</v>
      </c>
      <c r="G58" s="283">
        <f t="shared" si="40"/>
        <v>64620.14</v>
      </c>
      <c r="H58" s="37" t="s">
        <v>91</v>
      </c>
      <c r="I58" s="288">
        <v>10</v>
      </c>
      <c r="J58" s="39">
        <v>3000</v>
      </c>
      <c r="K58" s="17">
        <f t="shared" si="1"/>
        <v>300</v>
      </c>
      <c r="L58" s="288">
        <v>10</v>
      </c>
      <c r="M58" s="18">
        <f t="shared" si="41"/>
        <v>2895.6000000000008</v>
      </c>
      <c r="N58" s="17">
        <f t="shared" si="3"/>
        <v>289.56000000000006</v>
      </c>
      <c r="O58" s="19">
        <f t="shared" si="4"/>
        <v>0</v>
      </c>
      <c r="P58" s="20">
        <f t="shared" si="5"/>
        <v>-10.439999999999941</v>
      </c>
      <c r="Q58" s="284">
        <f t="shared" si="6"/>
        <v>0.96520000000000017</v>
      </c>
      <c r="R58" s="637"/>
      <c r="S58" s="40">
        <v>0.27013888888888887</v>
      </c>
      <c r="T58" s="40">
        <v>0.30486111111111108</v>
      </c>
      <c r="U58" s="283">
        <f t="shared" ref="U58:U60" si="44">(S58-T57)*24*60</f>
        <v>7.9999999999999716</v>
      </c>
      <c r="V58" s="289">
        <f t="shared" si="42"/>
        <v>49.999999999999986</v>
      </c>
      <c r="W58" s="283"/>
      <c r="X58" s="283"/>
      <c r="Y58" s="283"/>
      <c r="Z58" s="283"/>
      <c r="AA58" s="632"/>
      <c r="AB58" s="632"/>
      <c r="AC58" s="135"/>
      <c r="AD58" s="25"/>
      <c r="AE58" s="19">
        <f t="shared" si="43"/>
        <v>-104.39999999999918</v>
      </c>
      <c r="AF58" s="284">
        <f t="shared" si="9"/>
        <v>0.96520000000000028</v>
      </c>
      <c r="AG58" s="637"/>
    </row>
    <row r="59" spans="1:33" ht="15.75" customHeight="1">
      <c r="A59" s="639" t="s">
        <v>83</v>
      </c>
      <c r="B59" s="290" t="s">
        <v>127</v>
      </c>
      <c r="C59" s="633" t="s">
        <v>143</v>
      </c>
      <c r="D59" s="633"/>
      <c r="E59" s="42">
        <v>36.14</v>
      </c>
      <c r="F59" s="48">
        <v>1239</v>
      </c>
      <c r="G59" s="283">
        <f t="shared" si="40"/>
        <v>44777.46</v>
      </c>
      <c r="H59" s="37" t="s">
        <v>91</v>
      </c>
      <c r="I59" s="288">
        <v>11</v>
      </c>
      <c r="J59" s="39">
        <v>3000</v>
      </c>
      <c r="K59" s="17">
        <f t="shared" si="1"/>
        <v>272.72727272727275</v>
      </c>
      <c r="L59" s="288">
        <v>11</v>
      </c>
      <c r="M59" s="18">
        <f t="shared" si="41"/>
        <v>2859.2307692307709</v>
      </c>
      <c r="N59" s="17">
        <f t="shared" si="3"/>
        <v>259.93006993007009</v>
      </c>
      <c r="O59" s="19">
        <f t="shared" si="4"/>
        <v>0</v>
      </c>
      <c r="P59" s="20">
        <f t="shared" si="5"/>
        <v>-12.797202797202658</v>
      </c>
      <c r="Q59" s="284">
        <f t="shared" si="6"/>
        <v>0.9530769230769236</v>
      </c>
      <c r="R59" s="637"/>
      <c r="S59" s="40">
        <v>0.30972222222222218</v>
      </c>
      <c r="T59" s="40">
        <v>0.32777777777777772</v>
      </c>
      <c r="U59" s="283">
        <f t="shared" si="44"/>
        <v>6.9999999999999751</v>
      </c>
      <c r="V59" s="289">
        <f t="shared" si="42"/>
        <v>25.999999999999986</v>
      </c>
      <c r="W59" s="283"/>
      <c r="X59" s="283"/>
      <c r="Y59" s="283"/>
      <c r="Z59" s="283"/>
      <c r="AA59" s="632"/>
      <c r="AB59" s="632"/>
      <c r="AC59" s="135"/>
      <c r="AD59" s="25"/>
      <c r="AE59" s="19">
        <f t="shared" si="43"/>
        <v>-140.76923076922913</v>
      </c>
      <c r="AF59" s="284">
        <f t="shared" si="9"/>
        <v>0.9530769230769236</v>
      </c>
      <c r="AG59" s="637"/>
    </row>
    <row r="60" spans="1:33" ht="15.75" customHeight="1">
      <c r="A60" s="639" t="s">
        <v>83</v>
      </c>
      <c r="B60" s="290" t="s">
        <v>127</v>
      </c>
      <c r="C60" s="633" t="s">
        <v>144</v>
      </c>
      <c r="D60" s="633"/>
      <c r="E60" s="42">
        <v>35.869999999999997</v>
      </c>
      <c r="F60" s="48">
        <v>3263</v>
      </c>
      <c r="G60" s="283">
        <f t="shared" si="40"/>
        <v>117043.81</v>
      </c>
      <c r="H60" s="37" t="s">
        <v>91</v>
      </c>
      <c r="I60" s="288">
        <v>10</v>
      </c>
      <c r="J60" s="39">
        <v>3000</v>
      </c>
      <c r="K60" s="17">
        <f t="shared" si="1"/>
        <v>300</v>
      </c>
      <c r="L60" s="288">
        <v>10</v>
      </c>
      <c r="M60" s="18">
        <f t="shared" si="41"/>
        <v>2879.1176470588234</v>
      </c>
      <c r="N60" s="17">
        <f t="shared" si="3"/>
        <v>287.91176470588232</v>
      </c>
      <c r="O60" s="19">
        <f t="shared" si="4"/>
        <v>0</v>
      </c>
      <c r="P60" s="20">
        <f t="shared" si="5"/>
        <v>-12.08823529411768</v>
      </c>
      <c r="Q60" s="284">
        <f t="shared" si="6"/>
        <v>0.95970588235294108</v>
      </c>
      <c r="R60" s="637"/>
      <c r="S60" s="40">
        <v>0.33194444444444438</v>
      </c>
      <c r="T60" s="40">
        <v>0.3791666666666666</v>
      </c>
      <c r="U60" s="283">
        <f t="shared" si="44"/>
        <v>5.9999999999999787</v>
      </c>
      <c r="V60" s="289">
        <f t="shared" si="42"/>
        <v>68</v>
      </c>
      <c r="W60" s="283"/>
      <c r="X60" s="283"/>
      <c r="Y60" s="283"/>
      <c r="Z60" s="283"/>
      <c r="AA60" s="632"/>
      <c r="AB60" s="632"/>
      <c r="AC60" s="135"/>
      <c r="AD60" s="25"/>
      <c r="AE60" s="19">
        <f t="shared" si="43"/>
        <v>-120.88235294117658</v>
      </c>
      <c r="AF60" s="284">
        <f t="shared" si="9"/>
        <v>0.95970588235294119</v>
      </c>
      <c r="AG60" s="637"/>
    </row>
    <row r="61" spans="1:33">
      <c r="A61" s="640" t="s">
        <v>83</v>
      </c>
      <c r="B61" s="42" t="s">
        <v>49</v>
      </c>
      <c r="C61" s="638"/>
      <c r="D61" s="638"/>
      <c r="E61" s="285"/>
      <c r="F61" s="44"/>
      <c r="G61" s="17"/>
      <c r="H61" s="290"/>
      <c r="I61" s="29">
        <v>10.25</v>
      </c>
      <c r="J61" s="39">
        <v>3000</v>
      </c>
      <c r="K61" s="17">
        <f t="shared" si="1"/>
        <v>292.6829268292683</v>
      </c>
      <c r="L61" s="29">
        <v>10.25</v>
      </c>
      <c r="M61" s="18">
        <f>AVERAGE(M57:M60)</f>
        <v>2874.9685855538805</v>
      </c>
      <c r="N61" s="17">
        <f t="shared" si="3"/>
        <v>280.4847400540371</v>
      </c>
      <c r="O61" s="19">
        <f t="shared" si="4"/>
        <v>0</v>
      </c>
      <c r="P61" s="20">
        <f t="shared" si="5"/>
        <v>-12.198186775231193</v>
      </c>
      <c r="Q61" s="284">
        <f t="shared" si="6"/>
        <v>0.95832286185129345</v>
      </c>
      <c r="R61" s="637"/>
      <c r="S61" s="40"/>
      <c r="T61" s="40"/>
      <c r="U61" s="17"/>
      <c r="V61" s="289"/>
      <c r="W61" s="17"/>
      <c r="X61" s="17"/>
      <c r="Y61" s="30">
        <f>SUM(Y57:Y60)</f>
        <v>0</v>
      </c>
      <c r="Z61" s="30">
        <f>SUM(Z57:Z60)</f>
        <v>0</v>
      </c>
      <c r="AA61" s="631"/>
      <c r="AB61" s="631"/>
      <c r="AC61" s="30">
        <v>4</v>
      </c>
      <c r="AD61" s="30">
        <f>SUM(AD57:AD60)</f>
        <v>0</v>
      </c>
      <c r="AE61" s="19">
        <f t="shared" si="43"/>
        <v>-125.03141444611947</v>
      </c>
      <c r="AF61" s="284">
        <f t="shared" si="9"/>
        <v>0.95832286185129356</v>
      </c>
      <c r="AG61" s="637"/>
    </row>
    <row r="62" spans="1:33" ht="15.75" customHeight="1">
      <c r="A62" s="634" t="s">
        <v>86</v>
      </c>
      <c r="B62" s="290" t="s">
        <v>116</v>
      </c>
      <c r="C62" s="633" t="s">
        <v>145</v>
      </c>
      <c r="D62" s="633"/>
      <c r="E62" s="42">
        <v>19.02</v>
      </c>
      <c r="F62" s="290">
        <v>5000</v>
      </c>
      <c r="G62" s="283">
        <f t="shared" ref="G62:G68" si="45">E62*F62</f>
        <v>95100</v>
      </c>
      <c r="H62" s="37">
        <v>2</v>
      </c>
      <c r="I62" s="288">
        <v>14</v>
      </c>
      <c r="J62" s="39">
        <v>2400</v>
      </c>
      <c r="K62" s="17">
        <f t="shared" si="1"/>
        <v>171.42857142857142</v>
      </c>
      <c r="L62" s="288">
        <v>14</v>
      </c>
      <c r="M62" s="18">
        <f t="shared" ref="M62:M68" si="46">F62/V62*60</f>
        <v>2290.0763358778627</v>
      </c>
      <c r="N62" s="17">
        <f t="shared" si="3"/>
        <v>163.57688113413306</v>
      </c>
      <c r="O62" s="19">
        <f t="shared" si="4"/>
        <v>0</v>
      </c>
      <c r="P62" s="20">
        <f t="shared" si="5"/>
        <v>-7.851690294438356</v>
      </c>
      <c r="Q62" s="284">
        <f t="shared" si="6"/>
        <v>0.95419847328244289</v>
      </c>
      <c r="R62" s="637">
        <f>Q69</f>
        <v>0.95811223835690751</v>
      </c>
      <c r="S62" s="40">
        <v>8.3333333333333329E-2</v>
      </c>
      <c r="T62" s="40">
        <v>0.17430555555555555</v>
      </c>
      <c r="U62" s="28"/>
      <c r="V62" s="289">
        <f t="shared" ref="V62:V68" si="47">(T62-S62)*24*60</f>
        <v>131</v>
      </c>
      <c r="W62" s="23">
        <f>T62</f>
        <v>0.17430555555555555</v>
      </c>
      <c r="X62" s="23">
        <f>S63</f>
        <v>0.19305555555555554</v>
      </c>
      <c r="Y62" s="23"/>
      <c r="Z62" s="23"/>
      <c r="AA62" s="632"/>
      <c r="AB62" s="632"/>
      <c r="AC62" s="135">
        <v>7</v>
      </c>
      <c r="AD62" s="25"/>
      <c r="AE62" s="19">
        <f t="shared" si="43"/>
        <v>-109.92366412213732</v>
      </c>
      <c r="AF62" s="284">
        <f t="shared" si="9"/>
        <v>0.95419847328244278</v>
      </c>
      <c r="AG62" s="637">
        <f>AF69</f>
        <v>0.9581122383569074</v>
      </c>
    </row>
    <row r="63" spans="1:33" ht="15.75" customHeight="1">
      <c r="A63" s="635" t="s">
        <v>86</v>
      </c>
      <c r="B63" s="290" t="s">
        <v>116</v>
      </c>
      <c r="C63" s="633" t="s">
        <v>146</v>
      </c>
      <c r="D63" s="633"/>
      <c r="E63" s="42">
        <v>20.36</v>
      </c>
      <c r="F63" s="290">
        <v>4040</v>
      </c>
      <c r="G63" s="283">
        <f t="shared" si="45"/>
        <v>82254.399999999994</v>
      </c>
      <c r="H63" s="37" t="s">
        <v>91</v>
      </c>
      <c r="I63" s="288">
        <v>17</v>
      </c>
      <c r="J63" s="39">
        <v>2400</v>
      </c>
      <c r="K63" s="17">
        <f t="shared" si="1"/>
        <v>141.1764705882353</v>
      </c>
      <c r="L63" s="288">
        <v>17</v>
      </c>
      <c r="M63" s="18">
        <f t="shared" si="46"/>
        <v>2286.7924528301878</v>
      </c>
      <c r="N63" s="17">
        <f t="shared" si="3"/>
        <v>134.5172031076581</v>
      </c>
      <c r="O63" s="19">
        <f t="shared" si="4"/>
        <v>0</v>
      </c>
      <c r="P63" s="20">
        <f t="shared" si="5"/>
        <v>-6.6592674805771992</v>
      </c>
      <c r="Q63" s="284">
        <f t="shared" si="6"/>
        <v>0.95283018867924485</v>
      </c>
      <c r="R63" s="637"/>
      <c r="S63" s="40">
        <v>0.19305555555555554</v>
      </c>
      <c r="T63" s="40">
        <v>0.26666666666666666</v>
      </c>
      <c r="U63" s="283">
        <f t="shared" ref="U63:U68" si="48">(S63-T62)*24*60</f>
        <v>26.999999999999986</v>
      </c>
      <c r="V63" s="289">
        <f t="shared" si="47"/>
        <v>106.00000000000003</v>
      </c>
      <c r="W63" s="23"/>
      <c r="X63" s="23"/>
      <c r="Y63" s="23"/>
      <c r="Z63" s="23"/>
      <c r="AA63" s="632"/>
      <c r="AB63" s="632"/>
      <c r="AC63" s="135"/>
      <c r="AD63" s="25"/>
      <c r="AE63" s="19">
        <f t="shared" si="43"/>
        <v>-113.20754716981219</v>
      </c>
      <c r="AF63" s="284">
        <f t="shared" si="9"/>
        <v>0.95283018867924496</v>
      </c>
      <c r="AG63" s="637"/>
    </row>
    <row r="64" spans="1:33" ht="15.75" customHeight="1">
      <c r="A64" s="635" t="s">
        <v>86</v>
      </c>
      <c r="B64" s="290" t="s">
        <v>116</v>
      </c>
      <c r="C64" s="633" t="s">
        <v>120</v>
      </c>
      <c r="D64" s="633"/>
      <c r="E64" s="42">
        <v>25.99</v>
      </c>
      <c r="F64" s="290">
        <v>1173</v>
      </c>
      <c r="G64" s="283">
        <f t="shared" si="45"/>
        <v>30486.269999999997</v>
      </c>
      <c r="H64" s="37" t="s">
        <v>91</v>
      </c>
      <c r="I64" s="288">
        <v>18</v>
      </c>
      <c r="J64" s="39">
        <v>2400</v>
      </c>
      <c r="K64" s="17">
        <f t="shared" si="1"/>
        <v>133.33333333333334</v>
      </c>
      <c r="L64" s="288">
        <v>18</v>
      </c>
      <c r="M64" s="18">
        <f t="shared" si="46"/>
        <v>2346.0000000000023</v>
      </c>
      <c r="N64" s="17">
        <f t="shared" si="3"/>
        <v>130.33333333333346</v>
      </c>
      <c r="O64" s="19">
        <f t="shared" si="4"/>
        <v>0</v>
      </c>
      <c r="P64" s="20">
        <f t="shared" si="5"/>
        <v>-2.9999999999998863</v>
      </c>
      <c r="Q64" s="284">
        <f t="shared" si="6"/>
        <v>0.97750000000000081</v>
      </c>
      <c r="R64" s="637"/>
      <c r="S64" s="40">
        <v>0.2722222222222222</v>
      </c>
      <c r="T64" s="40">
        <v>0.29305555555555551</v>
      </c>
      <c r="U64" s="283">
        <f t="shared" si="48"/>
        <v>7.9999999999999716</v>
      </c>
      <c r="V64" s="289">
        <f t="shared" si="47"/>
        <v>29.999999999999972</v>
      </c>
      <c r="W64" s="23"/>
      <c r="X64" s="23"/>
      <c r="Y64" s="23"/>
      <c r="Z64" s="23"/>
      <c r="AA64" s="632"/>
      <c r="AB64" s="632"/>
      <c r="AC64" s="135"/>
      <c r="AD64" s="25"/>
      <c r="AE64" s="19">
        <f t="shared" si="43"/>
        <v>-53.999999999997726</v>
      </c>
      <c r="AF64" s="284">
        <f t="shared" si="9"/>
        <v>0.97750000000000092</v>
      </c>
      <c r="AG64" s="637"/>
    </row>
    <row r="65" spans="1:33" ht="15.75" customHeight="1">
      <c r="A65" s="635" t="s">
        <v>1374</v>
      </c>
      <c r="B65" s="290" t="s">
        <v>116</v>
      </c>
      <c r="C65" s="633" t="s">
        <v>148</v>
      </c>
      <c r="D65" s="633"/>
      <c r="E65" s="42">
        <v>28.29</v>
      </c>
      <c r="F65" s="290">
        <v>3769</v>
      </c>
      <c r="G65" s="283">
        <f t="shared" si="45"/>
        <v>106625.01</v>
      </c>
      <c r="H65" s="37" t="s">
        <v>91</v>
      </c>
      <c r="I65" s="288">
        <v>21</v>
      </c>
      <c r="J65" s="39">
        <v>2400</v>
      </c>
      <c r="K65" s="17">
        <f t="shared" si="1"/>
        <v>114.28571428571429</v>
      </c>
      <c r="L65" s="288">
        <v>21</v>
      </c>
      <c r="M65" s="18">
        <f t="shared" si="46"/>
        <v>2284.2424242424249</v>
      </c>
      <c r="N65" s="17">
        <f t="shared" si="3"/>
        <v>108.77344877344881</v>
      </c>
      <c r="O65" s="19">
        <f t="shared" si="4"/>
        <v>0</v>
      </c>
      <c r="P65" s="20">
        <f t="shared" si="5"/>
        <v>-5.5122655122654862</v>
      </c>
      <c r="Q65" s="284">
        <f t="shared" si="6"/>
        <v>0.95176767676767704</v>
      </c>
      <c r="R65" s="637"/>
      <c r="S65" s="40">
        <v>0.29722222222222217</v>
      </c>
      <c r="T65" s="40">
        <v>0.36597222222222214</v>
      </c>
      <c r="U65" s="283">
        <f t="shared" si="48"/>
        <v>5.9999999999999787</v>
      </c>
      <c r="V65" s="289">
        <f t="shared" si="47"/>
        <v>98.999999999999972</v>
      </c>
      <c r="W65" s="23"/>
      <c r="X65" s="23"/>
      <c r="Y65" s="23"/>
      <c r="Z65" s="23"/>
      <c r="AA65" s="632"/>
      <c r="AB65" s="632"/>
      <c r="AC65" s="135"/>
      <c r="AD65" s="25"/>
      <c r="AE65" s="19">
        <f t="shared" si="43"/>
        <v>-115.75757575757507</v>
      </c>
      <c r="AF65" s="284">
        <f t="shared" si="9"/>
        <v>0.95176767676767704</v>
      </c>
      <c r="AG65" s="637"/>
    </row>
    <row r="66" spans="1:33" ht="15.75" customHeight="1">
      <c r="A66" s="635" t="s">
        <v>1374</v>
      </c>
      <c r="B66" s="290" t="s">
        <v>116</v>
      </c>
      <c r="C66" s="633" t="s">
        <v>149</v>
      </c>
      <c r="D66" s="633"/>
      <c r="E66" s="42">
        <v>24.25</v>
      </c>
      <c r="F66" s="290">
        <v>3589</v>
      </c>
      <c r="G66" s="283">
        <f t="shared" si="45"/>
        <v>87033.25</v>
      </c>
      <c r="H66" s="37" t="s">
        <v>91</v>
      </c>
      <c r="I66" s="288">
        <v>16</v>
      </c>
      <c r="J66" s="39">
        <v>2400</v>
      </c>
      <c r="K66" s="17">
        <f t="shared" si="1"/>
        <v>150</v>
      </c>
      <c r="L66" s="288">
        <v>16</v>
      </c>
      <c r="M66" s="18">
        <f t="shared" si="46"/>
        <v>2290.8510638297876</v>
      </c>
      <c r="N66" s="17">
        <f t="shared" si="3"/>
        <v>143.17819148936172</v>
      </c>
      <c r="O66" s="19">
        <f t="shared" si="4"/>
        <v>0</v>
      </c>
      <c r="P66" s="20">
        <f t="shared" si="5"/>
        <v>-6.8218085106382773</v>
      </c>
      <c r="Q66" s="284">
        <f t="shared" si="6"/>
        <v>0.95452127659574482</v>
      </c>
      <c r="R66" s="637"/>
      <c r="S66" s="40">
        <v>0.37152777777777768</v>
      </c>
      <c r="T66" s="40">
        <v>0.43680555555555545</v>
      </c>
      <c r="U66" s="283">
        <f t="shared" si="48"/>
        <v>7.9999999999999716</v>
      </c>
      <c r="V66" s="289">
        <f t="shared" si="47"/>
        <v>93.999999999999986</v>
      </c>
      <c r="W66" s="23"/>
      <c r="X66" s="23"/>
      <c r="Y66" s="23"/>
      <c r="Z66" s="23"/>
      <c r="AA66" s="632"/>
      <c r="AB66" s="632"/>
      <c r="AC66" s="135"/>
      <c r="AD66" s="25"/>
      <c r="AE66" s="19">
        <f t="shared" si="43"/>
        <v>-109.14893617021244</v>
      </c>
      <c r="AF66" s="284">
        <f t="shared" si="9"/>
        <v>0.95452127659574482</v>
      </c>
      <c r="AG66" s="637"/>
    </row>
    <row r="67" spans="1:33" ht="15.75" customHeight="1">
      <c r="A67" s="635" t="s">
        <v>86</v>
      </c>
      <c r="B67" s="290" t="s">
        <v>116</v>
      </c>
      <c r="C67" s="633" t="s">
        <v>150</v>
      </c>
      <c r="D67" s="633"/>
      <c r="E67" s="42">
        <v>23.89</v>
      </c>
      <c r="F67" s="290">
        <v>3367</v>
      </c>
      <c r="G67" s="283">
        <f t="shared" si="45"/>
        <v>80437.63</v>
      </c>
      <c r="H67" s="37" t="s">
        <v>91</v>
      </c>
      <c r="I67" s="288">
        <v>13</v>
      </c>
      <c r="J67" s="39">
        <v>2400</v>
      </c>
      <c r="K67" s="17">
        <f t="shared" si="1"/>
        <v>184.61538461538461</v>
      </c>
      <c r="L67" s="288">
        <v>13</v>
      </c>
      <c r="M67" s="18">
        <f t="shared" si="46"/>
        <v>2295.681818181818</v>
      </c>
      <c r="N67" s="17">
        <f t="shared" si="3"/>
        <v>176.59090909090907</v>
      </c>
      <c r="O67" s="19">
        <f t="shared" si="4"/>
        <v>0</v>
      </c>
      <c r="P67" s="20">
        <f t="shared" si="5"/>
        <v>-8.0244755244755481</v>
      </c>
      <c r="Q67" s="284">
        <f t="shared" si="6"/>
        <v>0.95653409090909081</v>
      </c>
      <c r="R67" s="637"/>
      <c r="S67" s="40">
        <v>0.44166666666666654</v>
      </c>
      <c r="T67" s="40">
        <v>0.50277777777777766</v>
      </c>
      <c r="U67" s="283">
        <f t="shared" si="48"/>
        <v>6.9999999999999751</v>
      </c>
      <c r="V67" s="289">
        <f t="shared" si="47"/>
        <v>88</v>
      </c>
      <c r="W67" s="23">
        <f>T67</f>
        <v>0.50277777777777766</v>
      </c>
      <c r="X67" s="23">
        <f>S68</f>
        <v>0.5430555555555554</v>
      </c>
      <c r="Y67" s="23"/>
      <c r="Z67" s="23"/>
      <c r="AA67" s="632"/>
      <c r="AB67" s="632"/>
      <c r="AC67" s="135"/>
      <c r="AD67" s="25"/>
      <c r="AE67" s="19">
        <f t="shared" si="43"/>
        <v>-104.31818181818198</v>
      </c>
      <c r="AF67" s="284">
        <f t="shared" si="9"/>
        <v>0.95653409090909081</v>
      </c>
      <c r="AG67" s="637"/>
    </row>
    <row r="68" spans="1:33" ht="15.75" customHeight="1">
      <c r="A68" s="635" t="s">
        <v>86</v>
      </c>
      <c r="B68" s="290" t="s">
        <v>116</v>
      </c>
      <c r="C68" s="625" t="s">
        <v>145</v>
      </c>
      <c r="D68" s="626"/>
      <c r="E68" s="42">
        <v>19.02</v>
      </c>
      <c r="F68" s="290">
        <v>4068</v>
      </c>
      <c r="G68" s="283">
        <f t="shared" si="45"/>
        <v>77373.36</v>
      </c>
      <c r="H68" s="37" t="s">
        <v>91</v>
      </c>
      <c r="I68" s="288">
        <v>14</v>
      </c>
      <c r="J68" s="39">
        <v>2400</v>
      </c>
      <c r="K68" s="17">
        <f t="shared" si="1"/>
        <v>171.42857142857142</v>
      </c>
      <c r="L68" s="288">
        <v>14</v>
      </c>
      <c r="M68" s="18">
        <f t="shared" si="46"/>
        <v>2302.6415094339636</v>
      </c>
      <c r="N68" s="17">
        <f t="shared" si="3"/>
        <v>164.47439353099739</v>
      </c>
      <c r="O68" s="19">
        <f t="shared" si="4"/>
        <v>0</v>
      </c>
      <c r="P68" s="20">
        <f t="shared" si="5"/>
        <v>-6.9541778975740272</v>
      </c>
      <c r="Q68" s="284">
        <f t="shared" si="6"/>
        <v>0.95943396226415145</v>
      </c>
      <c r="R68" s="637"/>
      <c r="S68" s="40">
        <v>0.5430555555555554</v>
      </c>
      <c r="T68" s="40">
        <v>0.61666666666666647</v>
      </c>
      <c r="U68" s="283">
        <f t="shared" si="48"/>
        <v>57.999999999999957</v>
      </c>
      <c r="V68" s="289">
        <f t="shared" si="47"/>
        <v>105.99999999999994</v>
      </c>
      <c r="W68" s="23"/>
      <c r="X68" s="23"/>
      <c r="Y68" s="26"/>
      <c r="Z68" s="26"/>
      <c r="AA68" s="627"/>
      <c r="AB68" s="628"/>
      <c r="AC68" s="135"/>
      <c r="AD68" s="25"/>
      <c r="AE68" s="19">
        <f t="shared" si="43"/>
        <v>-97.35849056603638</v>
      </c>
      <c r="AF68" s="284">
        <f t="shared" si="9"/>
        <v>0.95943396226415156</v>
      </c>
      <c r="AG68" s="637"/>
    </row>
    <row r="69" spans="1:33" ht="16.5" customHeight="1">
      <c r="A69" s="636" t="s">
        <v>86</v>
      </c>
      <c r="B69" s="42" t="s">
        <v>49</v>
      </c>
      <c r="C69" s="629"/>
      <c r="D69" s="630"/>
      <c r="E69" s="285"/>
      <c r="F69" s="44"/>
      <c r="G69" s="17"/>
      <c r="H69" s="290"/>
      <c r="I69" s="29">
        <v>16.142857142857142</v>
      </c>
      <c r="J69" s="39">
        <v>2400</v>
      </c>
      <c r="K69" s="17">
        <f t="shared" ref="K69" si="49">J69/I69</f>
        <v>148.67256637168143</v>
      </c>
      <c r="L69" s="29">
        <v>16.142857142857142</v>
      </c>
      <c r="M69" s="18">
        <f>AVERAGE(M62:M68)</f>
        <v>2299.4693720565779</v>
      </c>
      <c r="N69" s="17">
        <f t="shared" ref="N69" si="50">M69/L69</f>
        <v>142.44500534863758</v>
      </c>
      <c r="O69" s="19">
        <f t="shared" ref="O69" si="51">L69-I69</f>
        <v>0</v>
      </c>
      <c r="P69" s="20">
        <f t="shared" ref="P69" si="52">N69-K69</f>
        <v>-6.2275610230438474</v>
      </c>
      <c r="Q69" s="284">
        <f t="shared" ref="Q69" si="53">N69/K69</f>
        <v>0.95811223835690751</v>
      </c>
      <c r="R69" s="637"/>
      <c r="S69" s="40"/>
      <c r="T69" s="40"/>
      <c r="U69" s="17"/>
      <c r="V69" s="289"/>
      <c r="W69" s="17"/>
      <c r="X69" s="17"/>
      <c r="Y69" s="30">
        <f>SUM(Y62:Y68)</f>
        <v>0</v>
      </c>
      <c r="Z69" s="30">
        <f>SUM(Z62:Z68)</f>
        <v>0</v>
      </c>
      <c r="AA69" s="631"/>
      <c r="AB69" s="631"/>
      <c r="AC69" s="30">
        <v>7</v>
      </c>
      <c r="AD69" s="30">
        <f>SUM(AD62:AD68)</f>
        <v>0</v>
      </c>
      <c r="AE69" s="19">
        <f t="shared" si="43"/>
        <v>-100.53062794342213</v>
      </c>
      <c r="AF69" s="284">
        <f t="shared" ref="AF69" si="54">M69/J69</f>
        <v>0.9581122383569074</v>
      </c>
      <c r="AG69" s="637"/>
    </row>
    <row r="70" spans="1:33">
      <c r="D70" s="33"/>
      <c r="E70" s="33"/>
    </row>
  </sheetData>
  <mergeCells count="189">
    <mergeCell ref="AG62:AG69"/>
    <mergeCell ref="C63:D63"/>
    <mergeCell ref="AA63:AB63"/>
    <mergeCell ref="C64:D64"/>
    <mergeCell ref="AA64:AB64"/>
    <mergeCell ref="C65:D65"/>
    <mergeCell ref="AA65:AB65"/>
    <mergeCell ref="C66:D66"/>
    <mergeCell ref="AA66:AB66"/>
    <mergeCell ref="C67:D67"/>
    <mergeCell ref="A62:A69"/>
    <mergeCell ref="C62:D62"/>
    <mergeCell ref="R62:R69"/>
    <mergeCell ref="AA62:AB62"/>
    <mergeCell ref="AA67:AB67"/>
    <mergeCell ref="C68:D68"/>
    <mergeCell ref="AA68:AB68"/>
    <mergeCell ref="A57:A61"/>
    <mergeCell ref="C57:D57"/>
    <mergeCell ref="R57:R61"/>
    <mergeCell ref="AA57:AB57"/>
    <mergeCell ref="C69:D69"/>
    <mergeCell ref="AA69:AB69"/>
    <mergeCell ref="AG57:AG61"/>
    <mergeCell ref="C58:D58"/>
    <mergeCell ref="AA58:AB58"/>
    <mergeCell ref="C59:D59"/>
    <mergeCell ref="AA59:AB59"/>
    <mergeCell ref="C60:D60"/>
    <mergeCell ref="AA53:AB53"/>
    <mergeCell ref="C54:D54"/>
    <mergeCell ref="AA54:AB54"/>
    <mergeCell ref="C55:D55"/>
    <mergeCell ref="AA55:AB55"/>
    <mergeCell ref="C56:D56"/>
    <mergeCell ref="AA56:AB56"/>
    <mergeCell ref="AA60:AB60"/>
    <mergeCell ref="C61:D61"/>
    <mergeCell ref="AA61:AB61"/>
    <mergeCell ref="A49:A56"/>
    <mergeCell ref="C49:D49"/>
    <mergeCell ref="R49:R56"/>
    <mergeCell ref="AA49:AB49"/>
    <mergeCell ref="AG49:AG56"/>
    <mergeCell ref="C50:D50"/>
    <mergeCell ref="AA50:AB50"/>
    <mergeCell ref="C51:D51"/>
    <mergeCell ref="AA51:AB51"/>
    <mergeCell ref="AA52:AB52"/>
    <mergeCell ref="AG44:AG48"/>
    <mergeCell ref="C45:D45"/>
    <mergeCell ref="AA45:AB45"/>
    <mergeCell ref="C46:D46"/>
    <mergeCell ref="AA46:AB46"/>
    <mergeCell ref="C47:D47"/>
    <mergeCell ref="AA47:AB47"/>
    <mergeCell ref="C48:D48"/>
    <mergeCell ref="AA48:AB48"/>
    <mergeCell ref="AA43:AB43"/>
    <mergeCell ref="A44:A48"/>
    <mergeCell ref="C44:D44"/>
    <mergeCell ref="R44:R48"/>
    <mergeCell ref="AA44:AB44"/>
    <mergeCell ref="AA39:AB39"/>
    <mergeCell ref="C40:D40"/>
    <mergeCell ref="AA40:AB40"/>
    <mergeCell ref="C41:D41"/>
    <mergeCell ref="AA41:AB41"/>
    <mergeCell ref="C42:D42"/>
    <mergeCell ref="AA42:AB42"/>
    <mergeCell ref="A36:A43"/>
    <mergeCell ref="C36:D36"/>
    <mergeCell ref="R36:R43"/>
    <mergeCell ref="AA36:AB36"/>
    <mergeCell ref="A29:A35"/>
    <mergeCell ref="C29:D29"/>
    <mergeCell ref="R29:R35"/>
    <mergeCell ref="AA29:AB29"/>
    <mergeCell ref="AA34:AB34"/>
    <mergeCell ref="C35:D35"/>
    <mergeCell ref="AA35:AB35"/>
    <mergeCell ref="AG36:AG43"/>
    <mergeCell ref="C37:D37"/>
    <mergeCell ref="AA37:AB37"/>
    <mergeCell ref="C38:D38"/>
    <mergeCell ref="AA38:AB38"/>
    <mergeCell ref="C39:D39"/>
    <mergeCell ref="AG29:AG35"/>
    <mergeCell ref="C30:D30"/>
    <mergeCell ref="AA30:AB30"/>
    <mergeCell ref="C31:D31"/>
    <mergeCell ref="AA31:AB31"/>
    <mergeCell ref="C32:D32"/>
    <mergeCell ref="AA32:AB32"/>
    <mergeCell ref="C33:D33"/>
    <mergeCell ref="AA33:AB33"/>
    <mergeCell ref="C34:D34"/>
    <mergeCell ref="C43:D43"/>
    <mergeCell ref="AG22:AG28"/>
    <mergeCell ref="C23:D23"/>
    <mergeCell ref="AA23:AB23"/>
    <mergeCell ref="C24:D24"/>
    <mergeCell ref="AA24:AB24"/>
    <mergeCell ref="C25:D25"/>
    <mergeCell ref="AA25:AB25"/>
    <mergeCell ref="C26:D26"/>
    <mergeCell ref="AA26:AB26"/>
    <mergeCell ref="C27:D27"/>
    <mergeCell ref="C28:D28"/>
    <mergeCell ref="AA28:AB28"/>
    <mergeCell ref="AA19:AB19"/>
    <mergeCell ref="C21:D21"/>
    <mergeCell ref="AA21:AB21"/>
    <mergeCell ref="A22:A28"/>
    <mergeCell ref="C22:D22"/>
    <mergeCell ref="R22:R28"/>
    <mergeCell ref="AA22:AB22"/>
    <mergeCell ref="AA27:AB27"/>
    <mergeCell ref="A15:A21"/>
    <mergeCell ref="C15:D15"/>
    <mergeCell ref="R15:R21"/>
    <mergeCell ref="AA15:AB15"/>
    <mergeCell ref="AA8:AB8"/>
    <mergeCell ref="A9:A14"/>
    <mergeCell ref="C9:D9"/>
    <mergeCell ref="R9:R14"/>
    <mergeCell ref="AA9:AB9"/>
    <mergeCell ref="AA14:AB14"/>
    <mergeCell ref="AG15:AG21"/>
    <mergeCell ref="C16:D16"/>
    <mergeCell ref="AA16:AB16"/>
    <mergeCell ref="C17:D17"/>
    <mergeCell ref="AA17:AB17"/>
    <mergeCell ref="C18:D18"/>
    <mergeCell ref="AG9:AG14"/>
    <mergeCell ref="C10:D10"/>
    <mergeCell ref="AA10:AB10"/>
    <mergeCell ref="C11:D11"/>
    <mergeCell ref="AA11:AB11"/>
    <mergeCell ref="C12:D12"/>
    <mergeCell ref="AA12:AB12"/>
    <mergeCell ref="C13:D13"/>
    <mergeCell ref="AA13:AB13"/>
    <mergeCell ref="C14:D14"/>
    <mergeCell ref="AA18:AB18"/>
    <mergeCell ref="C19:D19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7:D7"/>
    <mergeCell ref="AA7:AB7"/>
    <mergeCell ref="C8:D8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60:O67 O56:O57 O69 O5:O9 O14:O16 O21:O54">
    <cfRule type="cellIs" dxfId="1058" priority="46" operator="greaterThan">
      <formula>0</formula>
    </cfRule>
  </conditionalFormatting>
  <conditionalFormatting sqref="P5:P7 P60 AE60 P62:P67 P29:P34 P57 P9 P14:P16 P22:P27 P49:P54 P36:P47 AE5:AE57 AE62:AE69">
    <cfRule type="cellIs" dxfId="1057" priority="50" operator="lessThan">
      <formula>0</formula>
    </cfRule>
  </conditionalFormatting>
  <conditionalFormatting sqref="AF60 Q60:Q67 Q56:Q57 Q69 Q5:Q9 Q14:Q16 Q21:Q54 AF5:AF57 AF62:AF69">
    <cfRule type="cellIs" dxfId="1056" priority="47" operator="greaterThan">
      <formula>1</formula>
    </cfRule>
    <cfRule type="cellIs" dxfId="1055" priority="48" operator="lessThan">
      <formula>0.8</formula>
    </cfRule>
  </conditionalFormatting>
  <conditionalFormatting sqref="AG15:AG16 R15:R16 AG60 R60:R67 AG56:AG57 R56:R57 R69 AG5:AG9 R5:R9 AG21:AG54 R21:R54">
    <cfRule type="cellIs" dxfId="1054" priority="52" operator="lessThan">
      <formula>0.8</formula>
    </cfRule>
  </conditionalFormatting>
  <conditionalFormatting sqref="AG44">
    <cfRule type="cellIs" dxfId="1053" priority="54" operator="lessThan">
      <formula>0.8</formula>
    </cfRule>
  </conditionalFormatting>
  <conditionalFormatting sqref="AG22:AG27">
    <cfRule type="cellIs" dxfId="1052" priority="51" operator="lessThan">
      <formula>0.8</formula>
    </cfRule>
  </conditionalFormatting>
  <conditionalFormatting sqref="AG29">
    <cfRule type="cellIs" dxfId="1051" priority="53" operator="lessThan">
      <formula>0.8</formula>
    </cfRule>
  </conditionalFormatting>
  <conditionalFormatting sqref="AG36:AG42">
    <cfRule type="cellIs" dxfId="1050" priority="49" operator="lessThan">
      <formula>0.8</formula>
    </cfRule>
  </conditionalFormatting>
  <conditionalFormatting sqref="AE61">
    <cfRule type="cellIs" dxfId="1049" priority="45" operator="lessThan">
      <formula>0</formula>
    </cfRule>
  </conditionalFormatting>
  <conditionalFormatting sqref="AF61">
    <cfRule type="cellIs" dxfId="1048" priority="43" operator="greaterThan">
      <formula>1</formula>
    </cfRule>
    <cfRule type="cellIs" dxfId="1047" priority="44" operator="lessThan">
      <formula>0.8</formula>
    </cfRule>
  </conditionalFormatting>
  <conditionalFormatting sqref="O17:O18">
    <cfRule type="cellIs" dxfId="1046" priority="38" operator="greaterThan">
      <formula>0</formula>
    </cfRule>
  </conditionalFormatting>
  <conditionalFormatting sqref="P17:P18">
    <cfRule type="cellIs" dxfId="1045" priority="41" operator="lessThan">
      <formula>0</formula>
    </cfRule>
  </conditionalFormatting>
  <conditionalFormatting sqref="Q17:Q18">
    <cfRule type="cellIs" dxfId="1044" priority="39" operator="greaterThan">
      <formula>1</formula>
    </cfRule>
    <cfRule type="cellIs" dxfId="1043" priority="40" operator="lessThan">
      <formula>0.8</formula>
    </cfRule>
  </conditionalFormatting>
  <conditionalFormatting sqref="R17:R18 AG17:AG18">
    <cfRule type="cellIs" dxfId="1042" priority="42" operator="lessThan">
      <formula>0.8</formula>
    </cfRule>
  </conditionalFormatting>
  <conditionalFormatting sqref="O10:O13">
    <cfRule type="cellIs" dxfId="1041" priority="34" operator="greaterThan">
      <formula>0</formula>
    </cfRule>
  </conditionalFormatting>
  <conditionalFormatting sqref="P10:P13">
    <cfRule type="cellIs" dxfId="1040" priority="37" operator="lessThan">
      <formula>0</formula>
    </cfRule>
  </conditionalFormatting>
  <conditionalFormatting sqref="Q10:Q13">
    <cfRule type="cellIs" dxfId="1039" priority="35" operator="greaterThan">
      <formula>1</formula>
    </cfRule>
    <cfRule type="cellIs" dxfId="1038" priority="36" operator="lessThan">
      <formula>0.8</formula>
    </cfRule>
  </conditionalFormatting>
  <conditionalFormatting sqref="O55">
    <cfRule type="cellIs" dxfId="1037" priority="29" operator="greaterThan">
      <formula>0</formula>
    </cfRule>
  </conditionalFormatting>
  <conditionalFormatting sqref="P55">
    <cfRule type="cellIs" dxfId="1036" priority="32" operator="lessThan">
      <formula>0</formula>
    </cfRule>
  </conditionalFormatting>
  <conditionalFormatting sqref="Q55">
    <cfRule type="cellIs" dxfId="1035" priority="30" operator="greaterThan">
      <formula>1</formula>
    </cfRule>
    <cfRule type="cellIs" dxfId="1034" priority="31" operator="lessThan">
      <formula>0.8</formula>
    </cfRule>
  </conditionalFormatting>
  <conditionalFormatting sqref="R55 AG55">
    <cfRule type="cellIs" dxfId="1033" priority="33" operator="lessThan">
      <formula>0.8</formula>
    </cfRule>
  </conditionalFormatting>
  <conditionalFormatting sqref="O59">
    <cfRule type="cellIs" dxfId="1032" priority="24" operator="greaterThan">
      <formula>0</formula>
    </cfRule>
  </conditionalFormatting>
  <conditionalFormatting sqref="P59 AE59">
    <cfRule type="cellIs" dxfId="1031" priority="27" operator="lessThan">
      <formula>0</formula>
    </cfRule>
  </conditionalFormatting>
  <conditionalFormatting sqref="Q59 AF59">
    <cfRule type="cellIs" dxfId="1030" priority="25" operator="greaterThan">
      <formula>1</formula>
    </cfRule>
    <cfRule type="cellIs" dxfId="1029" priority="26" operator="lessThan">
      <formula>0.8</formula>
    </cfRule>
  </conditionalFormatting>
  <conditionalFormatting sqref="R59 AG59">
    <cfRule type="cellIs" dxfId="1028" priority="28" operator="lessThan">
      <formula>0.8</formula>
    </cfRule>
  </conditionalFormatting>
  <conditionalFormatting sqref="O68">
    <cfRule type="cellIs" dxfId="1027" priority="19" operator="greaterThan">
      <formula>0</formula>
    </cfRule>
  </conditionalFormatting>
  <conditionalFormatting sqref="P68">
    <cfRule type="cellIs" dxfId="1026" priority="22" operator="lessThan">
      <formula>0</formula>
    </cfRule>
  </conditionalFormatting>
  <conditionalFormatting sqref="Q68">
    <cfRule type="cellIs" dxfId="1025" priority="20" operator="greaterThan">
      <formula>1</formula>
    </cfRule>
    <cfRule type="cellIs" dxfId="1024" priority="21" operator="lessThan">
      <formula>0.8</formula>
    </cfRule>
  </conditionalFormatting>
  <conditionalFormatting sqref="R68">
    <cfRule type="cellIs" dxfId="1023" priority="23" operator="lessThan">
      <formula>0.8</formula>
    </cfRule>
  </conditionalFormatting>
  <conditionalFormatting sqref="O19:O20">
    <cfRule type="cellIs" dxfId="1022" priority="14" operator="greaterThan">
      <formula>0</formula>
    </cfRule>
  </conditionalFormatting>
  <conditionalFormatting sqref="P19:P20">
    <cfRule type="cellIs" dxfId="1021" priority="17" operator="lessThan">
      <formula>0</formula>
    </cfRule>
  </conditionalFormatting>
  <conditionalFormatting sqref="Q19:Q20">
    <cfRule type="cellIs" dxfId="1020" priority="15" operator="greaterThan">
      <formula>1</formula>
    </cfRule>
    <cfRule type="cellIs" dxfId="1019" priority="16" operator="lessThan">
      <formula>0.8</formula>
    </cfRule>
  </conditionalFormatting>
  <conditionalFormatting sqref="R19:R20 AG19:AG20">
    <cfRule type="cellIs" dxfId="1018" priority="18" operator="lessThan">
      <formula>0.8</formula>
    </cfRule>
  </conditionalFormatting>
  <conditionalFormatting sqref="O58">
    <cfRule type="cellIs" dxfId="1017" priority="9" operator="greaterThan">
      <formula>0</formula>
    </cfRule>
  </conditionalFormatting>
  <conditionalFormatting sqref="P58 AE58">
    <cfRule type="cellIs" dxfId="1016" priority="12" operator="lessThan">
      <formula>0</formula>
    </cfRule>
  </conditionalFormatting>
  <conditionalFormatting sqref="Q58 AF58">
    <cfRule type="cellIs" dxfId="1015" priority="10" operator="greaterThan">
      <formula>1</formula>
    </cfRule>
    <cfRule type="cellIs" dxfId="1014" priority="11" operator="lessThan">
      <formula>0.8</formula>
    </cfRule>
  </conditionalFormatting>
  <conditionalFormatting sqref="R58 AG58">
    <cfRule type="cellIs" dxfId="1013" priority="13" operator="lessThan">
      <formula>0.8</formula>
    </cfRule>
  </conditionalFormatting>
  <conditionalFormatting sqref="P8">
    <cfRule type="cellIs" dxfId="1012" priority="8" operator="lessThan">
      <formula>0</formula>
    </cfRule>
  </conditionalFormatting>
  <conditionalFormatting sqref="P21">
    <cfRule type="cellIs" dxfId="1011" priority="7" operator="lessThan">
      <formula>0</formula>
    </cfRule>
  </conditionalFormatting>
  <conditionalFormatting sqref="P28">
    <cfRule type="cellIs" dxfId="1010" priority="6" operator="lessThan">
      <formula>0</formula>
    </cfRule>
  </conditionalFormatting>
  <conditionalFormatting sqref="P35">
    <cfRule type="cellIs" dxfId="1009" priority="5" operator="lessThan">
      <formula>0</formula>
    </cfRule>
  </conditionalFormatting>
  <conditionalFormatting sqref="P48">
    <cfRule type="cellIs" dxfId="1008" priority="4" operator="lessThan">
      <formula>0</formula>
    </cfRule>
  </conditionalFormatting>
  <conditionalFormatting sqref="P56">
    <cfRule type="cellIs" dxfId="1007" priority="3" operator="lessThan">
      <formula>0</formula>
    </cfRule>
  </conditionalFormatting>
  <conditionalFormatting sqref="P61">
    <cfRule type="cellIs" dxfId="1006" priority="2" operator="lessThan">
      <formula>0</formula>
    </cfRule>
  </conditionalFormatting>
  <conditionalFormatting sqref="P69">
    <cfRule type="cellIs" dxfId="1005" priority="1" operator="lessThan">
      <formula>0</formula>
    </cfRule>
  </conditionalFormatting>
  <dataValidations count="1">
    <dataValidation type="list" allowBlank="1" showInputMessage="1" showErrorMessage="1" sqref="AB8 AA5:AB7 AA8:AA60 AB10:AB57 AA61:AB69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Q13" sqref="Q13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612" t="s">
        <v>1191</v>
      </c>
      <c r="C1" s="612"/>
      <c r="D1" s="612"/>
      <c r="E1" s="612"/>
      <c r="F1" s="612"/>
      <c r="G1" s="612"/>
      <c r="H1" s="612"/>
      <c r="I1" s="612"/>
      <c r="J1" s="612"/>
      <c r="K1" s="51"/>
      <c r="L1" s="51"/>
      <c r="M1" s="51"/>
      <c r="N1" s="51"/>
      <c r="O1" s="51"/>
      <c r="P1" s="51"/>
    </row>
    <row r="2" spans="2:17" ht="27.75" customHeight="1">
      <c r="B2" s="613"/>
      <c r="C2" s="613"/>
      <c r="D2" s="613"/>
      <c r="E2" s="613"/>
      <c r="F2" s="613"/>
      <c r="G2" s="613"/>
      <c r="H2" s="613"/>
      <c r="I2" s="613"/>
      <c r="J2" s="613"/>
      <c r="K2" s="53"/>
      <c r="L2" s="53"/>
      <c r="M2" s="53"/>
      <c r="N2" s="51"/>
      <c r="O2" s="51"/>
      <c r="P2" s="51"/>
    </row>
    <row r="3" spans="2:17" ht="46.5" customHeight="1">
      <c r="B3" s="54" t="s">
        <v>1192</v>
      </c>
      <c r="C3" s="614" t="str">
        <f>TEXT('0812 4度C'!A2,"yyyy.mm.ddaaaa")</f>
        <v>2026.08.12星期三</v>
      </c>
      <c r="D3" s="615"/>
      <c r="E3" s="54" t="s">
        <v>1193</v>
      </c>
      <c r="F3" s="616">
        <f>'0812 4度C'!D1</f>
        <v>169917</v>
      </c>
      <c r="G3" s="617"/>
      <c r="H3" s="54" t="s">
        <v>1194</v>
      </c>
      <c r="I3" s="618">
        <f>'0812 4度C'!F1</f>
        <v>5892115.8499999996</v>
      </c>
      <c r="J3" s="619"/>
      <c r="K3" s="55"/>
      <c r="L3" s="56"/>
      <c r="M3" s="57"/>
      <c r="N3" s="57"/>
    </row>
    <row r="4" spans="2:17" ht="28.5" customHeight="1">
      <c r="B4" s="620" t="s">
        <v>1195</v>
      </c>
      <c r="C4" s="606" t="s">
        <v>1196</v>
      </c>
      <c r="D4" s="607"/>
      <c r="E4" s="623" t="s">
        <v>1197</v>
      </c>
      <c r="F4" s="624"/>
      <c r="G4" s="623" t="s">
        <v>1198</v>
      </c>
      <c r="H4" s="624"/>
      <c r="I4" s="623" t="s">
        <v>1199</v>
      </c>
      <c r="J4" s="624"/>
      <c r="K4" s="604" t="s">
        <v>1200</v>
      </c>
      <c r="L4" s="605"/>
      <c r="M4" s="605" t="s">
        <v>1201</v>
      </c>
      <c r="N4" s="605"/>
    </row>
    <row r="5" spans="2:17" ht="28.5" customHeight="1">
      <c r="B5" s="621"/>
      <c r="C5" s="606" t="s">
        <v>1202</v>
      </c>
      <c r="D5" s="607"/>
      <c r="E5" s="606" t="s">
        <v>1203</v>
      </c>
      <c r="F5" s="607"/>
      <c r="G5" s="608" t="s">
        <v>1204</v>
      </c>
      <c r="H5" s="609"/>
      <c r="I5" s="610" t="s">
        <v>1205</v>
      </c>
      <c r="J5" s="611"/>
      <c r="K5" s="58" t="s">
        <v>1206</v>
      </c>
      <c r="L5" s="59" t="s">
        <v>1207</v>
      </c>
      <c r="M5" s="58" t="s">
        <v>1206</v>
      </c>
      <c r="N5" s="59" t="s">
        <v>1208</v>
      </c>
    </row>
    <row r="6" spans="2:17" ht="28.5" customHeight="1">
      <c r="B6" s="621"/>
      <c r="C6" s="606" t="s">
        <v>169</v>
      </c>
      <c r="D6" s="607"/>
      <c r="E6" s="598">
        <f>AVERAGE(D13:M13)</f>
        <v>158.70630335864607</v>
      </c>
      <c r="F6" s="599">
        <f>AVERAGE(D31:O31,D13:J13)</f>
        <v>167.65125144031248</v>
      </c>
      <c r="G6" s="600">
        <f>AVERAGE(D13:J13)</f>
        <v>167.65125144031248</v>
      </c>
      <c r="H6" s="601"/>
      <c r="I6" s="600">
        <f>AVERAGE(K13:M13)</f>
        <v>137.83475783475782</v>
      </c>
      <c r="J6" s="601"/>
      <c r="K6" s="602">
        <f>'0812 4度C'!Y2</f>
        <v>0</v>
      </c>
      <c r="L6" s="587">
        <f>'0812 4度C'!Z2</f>
        <v>0</v>
      </c>
      <c r="M6" s="603">
        <f>'0812 4度C'!AC2</f>
        <v>61</v>
      </c>
      <c r="N6" s="587">
        <f>'0812 4度C'!AD2</f>
        <v>0</v>
      </c>
    </row>
    <row r="7" spans="2:17" ht="28.5" customHeight="1">
      <c r="B7" s="621"/>
      <c r="C7" s="588" t="s">
        <v>170</v>
      </c>
      <c r="D7" s="589"/>
      <c r="E7" s="590">
        <f>AVERAGE(D14:M14)</f>
        <v>151.99306338062752</v>
      </c>
      <c r="F7" s="591">
        <f>AVERAGE(D32:O32,D14:J14)</f>
        <v>160.64108977995838</v>
      </c>
      <c r="G7" s="592">
        <f>AVERAGE(D14:J14)</f>
        <v>160.64108977995838</v>
      </c>
      <c r="H7" s="593"/>
      <c r="I7" s="592">
        <f>AVERAGE(K14:M14)</f>
        <v>131.81433511552208</v>
      </c>
      <c r="J7" s="593"/>
      <c r="K7" s="602"/>
      <c r="L7" s="587"/>
      <c r="M7" s="603"/>
      <c r="N7" s="587"/>
    </row>
    <row r="8" spans="2:17" ht="28.5" customHeight="1">
      <c r="B8" s="622"/>
      <c r="C8" s="588" t="s">
        <v>171</v>
      </c>
      <c r="D8" s="589"/>
      <c r="E8" s="594">
        <f>AVERAGE(D15:M15)</f>
        <v>0.95780420549948198</v>
      </c>
      <c r="F8" s="595">
        <f>AVERAGE(D15:J15,D33:O33)</f>
        <v>0.95849159799053096</v>
      </c>
      <c r="G8" s="596">
        <f>AVERAGE(D15:J15)</f>
        <v>0.95849159799053096</v>
      </c>
      <c r="H8" s="597"/>
      <c r="I8" s="596">
        <f>AVERAGE(K15:M15)</f>
        <v>0.9562002896870343</v>
      </c>
      <c r="J8" s="597"/>
      <c r="K8" s="602"/>
      <c r="L8" s="587"/>
      <c r="M8" s="603"/>
      <c r="N8" s="587"/>
    </row>
    <row r="9" spans="2:17" ht="28.5" customHeight="1" thickBot="1">
      <c r="H9" s="61"/>
      <c r="K9" s="62" t="s">
        <v>172</v>
      </c>
      <c r="N9" s="57"/>
      <c r="O9" s="57"/>
      <c r="P9" s="57"/>
      <c r="Q9" s="57"/>
    </row>
    <row r="10" spans="2:17" ht="30" customHeight="1">
      <c r="B10" s="570" t="s">
        <v>173</v>
      </c>
      <c r="C10" s="571"/>
      <c r="D10" s="572" t="s">
        <v>174</v>
      </c>
      <c r="E10" s="573"/>
      <c r="F10" s="573"/>
      <c r="G10" s="573"/>
      <c r="H10" s="573"/>
      <c r="I10" s="573"/>
      <c r="J10" s="574"/>
      <c r="K10" s="575" t="s">
        <v>175</v>
      </c>
      <c r="L10" s="576"/>
      <c r="M10" s="577"/>
      <c r="P10" s="63"/>
      <c r="Q10" s="63"/>
    </row>
    <row r="11" spans="2:17" ht="17.25" customHeight="1">
      <c r="B11" s="578" t="s">
        <v>176</v>
      </c>
      <c r="C11" s="579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80"/>
      <c r="C12" s="581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582" t="s">
        <v>26</v>
      </c>
      <c r="C13" s="70" t="s">
        <v>240</v>
      </c>
      <c r="D13" s="71">
        <f>SUMIFS('0812 4度C'!$K:$K,'0812 4度C'!$A:$A,"新豐6線",'0812 4度C'!$B:$B,"平均")</f>
        <v>129.03225806451613</v>
      </c>
      <c r="E13" s="72">
        <f>SUMIFS('0812 4度C'!$K:$K,'0812 4度C'!$A:$A,"新豐2線",'0812 4度C'!$B:$B,"平均")</f>
        <v>86.206896551724142</v>
      </c>
      <c r="F13" s="73">
        <f>SUMIFS('0812 4度C'!$K:$K,'0812 4度C'!$A:$A,"新豐5線",'0812 4度C'!$B:$B,"平均")</f>
        <v>94.696969696969703</v>
      </c>
      <c r="G13" s="73">
        <f>SUMIFS('0812 4度C'!$K:$K,'0812 4度C'!$A:$A,"新豐7線",'0812 4度C'!$B:$B,"平均")</f>
        <v>134.61538461538461</v>
      </c>
      <c r="H13" s="73">
        <f>SUMIFS('0812 4度C'!$K:$K,'0812 4度C'!$A:$A,"新豐3線",'0812 4度C'!$B:$B,"平均")</f>
        <v>324.32432432432432</v>
      </c>
      <c r="I13" s="73">
        <f>SUMIFS('0812 4度C'!$K:$K,'0812 4度C'!$A:$A,"新豐1線",'0812 4度C'!$B:$B,"平均")</f>
        <v>112</v>
      </c>
      <c r="J13" s="74">
        <f>SUMIFS('0812 4度C'!$K:$K,'0812 4度C'!$A:$A,"新豐10線",'0812 4度C'!$B:$B,"平均")</f>
        <v>292.6829268292683</v>
      </c>
      <c r="K13" s="75">
        <f>SUMIFS('0812 4度C'!$K:$K,'0812 4度C'!$A:$A,"新豐8線",'0812 4度C'!$B:$B,"平均")</f>
        <v>143.58974358974359</v>
      </c>
      <c r="L13" s="76">
        <f>SUMIFS('0812 4度C'!$K:$K,'0812 4度C'!$A:$A,"新豐9線",'0812 4度C'!$B:$B,"平均")</f>
        <v>122.22222222222223</v>
      </c>
      <c r="M13" s="74">
        <f>SUMIFS('0812 4度C'!$K:$K,'0812 4度C'!$A:$A,"新豐4線",'0812 4度C'!$B:$B,"平均")</f>
        <v>147.69230769230768</v>
      </c>
    </row>
    <row r="14" spans="2:17" ht="39.6" customHeight="1">
      <c r="B14" s="583"/>
      <c r="C14" s="77" t="s">
        <v>1209</v>
      </c>
      <c r="D14" s="78">
        <f>SUMIFS('0812 4度C'!$N:$N,'0812 4度C'!$A:$A,"新豐6線",'0812 4度C'!$B:$B,"平均")</f>
        <v>124.32185040235761</v>
      </c>
      <c r="E14" s="79">
        <f>SUMIFS('0812 4度C'!$N:$N,'0812 4度C'!$A:$A,"新豐2線",'0812 4度C'!$B:$B,"平均")</f>
        <v>82.517775347725433</v>
      </c>
      <c r="F14" s="79">
        <f>SUMIFS('0812 4度C'!$N:$N,'0812 4度C'!$A:$A,"新豐5線",'0812 4度C'!$B:$B,"平均")</f>
        <v>90.512414474328821</v>
      </c>
      <c r="G14" s="79">
        <f>SUMIFS('0812 4度C'!$N:$N,'0812 4度C'!$A:$A,"新豐7線",'0812 4度C'!$B:$B,"平均")</f>
        <v>129.0239270809835</v>
      </c>
      <c r="H14" s="79">
        <f>SUMIFS('0812 4度C'!$N:$N,'0812 4度C'!$A:$A,"新豐3線",'0812 4度C'!$B:$B,"平均")</f>
        <v>310.18901974074328</v>
      </c>
      <c r="I14" s="79">
        <f>SUMIFS('0812 4度C'!$N:$N,'0812 4度C'!$A:$A,"新豐1線",'0812 4度C'!$B:$B,"平均")</f>
        <v>107.52137770039806</v>
      </c>
      <c r="J14" s="80">
        <f>SUMIFS('0812 4度C'!$N:$N,'0812 4度C'!$A:$A,"新豐10線",'0812 4度C'!$B:$B,"平均")</f>
        <v>280.401263713172</v>
      </c>
      <c r="K14" s="81">
        <f>SUMIFS('0812 4度C'!$N:$N,'0812 4度C'!$A:$A,"新豐8線",'0812 4度C'!$B:$B,"平均")</f>
        <v>137.1514117723236</v>
      </c>
      <c r="L14" s="82">
        <f>SUMIFS('0812 4度C'!$N:$N,'0812 4度C'!$A:$A,"新豐9線",'0812 4度C'!$B:$B,"平均")</f>
        <v>116.64896334320289</v>
      </c>
      <c r="M14" s="80">
        <f>SUMIFS('0812 4度C'!$N:$N,'0812 4度C'!$A:$A,"新豐4線",'0812 4度C'!$B:$B,"平均")</f>
        <v>141.64263023103979</v>
      </c>
    </row>
    <row r="15" spans="2:17" ht="40.15" customHeight="1">
      <c r="B15" s="584"/>
      <c r="C15" s="83" t="s">
        <v>190</v>
      </c>
      <c r="D15" s="84">
        <f t="shared" ref="D15:M15" si="0">D14/D13</f>
        <v>0.96349434061827155</v>
      </c>
      <c r="E15" s="85">
        <f t="shared" si="0"/>
        <v>0.95720619403361495</v>
      </c>
      <c r="F15" s="85">
        <f t="shared" si="0"/>
        <v>0.9558110968489123</v>
      </c>
      <c r="G15" s="85">
        <f t="shared" si="0"/>
        <v>0.95846345831587743</v>
      </c>
      <c r="H15" s="85">
        <f t="shared" si="0"/>
        <v>0.95641614420062515</v>
      </c>
      <c r="I15" s="85">
        <f t="shared" si="0"/>
        <v>0.96001230089641132</v>
      </c>
      <c r="J15" s="86">
        <f t="shared" si="0"/>
        <v>0.95803765102000427</v>
      </c>
      <c r="K15" s="84">
        <f t="shared" si="0"/>
        <v>0.95516161770011077</v>
      </c>
      <c r="L15" s="85">
        <f t="shared" si="0"/>
        <v>0.95440060917166003</v>
      </c>
      <c r="M15" s="86">
        <f t="shared" si="0"/>
        <v>0.95903864218933199</v>
      </c>
    </row>
    <row r="16" spans="2:17" ht="17.25" customHeight="1">
      <c r="B16" s="585" t="s">
        <v>1210</v>
      </c>
      <c r="C16" s="87" t="s">
        <v>1211</v>
      </c>
      <c r="D16" s="88">
        <f>VLOOKUP("新豐6線",'0812 4度C'!$A:$T,19,0)</f>
        <v>0.70833333333333337</v>
      </c>
      <c r="E16" s="89">
        <f>VLOOKUP("新豐2線",'0812 4度C'!$A:$T,19,0)</f>
        <v>8.3333333333333329E-2</v>
      </c>
      <c r="F16" s="89">
        <f>VLOOKUP("新豐5線",'0812 4度C'!$A:$T,19,0)</f>
        <v>0.20833333333333334</v>
      </c>
      <c r="G16" s="89">
        <f>VLOOKUP("新豐7線",'0812 4度C'!$A:$T,19,0)</f>
        <v>0.20833333333333334</v>
      </c>
      <c r="H16" s="89">
        <f>VLOOKUP("新豐3線",'0812 4度C'!$A:$T,19,0)</f>
        <v>0.20833333333333334</v>
      </c>
      <c r="I16" s="89">
        <f>VLOOKUP("新豐1線",'0812 4度C'!$A:$T,19,0)</f>
        <v>0.20833333333333334</v>
      </c>
      <c r="J16" s="90">
        <f>VLOOKUP("新豐10線",'0812 4度C'!$A:$T,19,0)</f>
        <v>0.20833333333333334</v>
      </c>
      <c r="K16" s="91">
        <f>VLOOKUP("新豐8線",'0812 4度C'!$A:$T,19,0)</f>
        <v>8.3333333333333329E-2</v>
      </c>
      <c r="L16" s="92">
        <f>VLOOKUP("新豐9線",'0812 4度C'!$A:$T,19,0)</f>
        <v>8.3333333333333329E-2</v>
      </c>
      <c r="M16" s="93">
        <f>VLOOKUP("新豐4線",'0812 4度C'!$A:$T,19,0)</f>
        <v>8.3333333333333329E-2</v>
      </c>
    </row>
    <row r="17" spans="2:13" ht="17.25" customHeight="1">
      <c r="B17" s="586"/>
      <c r="C17" s="87" t="s">
        <v>1212</v>
      </c>
      <c r="D17" s="91">
        <f>LOOKUP(2,1/(('0812 4度C'!$A:$A="新豐6線")*('0812 4度C'!$T:$T&lt;&gt;"")),'0812 4度C'!$T:$T)</f>
        <v>0.90694444444444444</v>
      </c>
      <c r="E17" s="89">
        <f>LOOKUP(2,1/(('0812 4度C'!$A:$A="新豐2線")*('0812 4度C'!$T:$T&lt;&gt;"")),'0812 4度C'!$T:$T)</f>
        <v>0.59444444444444444</v>
      </c>
      <c r="F17" s="89">
        <f>LOOKUP(2,1/(('0812 4度C'!$A:$A="新豐5線")*('0812 4度C'!$T:$T&lt;&gt;"")),'0812 4度C'!$T:$T)</f>
        <v>0.85</v>
      </c>
      <c r="G17" s="89">
        <f>LOOKUP(2,1/(('0812 4度C'!$A:$A="新豐7線")*('0812 4度C'!$T:$T&lt;&gt;"")),'0812 4度C'!$T:$T)</f>
        <v>0.91458333333333341</v>
      </c>
      <c r="H17" s="89">
        <f>LOOKUP(2,1/(('0812 4度C'!$A:$A="新豐3線")*('0812 4度C'!$T:$T&lt;&gt;"")),'0812 4度C'!$T:$T)</f>
        <v>0.4069444444444445</v>
      </c>
      <c r="I17" s="89">
        <f>LOOKUP(2,1/(('0812 4度C'!$A:$A="新豐1線")*('0812 4度C'!$T:$T&lt;&gt;"")),'0812 4度C'!$T:$T)</f>
        <v>0.83819444444444446</v>
      </c>
      <c r="J17" s="90">
        <f>LOOKUP(2,1/(('0812 4度C'!$A:$A="新豐10線")*('0812 4度C'!$T:$T&lt;&gt;"")),'0812 4度C'!$T:$T)</f>
        <v>0.3874999999999999</v>
      </c>
      <c r="K17" s="88">
        <f>LOOKUP(2,1/(('0812 4度C'!$A:$A="新豐8線")*('0812 4度C'!$T:$T&lt;&gt;"")),'0812 4度C'!$T:$T)</f>
        <v>0.64861111111111103</v>
      </c>
      <c r="L17" s="89">
        <f>LOOKUP(2,1/(('0812 4度C'!$A:$A="新豐9線")*('0812 4度C'!$T:$T&lt;&gt;"")),'0812 4度C'!$T:$T)</f>
        <v>0.72152777777777766</v>
      </c>
      <c r="M17" s="90">
        <f>LOOKUP(2,1/(('0812 4度C'!$A:$A="新豐4線")*('0812 4度C'!$T:$T&lt;&gt;"")),'0812 4度C'!$T:$T)</f>
        <v>0.65486111111111101</v>
      </c>
    </row>
    <row r="18" spans="2:13" ht="17.25" customHeight="1">
      <c r="B18" s="564" t="s">
        <v>194</v>
      </c>
      <c r="C18" s="94" t="s">
        <v>43</v>
      </c>
      <c r="D18" s="95">
        <f>SUMIFS('0812 4度C'!$Y:$Y,'0812 4度C'!$A:$A,"新豐6線",'0812 4度C'!$B:$B,"平均")</f>
        <v>0</v>
      </c>
      <c r="E18" s="96">
        <f>SUMIFS('0812 4度C'!$Y:$Y,'0812 4度C'!$A:$A,"新豐2線",'0812 4度C'!$B:$B,"平均")</f>
        <v>0</v>
      </c>
      <c r="F18" s="96">
        <f>SUMIFS('0812 4度C'!$Y:$Y,'0812 4度C'!$A:$A,"新豐5線",'0812 4度C'!$B:$B,"平均")</f>
        <v>0</v>
      </c>
      <c r="G18" s="96">
        <f>SUMIFS('0812 4度C'!$Y:$Y,'0812 4度C'!$A:$A,"新豐7線",'0812 4度C'!$B:$B,"平均")</f>
        <v>0</v>
      </c>
      <c r="H18" s="96">
        <f>SUMIFS('0812 4度C'!$Y:$Y,'0812 4度C'!$A:$A,"新豐3線",'0812 4度C'!$B:$B,"平均")</f>
        <v>0</v>
      </c>
      <c r="I18" s="96">
        <f>SUMIFS('0812 4度C'!$Y:$Y,'0812 4度C'!$A:$A,"新豐1線",'0812 4度C'!$B:$B,"平均")</f>
        <v>0</v>
      </c>
      <c r="J18" s="97">
        <f>SUMIFS('0812 4度C'!$Y:$Y,'0812 4度C'!$A:$A,"新豐10線",'0812 4度C'!$B:$B,"平均")</f>
        <v>0</v>
      </c>
      <c r="K18" s="98">
        <f>SUMIFS('0812 4度C'!$Y:$Y,'0812 4度C'!$A:$A,"新豐8線",'0812 4度C'!$B:$B,"平均")</f>
        <v>0</v>
      </c>
      <c r="L18" s="96">
        <f>SUMIFS('0812 4度C'!$Y:$Y,'0812 4度C'!$A:$A,"新豐9線",'0812 4度C'!$B:$B,"平均")</f>
        <v>0</v>
      </c>
      <c r="M18" s="97">
        <f>SUMIFS('0812 4度C'!$Y:$Y,'0812 4度C'!$A:$A,"新豐4線",'0812 4度C'!$B:$B,"平均")</f>
        <v>0</v>
      </c>
    </row>
    <row r="19" spans="2:13" ht="17.25" customHeight="1">
      <c r="B19" s="565"/>
      <c r="C19" s="94" t="s">
        <v>248</v>
      </c>
      <c r="D19" s="95">
        <f>SUMIFS('0812 4度C'!$Z:$Z,'0812 4度C'!$A:$A,"新豐6線",'0812 4度C'!$B:$B,"平均")</f>
        <v>0</v>
      </c>
      <c r="E19" s="96">
        <f>SUMIFS('0812 4度C'!$Z:$Z,'0812 4度C'!$A:$A,"新豐2線",'0812 4度C'!$B:$B,"平均")</f>
        <v>0</v>
      </c>
      <c r="F19" s="96">
        <f>SUMIFS('0812 4度C'!$Z:$Z,'0812 4度C'!$A:$A,"新豐5線",'0812 4度C'!$B:$B,"平均")</f>
        <v>0</v>
      </c>
      <c r="G19" s="96">
        <f>SUMIFS('0812 4度C'!$Z:$Z,'0812 4度C'!$A:$A,"新豐7線",'0812 4度C'!$B:$B,"平均")</f>
        <v>0</v>
      </c>
      <c r="H19" s="96">
        <f>SUMIFS('0812 4度C'!$Z:$Z,'0812 4度C'!$A:$A,"新豐3線",'0812 4度C'!$B:$B,"平均")</f>
        <v>0</v>
      </c>
      <c r="I19" s="96">
        <f>SUMIFS('0812 4度C'!$Z:$Z,'0812 4度C'!$A:$A,"新豐1線",'0812 4度C'!$B:$B,"平均")</f>
        <v>0</v>
      </c>
      <c r="J19" s="97">
        <f>SUMIFS('0812 4度C'!$Z:$Z,'0812 4度C'!$A:$A,"新豐10線",'0812 4度C'!$B:$B,"平均")</f>
        <v>0</v>
      </c>
      <c r="K19" s="98">
        <f>SUMIFS('0812 4度C'!$Z:$Z,'0812 4度C'!$A:$A,"新豐8線",'0812 4度C'!$B:$B,"平均")</f>
        <v>0</v>
      </c>
      <c r="L19" s="96">
        <f>SUMIFS('0812 4度C'!$Z:$Z,'0812 4度C'!$A:$A,"新豐9線",'0812 4度C'!$B:$B,"平均")</f>
        <v>0</v>
      </c>
      <c r="M19" s="97">
        <f>SUMIFS('0812 4度C'!$Z:$Z,'0812 4度C'!$A:$A,"新豐4線",'0812 4度C'!$B:$B,"平均")</f>
        <v>0</v>
      </c>
    </row>
    <row r="20" spans="2:13" ht="17.25" customHeight="1">
      <c r="B20" s="564" t="s">
        <v>249</v>
      </c>
      <c r="C20" s="94" t="s">
        <v>43</v>
      </c>
      <c r="D20" s="95">
        <f>SUMIFS('0812 4度C'!$AC:$AC,'0812 4度C'!$A:$A,"新豐6線",'0812 4度C'!$B:$B,"平均")</f>
        <v>4</v>
      </c>
      <c r="E20" s="96">
        <f>SUMIFS('0812 4度C'!$AC:$AC,'0812 4度C'!$A:$A,"新豐2線",'0812 4度C'!$B:$B,"平均")</f>
        <v>5</v>
      </c>
      <c r="F20" s="96">
        <f>SUMIFS('0812 4度C'!$AC:$AC,'0812 4度C'!$A:$A,"新豐5線",'0812 4度C'!$B:$B,"平均")</f>
        <v>7</v>
      </c>
      <c r="G20" s="96">
        <f>SUMIFS('0812 4度C'!$AC:$AC,'0812 4度C'!$A:$A,"新豐7線",'0812 4度C'!$B:$B,"平均")</f>
        <v>7</v>
      </c>
      <c r="H20" s="96">
        <f>SUMIFS('0812 4度C'!$AC:$AC,'0812 4度C'!$A:$A,"新豐3線",'0812 4度C'!$B:$B,"平均")</f>
        <v>4</v>
      </c>
      <c r="I20" s="96">
        <f>SUMIFS('0812 4度C'!$AC:$AC,'0812 4度C'!$A:$A,"新豐1線",'0812 4度C'!$B:$B,"平均")</f>
        <v>7</v>
      </c>
      <c r="J20" s="97">
        <f>SUMIFS('0812 4度C'!$AC:$AC,'0812 4度C'!$A:$A,"新豐10線",'0812 4度C'!$B:$B,"平均")</f>
        <v>4</v>
      </c>
      <c r="K20" s="98">
        <f>SUMIFS('0812 4度C'!$AC:$AC,'0812 4度C'!$A:$A,"新豐8線",'0812 4度C'!$B:$B,"平均")</f>
        <v>7</v>
      </c>
      <c r="L20" s="96">
        <f>SUMIFS('0812 4度C'!$AC:$AC,'0812 4度C'!$A:$A,"新豐9線",'0812 4度C'!$B:$B,"平均")</f>
        <v>8</v>
      </c>
      <c r="M20" s="97">
        <f>SUMIFS('0812 4度C'!$AC:$AC,'0812 4度C'!$A:$A,"新豐4線",'0812 4度C'!$B:$B,"平均")</f>
        <v>8</v>
      </c>
    </row>
    <row r="21" spans="2:13" ht="17.25" customHeight="1">
      <c r="B21" s="565"/>
      <c r="C21" s="94" t="s">
        <v>250</v>
      </c>
      <c r="D21" s="95">
        <f>SUMIFS('0812 4度C'!$AD:$AD,'0812 4度C'!$A:$A,"新豐6線",'0812 4度C'!$B:$B,"平均")</f>
        <v>0</v>
      </c>
      <c r="E21" s="96">
        <f>SUMIFS('0812 4度C'!$AD:$AD,'0812 4度C'!$A:$A,"新豐2線",'0812 4度C'!$B:$B,"平均")</f>
        <v>0</v>
      </c>
      <c r="F21" s="96">
        <f>SUMIFS('0812 4度C'!$AD:$AD,'0812 4度C'!$A:$A,"新豐5線",'0812 4度C'!$B:$B,"平均")</f>
        <v>0</v>
      </c>
      <c r="G21" s="96">
        <f>SUMIFS('0812 4度C'!$AD:$AD,'0812 4度C'!$A:$A,"新豐7線",'0812 4度C'!$B:$B,"平均")</f>
        <v>0</v>
      </c>
      <c r="H21" s="96">
        <f>SUMIFS('0812 4度C'!$AD:$AD,'0812 4度C'!$A:$A,"新豐3線",'0812 4度C'!$B:$B,"平均")</f>
        <v>0</v>
      </c>
      <c r="I21" s="96">
        <f>SUMIFS('0812 4度C'!$AD:$AD,'0812 4度C'!$A:$A,"新豐1線",'0812 4度C'!$B:$B,"平均")</f>
        <v>0</v>
      </c>
      <c r="J21" s="97">
        <f>SUMIFS('0812 4度C'!$AD:$AD,'0812 4度C'!$A:$A,"新豐10線",'0812 4度C'!$B:$B,"平均")</f>
        <v>0</v>
      </c>
      <c r="K21" s="98">
        <f>SUMIFS('0812 4度C'!$AD:$AD,'0812 4度C'!$A:$A,"新豐8線",'0812 4度C'!$B:$B,"平均")</f>
        <v>0</v>
      </c>
      <c r="L21" s="96">
        <f>SUMIFS('0812 4度C'!$AD:$AD,'0812 4度C'!$A:$A,"新豐9線",'0812 4度C'!$B:$B,"平均")</f>
        <v>0</v>
      </c>
      <c r="M21" s="97">
        <f>SUMIFS('0812 4度C'!$AD:$AD,'0812 4度C'!$A:$A,"新豐4線",'0812 4度C'!$B:$B,"平均")</f>
        <v>0</v>
      </c>
    </row>
    <row r="22" spans="2:13" ht="17.25" customHeight="1">
      <c r="B22" s="566" t="s">
        <v>460</v>
      </c>
      <c r="C22" s="567"/>
      <c r="D22" s="99">
        <f>SUMIFS('0812 4度C'!$I:$I,'0812 4度C'!$A:$A,"新豐6線",'0812 4度C'!$B:$B,"平均")</f>
        <v>15.5</v>
      </c>
      <c r="E22" s="100">
        <f>SUMIFS('0812 4度C'!$I:$I,'0812 4度C'!$A:$A,"新豐2線",'0812 4度C'!$B:$B,"平均")</f>
        <v>17.399999999999999</v>
      </c>
      <c r="F22" s="100">
        <f>SUMIFS('0812 4度C'!$I:$I,'0812 4度C'!$A:$A,"新豐5線",'0812 4度C'!$B:$B,"平均")</f>
        <v>18.857142857142858</v>
      </c>
      <c r="G22" s="100">
        <f>SUMIFS('0812 4度C'!$I:$I,'0812 4度C'!$A:$A,"新豐7線",'0812 4度C'!$B:$B,"平均")</f>
        <v>14.857142857142858</v>
      </c>
      <c r="H22" s="100">
        <f>SUMIFS('0812 4度C'!$I:$I,'0812 4度C'!$A:$A,"新豐3線",'0812 4度C'!$B:$B,"平均")</f>
        <v>9.25</v>
      </c>
      <c r="I22" s="100">
        <f>SUMIFS('0812 4度C'!$I:$I,'0812 4度C'!$A:$A,"新豐1線",'0812 4度C'!$B:$B,"平均")</f>
        <v>17.857142857142858</v>
      </c>
      <c r="J22" s="101">
        <f>SUMIFS('0812 4度C'!$I:$I,'0812 4度C'!$A:$A,"新豐10線",'0812 4度C'!$B:$B,"平均")</f>
        <v>10.25</v>
      </c>
      <c r="K22" s="99">
        <f>SUMIFS('0812 4度C'!$I:$I,'0812 4度C'!$A:$A,"新豐8線",'0812 4度C'!$B:$B,"平均")</f>
        <v>16.714285714285715</v>
      </c>
      <c r="L22" s="100">
        <f>SUMIFS('0812 4度C'!$I:$I,'0812 4度C'!$A:$A,"新豐9線",'0812 4度C'!$B:$B,"平均")</f>
        <v>18</v>
      </c>
      <c r="M22" s="101">
        <f>SUMIFS('0812 4度C'!$I:$I,'0812 4度C'!$A:$A,"新豐4線",'0812 4度C'!$B:$B,"平均")</f>
        <v>16.25</v>
      </c>
    </row>
    <row r="23" spans="2:13" ht="17.25" customHeight="1">
      <c r="B23" s="566" t="s">
        <v>201</v>
      </c>
      <c r="C23" s="567"/>
      <c r="D23" s="102" t="s">
        <v>202</v>
      </c>
      <c r="E23" s="103" t="s">
        <v>203</v>
      </c>
      <c r="F23" s="103" t="s">
        <v>204</v>
      </c>
      <c r="G23" s="103" t="s">
        <v>1213</v>
      </c>
      <c r="H23" s="103" t="s">
        <v>205</v>
      </c>
      <c r="I23" s="103" t="s">
        <v>202</v>
      </c>
      <c r="J23" s="104" t="s">
        <v>205</v>
      </c>
      <c r="K23" s="102" t="s">
        <v>1214</v>
      </c>
      <c r="L23" s="103" t="s">
        <v>206</v>
      </c>
      <c r="M23" s="104" t="s">
        <v>206</v>
      </c>
    </row>
    <row r="24" spans="2:13" ht="17.25" customHeight="1">
      <c r="B24" s="566" t="s">
        <v>257</v>
      </c>
      <c r="C24" s="567"/>
      <c r="D24" s="102"/>
      <c r="E24" s="103"/>
      <c r="F24" s="103" t="s">
        <v>258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68" t="s">
        <v>210</v>
      </c>
      <c r="C25" s="569"/>
      <c r="D25" s="105"/>
      <c r="E25" s="106" t="s">
        <v>1215</v>
      </c>
      <c r="F25" s="562" t="s">
        <v>212</v>
      </c>
      <c r="G25" s="563"/>
      <c r="H25" s="106" t="s">
        <v>262</v>
      </c>
      <c r="I25" s="106" t="s">
        <v>214</v>
      </c>
      <c r="J25" s="107" t="s">
        <v>262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1004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6"/>
  <sheetViews>
    <sheetView zoomScale="80" zoomScaleNormal="80" workbookViewId="0">
      <pane ySplit="4" topLeftCell="A5" activePane="bottomLeft" state="frozen"/>
      <selection activeCell="R9" sqref="R9"/>
      <selection pane="bottomLeft" activeCell="R5" sqref="R5:R9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41" customWidth="1"/>
    <col min="20" max="20" width="7.625" style="41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1216</v>
      </c>
      <c r="B1" s="1"/>
      <c r="C1" s="2" t="s">
        <v>1217</v>
      </c>
      <c r="D1" s="3">
        <f>SUM(F5:F75)</f>
        <v>169917</v>
      </c>
      <c r="E1" s="268" t="s">
        <v>1218</v>
      </c>
      <c r="F1" s="1">
        <f>SUM(G5:G75)</f>
        <v>5892115.8499999996</v>
      </c>
      <c r="G1" s="1" t="s">
        <v>1219</v>
      </c>
      <c r="H1" s="5">
        <f>L9+L15+L53+L61+L23+L66+L39+L48+L31+L75</f>
        <v>154.93571428571428</v>
      </c>
      <c r="I1" s="676" t="s">
        <v>1220</v>
      </c>
      <c r="J1" s="676"/>
      <c r="K1" s="676"/>
      <c r="L1" s="676" t="s">
        <v>1221</v>
      </c>
      <c r="M1" s="676"/>
      <c r="N1" s="676"/>
      <c r="O1" s="676" t="s">
        <v>1222</v>
      </c>
      <c r="P1" s="676"/>
      <c r="Q1" s="676"/>
      <c r="R1" s="676"/>
      <c r="S1" s="676" t="s">
        <v>1223</v>
      </c>
      <c r="T1" s="676"/>
      <c r="U1" s="676"/>
      <c r="V1" s="676"/>
      <c r="W1" s="676"/>
      <c r="X1" s="676"/>
      <c r="Y1" s="6" t="s">
        <v>1224</v>
      </c>
      <c r="Z1" s="7" t="s">
        <v>1225</v>
      </c>
      <c r="AA1" s="677" t="s">
        <v>1226</v>
      </c>
      <c r="AB1" s="677"/>
      <c r="AC1" s="8" t="s">
        <v>1224</v>
      </c>
      <c r="AD1" s="7" t="s">
        <v>1227</v>
      </c>
      <c r="AE1" s="676" t="s">
        <v>1228</v>
      </c>
      <c r="AF1" s="678"/>
      <c r="AG1" s="678"/>
    </row>
    <row r="2" spans="1:33" ht="26.25" customHeight="1">
      <c r="A2" s="35">
        <v>46246</v>
      </c>
      <c r="B2" s="36" t="s">
        <v>583</v>
      </c>
      <c r="C2" s="2" t="s">
        <v>1229</v>
      </c>
      <c r="D2" s="10">
        <f>AVERAGE(N9,N15,N53,N61,N23,N66,N31,N39,N48,N75)</f>
        <v>151.99306338062746</v>
      </c>
      <c r="E2" s="11" t="s">
        <v>14</v>
      </c>
      <c r="F2" s="12">
        <f>F1/D1</f>
        <v>34.676435259567903</v>
      </c>
      <c r="G2" s="1" t="s">
        <v>1230</v>
      </c>
      <c r="H2" s="276">
        <f>COUNT(H5:H75)</f>
        <v>10</v>
      </c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14">
        <f>SUM(Y9+Y15+Y23+Y31+Y39+Y48+Y53+Y61+Y66+Y75)</f>
        <v>0</v>
      </c>
      <c r="Z2" s="14">
        <f>SUM(Z9+Z15+Z23+Z31+Z39+Z48+Z53+Z61+Z66+Z75)</f>
        <v>0</v>
      </c>
      <c r="AA2" s="677"/>
      <c r="AB2" s="677"/>
      <c r="AC2" s="14">
        <v>61</v>
      </c>
      <c r="AD2" s="14">
        <f>SUM(AD9+AD15+AD23+AD31+AD39+AD48+AD53+AD61+AD66+AD75)</f>
        <v>0</v>
      </c>
      <c r="AE2" s="678"/>
      <c r="AF2" s="678"/>
      <c r="AG2" s="678"/>
    </row>
    <row r="3" spans="1:33" ht="40.5" customHeight="1">
      <c r="A3" s="632" t="s">
        <v>1231</v>
      </c>
      <c r="B3" s="632" t="s">
        <v>1232</v>
      </c>
      <c r="C3" s="632" t="s">
        <v>1233</v>
      </c>
      <c r="D3" s="632"/>
      <c r="E3" s="674" t="s">
        <v>1234</v>
      </c>
      <c r="F3" s="632" t="s">
        <v>1235</v>
      </c>
      <c r="G3" s="674" t="s">
        <v>1236</v>
      </c>
      <c r="H3" s="667" t="s">
        <v>1237</v>
      </c>
      <c r="I3" s="665" t="s">
        <v>1238</v>
      </c>
      <c r="J3" s="662" t="s">
        <v>1239</v>
      </c>
      <c r="K3" s="672" t="s">
        <v>1229</v>
      </c>
      <c r="L3" s="665" t="s">
        <v>1238</v>
      </c>
      <c r="M3" s="662" t="s">
        <v>1239</v>
      </c>
      <c r="N3" s="672" t="s">
        <v>1229</v>
      </c>
      <c r="O3" s="665" t="s">
        <v>1238</v>
      </c>
      <c r="P3" s="672" t="s">
        <v>1229</v>
      </c>
      <c r="Q3" s="663" t="s">
        <v>1240</v>
      </c>
      <c r="R3" s="641" t="s">
        <v>1241</v>
      </c>
      <c r="S3" s="673" t="s">
        <v>29</v>
      </c>
      <c r="T3" s="673"/>
      <c r="U3" s="667" t="s">
        <v>30</v>
      </c>
      <c r="V3" s="667" t="s">
        <v>1242</v>
      </c>
      <c r="W3" s="632" t="s">
        <v>1243</v>
      </c>
      <c r="X3" s="632"/>
      <c r="Y3" s="668" t="s">
        <v>1244</v>
      </c>
      <c r="Z3" s="631"/>
      <c r="AA3" s="669" t="s">
        <v>1245</v>
      </c>
      <c r="AB3" s="670"/>
      <c r="AC3" s="668" t="s">
        <v>1246</v>
      </c>
      <c r="AD3" s="631"/>
      <c r="AE3" s="662" t="s">
        <v>1247</v>
      </c>
      <c r="AF3" s="663" t="s">
        <v>1248</v>
      </c>
      <c r="AG3" s="641" t="s">
        <v>1249</v>
      </c>
    </row>
    <row r="4" spans="1:33" ht="15.75" customHeight="1">
      <c r="A4" s="632"/>
      <c r="B4" s="632"/>
      <c r="C4" s="632"/>
      <c r="D4" s="632"/>
      <c r="E4" s="675"/>
      <c r="F4" s="632"/>
      <c r="G4" s="675"/>
      <c r="H4" s="667"/>
      <c r="I4" s="665"/>
      <c r="J4" s="662"/>
      <c r="K4" s="672"/>
      <c r="L4" s="665"/>
      <c r="M4" s="662"/>
      <c r="N4" s="672"/>
      <c r="O4" s="665"/>
      <c r="P4" s="672"/>
      <c r="Q4" s="663"/>
      <c r="R4" s="641"/>
      <c r="S4" s="275" t="s">
        <v>39</v>
      </c>
      <c r="T4" s="275" t="s">
        <v>40</v>
      </c>
      <c r="U4" s="667"/>
      <c r="V4" s="667"/>
      <c r="W4" s="268" t="s">
        <v>1250</v>
      </c>
      <c r="X4" s="268" t="s">
        <v>1251</v>
      </c>
      <c r="Y4" s="267" t="s">
        <v>1252</v>
      </c>
      <c r="Z4" s="267" t="s">
        <v>1253</v>
      </c>
      <c r="AA4" s="671"/>
      <c r="AB4" s="670"/>
      <c r="AC4" s="267" t="s">
        <v>1254</v>
      </c>
      <c r="AD4" s="267" t="s">
        <v>1255</v>
      </c>
      <c r="AE4" s="662"/>
      <c r="AF4" s="663"/>
      <c r="AG4" s="641"/>
    </row>
    <row r="5" spans="1:33">
      <c r="A5" s="664" t="s">
        <v>1256</v>
      </c>
      <c r="B5" s="42" t="s">
        <v>92</v>
      </c>
      <c r="C5" s="666" t="s">
        <v>93</v>
      </c>
      <c r="D5" s="666"/>
      <c r="E5" s="42">
        <v>50.92</v>
      </c>
      <c r="F5" s="275">
        <v>2337</v>
      </c>
      <c r="G5" s="268">
        <f t="shared" ref="G5:G8" si="0">E5*F5</f>
        <v>119000.04000000001</v>
      </c>
      <c r="H5" s="37" t="s">
        <v>91</v>
      </c>
      <c r="I5" s="273">
        <v>15</v>
      </c>
      <c r="J5" s="39">
        <v>2000</v>
      </c>
      <c r="K5" s="17">
        <f t="shared" ref="K5:K68" si="1">J5/I5</f>
        <v>133.33333333333334</v>
      </c>
      <c r="L5" s="273">
        <v>15</v>
      </c>
      <c r="M5" s="18">
        <f t="shared" ref="M5:M8" si="2">F5/V5*60</f>
        <v>1920.8219178082179</v>
      </c>
      <c r="N5" s="17">
        <f t="shared" ref="N5:N68" si="3">M5/L5</f>
        <v>128.05479452054786</v>
      </c>
      <c r="O5" s="19">
        <f t="shared" ref="O5:O68" si="4">L5-I5</f>
        <v>0</v>
      </c>
      <c r="P5" s="20">
        <f t="shared" ref="P5:P68" si="5">N5-K5</f>
        <v>-5.2785388127854844</v>
      </c>
      <c r="Q5" s="269">
        <f t="shared" ref="Q5:Q68" si="6">N5/K5</f>
        <v>0.96041095890410888</v>
      </c>
      <c r="R5" s="637">
        <f>Q9</f>
        <v>0.96349434061827155</v>
      </c>
      <c r="S5" s="40">
        <v>0.70833333333333337</v>
      </c>
      <c r="T5" s="40">
        <v>0.75902777777777786</v>
      </c>
      <c r="U5" s="268"/>
      <c r="V5" s="274">
        <f t="shared" ref="V5:V8" si="7">(T5-S5)*24*60</f>
        <v>73.000000000000057</v>
      </c>
      <c r="W5" s="23"/>
      <c r="X5" s="23"/>
      <c r="Y5" s="24"/>
      <c r="Z5" s="24"/>
      <c r="AA5" s="632"/>
      <c r="AB5" s="632"/>
      <c r="AC5" s="25">
        <v>4</v>
      </c>
      <c r="AD5" s="25"/>
      <c r="AE5" s="19">
        <f t="shared" ref="AE5:AE60" si="8">M5-J5</f>
        <v>-79.178082191782096</v>
      </c>
      <c r="AF5" s="269">
        <f t="shared" ref="AF5:AF68" si="9">M5/J5</f>
        <v>0.96041095890410899</v>
      </c>
      <c r="AG5" s="637">
        <f>AF9</f>
        <v>0.96349434061827155</v>
      </c>
    </row>
    <row r="6" spans="1:33">
      <c r="A6" s="665" t="s">
        <v>1257</v>
      </c>
      <c r="B6" s="42" t="s">
        <v>92</v>
      </c>
      <c r="C6" s="666" t="s">
        <v>94</v>
      </c>
      <c r="D6" s="666"/>
      <c r="E6" s="42">
        <v>50.98</v>
      </c>
      <c r="F6" s="275">
        <v>1000</v>
      </c>
      <c r="G6" s="268">
        <f t="shared" si="0"/>
        <v>50980</v>
      </c>
      <c r="H6" s="37">
        <v>2</v>
      </c>
      <c r="I6" s="273">
        <v>16</v>
      </c>
      <c r="J6" s="39">
        <v>2000</v>
      </c>
      <c r="K6" s="17">
        <f t="shared" si="1"/>
        <v>125</v>
      </c>
      <c r="L6" s="273">
        <v>16</v>
      </c>
      <c r="M6" s="18">
        <f t="shared" si="2"/>
        <v>1935.483870967739</v>
      </c>
      <c r="N6" s="17">
        <f t="shared" si="3"/>
        <v>120.96774193548369</v>
      </c>
      <c r="O6" s="19">
        <f t="shared" si="4"/>
        <v>0</v>
      </c>
      <c r="P6" s="20">
        <f t="shared" si="5"/>
        <v>-4.0322580645163129</v>
      </c>
      <c r="Q6" s="269">
        <f t="shared" si="6"/>
        <v>0.96774193548386944</v>
      </c>
      <c r="R6" s="637"/>
      <c r="S6" s="40">
        <v>0.76388888888888895</v>
      </c>
      <c r="T6" s="40">
        <v>0.78541666666666676</v>
      </c>
      <c r="U6" s="268">
        <f t="shared" ref="U6:U8" si="10">IF(S6=TIME(17,0,0),"",(S6-T5)*24*60)</f>
        <v>6.9999999999999751</v>
      </c>
      <c r="V6" s="274">
        <f t="shared" si="7"/>
        <v>31.00000000000005</v>
      </c>
      <c r="W6" s="23"/>
      <c r="X6" s="23"/>
      <c r="Y6" s="23"/>
      <c r="Z6" s="23"/>
      <c r="AA6" s="632"/>
      <c r="AB6" s="632"/>
      <c r="AC6" s="25"/>
      <c r="AD6" s="25"/>
      <c r="AE6" s="19">
        <f t="shared" si="8"/>
        <v>-64.516129032261006</v>
      </c>
      <c r="AF6" s="269">
        <f t="shared" si="9"/>
        <v>0.96774193548386944</v>
      </c>
      <c r="AG6" s="637"/>
    </row>
    <row r="7" spans="1:33">
      <c r="A7" s="665" t="s">
        <v>1257</v>
      </c>
      <c r="B7" s="42" t="s">
        <v>92</v>
      </c>
      <c r="C7" s="660" t="s">
        <v>109</v>
      </c>
      <c r="D7" s="661"/>
      <c r="E7" s="42">
        <v>50.49</v>
      </c>
      <c r="F7" s="275">
        <v>2040</v>
      </c>
      <c r="G7" s="268">
        <f t="shared" si="0"/>
        <v>102999.6</v>
      </c>
      <c r="H7" s="37" t="s">
        <v>91</v>
      </c>
      <c r="I7" s="273">
        <v>15</v>
      </c>
      <c r="J7" s="39">
        <v>2000</v>
      </c>
      <c r="K7" s="17">
        <f t="shared" si="1"/>
        <v>133.33333333333334</v>
      </c>
      <c r="L7" s="273">
        <v>15</v>
      </c>
      <c r="M7" s="18">
        <f t="shared" si="2"/>
        <v>1912.500000000002</v>
      </c>
      <c r="N7" s="17">
        <f t="shared" si="3"/>
        <v>127.50000000000014</v>
      </c>
      <c r="O7" s="19">
        <f t="shared" si="4"/>
        <v>0</v>
      </c>
      <c r="P7" s="20">
        <f t="shared" si="5"/>
        <v>-5.8333333333332007</v>
      </c>
      <c r="Q7" s="269">
        <f t="shared" si="6"/>
        <v>0.95625000000000104</v>
      </c>
      <c r="R7" s="637"/>
      <c r="S7" s="40">
        <v>0.79027777777777786</v>
      </c>
      <c r="T7" s="40">
        <v>0.83472222222222225</v>
      </c>
      <c r="U7" s="268">
        <f t="shared" si="10"/>
        <v>6.9999999999999751</v>
      </c>
      <c r="V7" s="274">
        <f t="shared" si="7"/>
        <v>63.999999999999929</v>
      </c>
      <c r="W7" s="23">
        <f>T7</f>
        <v>0.83472222222222225</v>
      </c>
      <c r="X7" s="23">
        <f>S8</f>
        <v>0.87430555555555556</v>
      </c>
      <c r="Y7" s="26"/>
      <c r="Z7" s="26"/>
      <c r="AA7" s="627"/>
      <c r="AB7" s="628"/>
      <c r="AC7" s="27"/>
      <c r="AD7" s="27"/>
      <c r="AE7" s="19">
        <f t="shared" si="8"/>
        <v>-87.499999999997954</v>
      </c>
      <c r="AF7" s="269">
        <f t="shared" si="9"/>
        <v>0.95625000000000104</v>
      </c>
      <c r="AG7" s="637"/>
    </row>
    <row r="8" spans="1:33">
      <c r="A8" s="665" t="s">
        <v>1258</v>
      </c>
      <c r="B8" s="42" t="s">
        <v>92</v>
      </c>
      <c r="C8" s="660" t="s">
        <v>94</v>
      </c>
      <c r="D8" s="661"/>
      <c r="E8" s="42">
        <v>50.98</v>
      </c>
      <c r="F8" s="275">
        <v>1519</v>
      </c>
      <c r="G8" s="268">
        <f t="shared" si="0"/>
        <v>77438.62</v>
      </c>
      <c r="H8" s="37" t="s">
        <v>91</v>
      </c>
      <c r="I8" s="273">
        <v>16</v>
      </c>
      <c r="J8" s="39">
        <v>2000</v>
      </c>
      <c r="K8" s="17">
        <f t="shared" si="1"/>
        <v>125</v>
      </c>
      <c r="L8" s="273">
        <v>16</v>
      </c>
      <c r="M8" s="18">
        <f t="shared" si="2"/>
        <v>1939.1489361702129</v>
      </c>
      <c r="N8" s="17">
        <f t="shared" si="3"/>
        <v>121.19680851063831</v>
      </c>
      <c r="O8" s="19">
        <f t="shared" si="4"/>
        <v>0</v>
      </c>
      <c r="P8" s="20">
        <f t="shared" si="5"/>
        <v>-3.8031914893616943</v>
      </c>
      <c r="Q8" s="269">
        <f t="shared" si="6"/>
        <v>0.9695744680851065</v>
      </c>
      <c r="R8" s="637"/>
      <c r="S8" s="40">
        <v>0.87430555555555556</v>
      </c>
      <c r="T8" s="40">
        <v>0.90694444444444444</v>
      </c>
      <c r="U8" s="268">
        <f t="shared" si="10"/>
        <v>56.999999999999957</v>
      </c>
      <c r="V8" s="274">
        <f t="shared" si="7"/>
        <v>46.999999999999993</v>
      </c>
      <c r="W8" s="28"/>
      <c r="X8" s="28"/>
      <c r="Y8" s="136"/>
      <c r="Z8" s="136"/>
      <c r="AA8" s="627"/>
      <c r="AB8" s="628"/>
      <c r="AC8" s="27"/>
      <c r="AD8" s="27"/>
      <c r="AE8" s="19">
        <f t="shared" si="8"/>
        <v>-60.851063829787108</v>
      </c>
      <c r="AF8" s="269">
        <f t="shared" si="9"/>
        <v>0.9695744680851065</v>
      </c>
      <c r="AG8" s="637"/>
    </row>
    <row r="9" spans="1:33">
      <c r="A9" s="665" t="s">
        <v>1259</v>
      </c>
      <c r="B9" s="42" t="s">
        <v>1260</v>
      </c>
      <c r="C9" s="638"/>
      <c r="D9" s="638"/>
      <c r="E9" s="270"/>
      <c r="F9" s="44"/>
      <c r="G9" s="17"/>
      <c r="H9" s="275"/>
      <c r="I9" s="29">
        <v>15.5</v>
      </c>
      <c r="J9" s="39">
        <v>2000</v>
      </c>
      <c r="K9" s="17">
        <f t="shared" si="1"/>
        <v>129.03225806451613</v>
      </c>
      <c r="L9" s="29">
        <v>15.5</v>
      </c>
      <c r="M9" s="18">
        <f>AVERAGE(M5:M8)</f>
        <v>1926.988681236543</v>
      </c>
      <c r="N9" s="17">
        <f t="shared" si="3"/>
        <v>124.32185040235761</v>
      </c>
      <c r="O9" s="19">
        <f t="shared" si="4"/>
        <v>0</v>
      </c>
      <c r="P9" s="20">
        <f t="shared" si="5"/>
        <v>-4.7104076621585165</v>
      </c>
      <c r="Q9" s="269">
        <f t="shared" si="6"/>
        <v>0.96349434061827155</v>
      </c>
      <c r="R9" s="637"/>
      <c r="S9" s="40"/>
      <c r="T9" s="40"/>
      <c r="U9" s="268"/>
      <c r="V9" s="274"/>
      <c r="W9" s="17"/>
      <c r="X9" s="17"/>
      <c r="Y9" s="30">
        <f>SUM(Y5:Y8)</f>
        <v>0</v>
      </c>
      <c r="Z9" s="30">
        <f>SUM(Z5:Z8)</f>
        <v>0</v>
      </c>
      <c r="AA9" s="631"/>
      <c r="AB9" s="631"/>
      <c r="AC9" s="30">
        <v>4</v>
      </c>
      <c r="AD9" s="30">
        <f>SUM(AD5:AD8)</f>
        <v>0</v>
      </c>
      <c r="AE9" s="19">
        <f t="shared" si="8"/>
        <v>-73.011318763456984</v>
      </c>
      <c r="AF9" s="269">
        <f t="shared" si="9"/>
        <v>0.96349434061827155</v>
      </c>
      <c r="AG9" s="637"/>
    </row>
    <row r="10" spans="1:33" ht="15.75" customHeight="1">
      <c r="A10" s="659" t="s">
        <v>1261</v>
      </c>
      <c r="B10" s="42" t="s">
        <v>96</v>
      </c>
      <c r="C10" s="660" t="s">
        <v>97</v>
      </c>
      <c r="D10" s="661"/>
      <c r="E10" s="42">
        <v>39.799999999999997</v>
      </c>
      <c r="F10" s="275">
        <v>3500</v>
      </c>
      <c r="G10" s="268">
        <f t="shared" ref="G10:G14" si="11">E10*F10</f>
        <v>139300</v>
      </c>
      <c r="H10" s="37">
        <v>2</v>
      </c>
      <c r="I10" s="273">
        <v>17</v>
      </c>
      <c r="J10" s="39">
        <v>1500</v>
      </c>
      <c r="K10" s="17">
        <f t="shared" si="1"/>
        <v>88.235294117647058</v>
      </c>
      <c r="L10" s="273">
        <v>17</v>
      </c>
      <c r="M10" s="18">
        <f t="shared" ref="M10:M14" si="12">F10/V10*60</f>
        <v>1438.3561643835617</v>
      </c>
      <c r="N10" s="17">
        <f t="shared" si="3"/>
        <v>84.609186140209516</v>
      </c>
      <c r="O10" s="19">
        <f t="shared" si="4"/>
        <v>0</v>
      </c>
      <c r="P10" s="20">
        <f t="shared" si="5"/>
        <v>-3.6261079774375418</v>
      </c>
      <c r="Q10" s="269">
        <f t="shared" si="6"/>
        <v>0.95890410958904115</v>
      </c>
      <c r="R10" s="637">
        <f>Q15</f>
        <v>0.95720619403361495</v>
      </c>
      <c r="S10" s="40">
        <v>8.3333333333333329E-2</v>
      </c>
      <c r="T10" s="40">
        <v>0.1847222222222222</v>
      </c>
      <c r="U10" s="268"/>
      <c r="V10" s="274">
        <f t="shared" ref="V10:V14" si="13">(T10-S10)*24*60</f>
        <v>146</v>
      </c>
      <c r="W10" s="23">
        <f>T10</f>
        <v>0.1847222222222222</v>
      </c>
      <c r="X10" s="23">
        <f>S11</f>
        <v>0.20555555555555555</v>
      </c>
      <c r="Y10" s="23"/>
      <c r="Z10" s="23"/>
      <c r="AA10" s="632"/>
      <c r="AB10" s="632"/>
      <c r="AC10" s="25">
        <v>5</v>
      </c>
      <c r="AD10" s="25"/>
      <c r="AE10" s="19">
        <f t="shared" si="8"/>
        <v>-61.643835616438309</v>
      </c>
      <c r="AF10" s="269">
        <f t="shared" si="9"/>
        <v>0.95890410958904115</v>
      </c>
      <c r="AG10" s="637">
        <f>AF15</f>
        <v>0.95720619403361495</v>
      </c>
    </row>
    <row r="11" spans="1:33" ht="15.75" customHeight="1">
      <c r="A11" s="659" t="s">
        <v>1262</v>
      </c>
      <c r="B11" s="42" t="s">
        <v>96</v>
      </c>
      <c r="C11" s="660" t="s">
        <v>98</v>
      </c>
      <c r="D11" s="661"/>
      <c r="E11" s="42">
        <v>39.46</v>
      </c>
      <c r="F11" s="275">
        <v>2393</v>
      </c>
      <c r="G11" s="268">
        <f t="shared" si="11"/>
        <v>94427.78</v>
      </c>
      <c r="H11" s="37" t="s">
        <v>91</v>
      </c>
      <c r="I11" s="273">
        <v>15</v>
      </c>
      <c r="J11" s="39">
        <v>1500</v>
      </c>
      <c r="K11" s="17">
        <f t="shared" si="1"/>
        <v>100</v>
      </c>
      <c r="L11" s="273">
        <v>15</v>
      </c>
      <c r="M11" s="18">
        <f t="shared" si="12"/>
        <v>1435.7999999999993</v>
      </c>
      <c r="N11" s="17">
        <f t="shared" si="3"/>
        <v>95.719999999999956</v>
      </c>
      <c r="O11" s="19">
        <f t="shared" si="4"/>
        <v>0</v>
      </c>
      <c r="P11" s="20">
        <f t="shared" si="5"/>
        <v>-4.2800000000000438</v>
      </c>
      <c r="Q11" s="269">
        <f t="shared" si="6"/>
        <v>0.95719999999999961</v>
      </c>
      <c r="R11" s="637"/>
      <c r="S11" s="40">
        <v>0.20555555555555555</v>
      </c>
      <c r="T11" s="40">
        <v>0.27500000000000002</v>
      </c>
      <c r="U11" s="268">
        <f t="shared" ref="U11:U14" si="14">IF(S11=TIME(17,0,0),"",(S11-T10)*24*60)</f>
        <v>30.000000000000014</v>
      </c>
      <c r="V11" s="274">
        <f t="shared" si="13"/>
        <v>100.00000000000004</v>
      </c>
      <c r="W11" s="23"/>
      <c r="X11" s="23"/>
      <c r="Y11" s="23"/>
      <c r="Z11" s="23"/>
      <c r="AA11" s="632"/>
      <c r="AB11" s="632"/>
      <c r="AC11" s="25"/>
      <c r="AD11" s="25"/>
      <c r="AE11" s="19">
        <f t="shared" si="8"/>
        <v>-64.200000000000728</v>
      </c>
      <c r="AF11" s="269">
        <f t="shared" si="9"/>
        <v>0.9571999999999995</v>
      </c>
      <c r="AG11" s="637"/>
    </row>
    <row r="12" spans="1:33" ht="15.75" customHeight="1">
      <c r="A12" s="659" t="s">
        <v>1262</v>
      </c>
      <c r="B12" s="42" t="s">
        <v>96</v>
      </c>
      <c r="C12" s="660" t="s">
        <v>99</v>
      </c>
      <c r="D12" s="661"/>
      <c r="E12" s="42">
        <v>39.520000000000003</v>
      </c>
      <c r="F12" s="275">
        <v>2102</v>
      </c>
      <c r="G12" s="268">
        <f t="shared" si="11"/>
        <v>83071.040000000008</v>
      </c>
      <c r="H12" s="37" t="s">
        <v>91</v>
      </c>
      <c r="I12" s="273">
        <v>19</v>
      </c>
      <c r="J12" s="39">
        <v>1500</v>
      </c>
      <c r="K12" s="17">
        <f t="shared" si="1"/>
        <v>78.94736842105263</v>
      </c>
      <c r="L12" s="273">
        <v>19</v>
      </c>
      <c r="M12" s="18">
        <f t="shared" si="12"/>
        <v>1433.1818181818182</v>
      </c>
      <c r="N12" s="17">
        <f t="shared" si="3"/>
        <v>75.430622009569376</v>
      </c>
      <c r="O12" s="19">
        <f t="shared" si="4"/>
        <v>0</v>
      </c>
      <c r="P12" s="20">
        <f t="shared" si="5"/>
        <v>-3.5167464114832541</v>
      </c>
      <c r="Q12" s="269">
        <f t="shared" si="6"/>
        <v>0.95545454545454545</v>
      </c>
      <c r="R12" s="637"/>
      <c r="S12" s="40">
        <v>0.27986111111111112</v>
      </c>
      <c r="T12" s="40">
        <v>0.34097222222222223</v>
      </c>
      <c r="U12" s="268">
        <f t="shared" si="14"/>
        <v>6.9999999999999751</v>
      </c>
      <c r="V12" s="274">
        <f t="shared" si="13"/>
        <v>88</v>
      </c>
      <c r="W12" s="23"/>
      <c r="X12" s="23"/>
      <c r="Y12" s="23"/>
      <c r="Z12" s="23"/>
      <c r="AA12" s="632"/>
      <c r="AB12" s="632"/>
      <c r="AC12" s="25"/>
      <c r="AD12" s="25"/>
      <c r="AE12" s="19">
        <f t="shared" si="8"/>
        <v>-66.818181818181756</v>
      </c>
      <c r="AF12" s="269">
        <f t="shared" si="9"/>
        <v>0.95545454545454545</v>
      </c>
      <c r="AG12" s="637"/>
    </row>
    <row r="13" spans="1:33" ht="15.75" customHeight="1">
      <c r="A13" s="659" t="s">
        <v>1261</v>
      </c>
      <c r="B13" s="42" t="s">
        <v>96</v>
      </c>
      <c r="C13" s="660" t="s">
        <v>100</v>
      </c>
      <c r="D13" s="661"/>
      <c r="E13" s="42">
        <v>39.619999999999997</v>
      </c>
      <c r="F13" s="275">
        <v>4389</v>
      </c>
      <c r="G13" s="268">
        <f t="shared" si="11"/>
        <v>173892.18</v>
      </c>
      <c r="H13" s="37" t="s">
        <v>91</v>
      </c>
      <c r="I13" s="273">
        <v>19</v>
      </c>
      <c r="J13" s="39">
        <v>1500</v>
      </c>
      <c r="K13" s="17">
        <f t="shared" si="1"/>
        <v>78.94736842105263</v>
      </c>
      <c r="L13" s="273">
        <v>19</v>
      </c>
      <c r="M13" s="18">
        <f t="shared" si="12"/>
        <v>1431.195652173913</v>
      </c>
      <c r="N13" s="17">
        <f t="shared" si="3"/>
        <v>75.326086956521735</v>
      </c>
      <c r="O13" s="19">
        <f t="shared" si="4"/>
        <v>0</v>
      </c>
      <c r="P13" s="20">
        <f t="shared" si="5"/>
        <v>-3.6212814645308953</v>
      </c>
      <c r="Q13" s="269">
        <f t="shared" si="6"/>
        <v>0.95413043478260862</v>
      </c>
      <c r="R13" s="637"/>
      <c r="S13" s="40">
        <v>0.34444444444444444</v>
      </c>
      <c r="T13" s="40">
        <v>0.47222222222222221</v>
      </c>
      <c r="U13" s="268">
        <f t="shared" si="14"/>
        <v>4.9999999999999822</v>
      </c>
      <c r="V13" s="274">
        <f t="shared" si="13"/>
        <v>184</v>
      </c>
      <c r="W13" s="23">
        <f>T13</f>
        <v>0.47222222222222221</v>
      </c>
      <c r="X13" s="23">
        <f>S14</f>
        <v>0.5131944444444444</v>
      </c>
      <c r="Y13" s="23"/>
      <c r="Z13" s="23"/>
      <c r="AA13" s="627"/>
      <c r="AB13" s="628"/>
      <c r="AC13" s="25"/>
      <c r="AD13" s="25"/>
      <c r="AE13" s="19">
        <f t="shared" si="8"/>
        <v>-68.804347826086996</v>
      </c>
      <c r="AF13" s="269">
        <f t="shared" si="9"/>
        <v>0.95413043478260862</v>
      </c>
      <c r="AG13" s="637"/>
    </row>
    <row r="14" spans="1:33" ht="15.75" customHeight="1">
      <c r="A14" s="659" t="s">
        <v>1263</v>
      </c>
      <c r="B14" s="42" t="s">
        <v>96</v>
      </c>
      <c r="C14" s="660" t="s">
        <v>97</v>
      </c>
      <c r="D14" s="661"/>
      <c r="E14" s="42">
        <v>39.799999999999997</v>
      </c>
      <c r="F14" s="275">
        <v>2809</v>
      </c>
      <c r="G14" s="268">
        <f t="shared" si="11"/>
        <v>111798.2</v>
      </c>
      <c r="H14" s="37" t="s">
        <v>91</v>
      </c>
      <c r="I14" s="273">
        <v>17</v>
      </c>
      <c r="J14" s="39">
        <v>1500</v>
      </c>
      <c r="K14" s="17">
        <f t="shared" si="1"/>
        <v>88.235294117647058</v>
      </c>
      <c r="L14" s="273">
        <v>17</v>
      </c>
      <c r="M14" s="18">
        <f t="shared" si="12"/>
        <v>1440.5128205128199</v>
      </c>
      <c r="N14" s="17">
        <f t="shared" si="3"/>
        <v>84.736048265459999</v>
      </c>
      <c r="O14" s="19">
        <f t="shared" si="4"/>
        <v>0</v>
      </c>
      <c r="P14" s="20">
        <f t="shared" si="5"/>
        <v>-3.4992458521870589</v>
      </c>
      <c r="Q14" s="269">
        <f t="shared" si="6"/>
        <v>0.96034188034187995</v>
      </c>
      <c r="R14" s="637"/>
      <c r="S14" s="40">
        <v>0.5131944444444444</v>
      </c>
      <c r="T14" s="40">
        <v>0.59444444444444444</v>
      </c>
      <c r="U14" s="268">
        <f t="shared" si="14"/>
        <v>58.99999999999995</v>
      </c>
      <c r="V14" s="274">
        <f t="shared" si="13"/>
        <v>117.00000000000006</v>
      </c>
      <c r="W14" s="23"/>
      <c r="X14" s="23"/>
      <c r="Y14" s="26"/>
      <c r="Z14" s="26"/>
      <c r="AA14" s="627"/>
      <c r="AB14" s="628"/>
      <c r="AC14" s="25"/>
      <c r="AD14" s="25"/>
      <c r="AE14" s="19">
        <f t="shared" si="8"/>
        <v>-59.487179487180128</v>
      </c>
      <c r="AF14" s="269">
        <f t="shared" si="9"/>
        <v>0.96034188034187995</v>
      </c>
      <c r="AG14" s="637"/>
    </row>
    <row r="15" spans="1:33" ht="16.5" customHeight="1">
      <c r="A15" s="659" t="s">
        <v>1261</v>
      </c>
      <c r="B15" s="42" t="s">
        <v>1260</v>
      </c>
      <c r="C15" s="638"/>
      <c r="D15" s="638"/>
      <c r="E15" s="270"/>
      <c r="F15" s="39"/>
      <c r="G15" s="18"/>
      <c r="H15" s="275"/>
      <c r="I15" s="29">
        <v>17.399999999999999</v>
      </c>
      <c r="J15" s="39">
        <v>1500</v>
      </c>
      <c r="K15" s="17">
        <f t="shared" si="1"/>
        <v>86.206896551724142</v>
      </c>
      <c r="L15" s="29">
        <v>17.399999999999999</v>
      </c>
      <c r="M15" s="18">
        <f>AVERAGE(M10:M14)</f>
        <v>1435.8092910504224</v>
      </c>
      <c r="N15" s="17">
        <f t="shared" si="3"/>
        <v>82.517775347725433</v>
      </c>
      <c r="O15" s="19">
        <f t="shared" si="4"/>
        <v>0</v>
      </c>
      <c r="P15" s="20">
        <f t="shared" si="5"/>
        <v>-3.6891212039987096</v>
      </c>
      <c r="Q15" s="269">
        <f t="shared" si="6"/>
        <v>0.95720619403361495</v>
      </c>
      <c r="R15" s="637"/>
      <c r="S15" s="40"/>
      <c r="T15" s="40"/>
      <c r="U15" s="17"/>
      <c r="V15" s="274"/>
      <c r="W15" s="17"/>
      <c r="X15" s="17"/>
      <c r="Y15" s="30">
        <f>SUM(Y10:Y14)</f>
        <v>0</v>
      </c>
      <c r="Z15" s="30">
        <f>SUM(Z10:Z14)</f>
        <v>0</v>
      </c>
      <c r="AA15" s="631"/>
      <c r="AB15" s="631"/>
      <c r="AC15" s="30">
        <v>5</v>
      </c>
      <c r="AD15" s="30">
        <f>SUM(AD10:AD14)</f>
        <v>0</v>
      </c>
      <c r="AE15" s="19">
        <f t="shared" si="8"/>
        <v>-64.190708949577584</v>
      </c>
      <c r="AF15" s="269">
        <f t="shared" si="9"/>
        <v>0.95720619403361495</v>
      </c>
      <c r="AG15" s="637"/>
    </row>
    <row r="16" spans="1:33" ht="16.5" customHeight="1">
      <c r="A16" s="657" t="s">
        <v>1264</v>
      </c>
      <c r="B16" s="275" t="s">
        <v>101</v>
      </c>
      <c r="C16" s="653" t="s">
        <v>102</v>
      </c>
      <c r="D16" s="653"/>
      <c r="E16" s="42">
        <v>31.11</v>
      </c>
      <c r="F16" s="275">
        <v>3064</v>
      </c>
      <c r="G16" s="268">
        <f t="shared" ref="G16:G22" si="15">E16*F16</f>
        <v>95321.04</v>
      </c>
      <c r="H16" s="37" t="s">
        <v>91</v>
      </c>
      <c r="I16" s="273">
        <v>14</v>
      </c>
      <c r="J16" s="39">
        <v>2000</v>
      </c>
      <c r="K16" s="17">
        <f t="shared" si="1"/>
        <v>142.85714285714286</v>
      </c>
      <c r="L16" s="273">
        <v>14</v>
      </c>
      <c r="M16" s="18">
        <f t="shared" ref="M16:M22" si="16">F16/V16*60</f>
        <v>1914.9999999999995</v>
      </c>
      <c r="N16" s="17">
        <f t="shared" si="3"/>
        <v>136.78571428571425</v>
      </c>
      <c r="O16" s="19">
        <f t="shared" si="4"/>
        <v>0</v>
      </c>
      <c r="P16" s="20">
        <f t="shared" si="5"/>
        <v>-6.071428571428612</v>
      </c>
      <c r="Q16" s="269">
        <f t="shared" si="6"/>
        <v>0.95749999999999968</v>
      </c>
      <c r="R16" s="637">
        <f>Q23</f>
        <v>0.9558110968489123</v>
      </c>
      <c r="S16" s="40">
        <v>0.20833333333333334</v>
      </c>
      <c r="T16" s="40">
        <v>0.27500000000000002</v>
      </c>
      <c r="U16" s="268"/>
      <c r="V16" s="274">
        <f t="shared" ref="V16:V22" si="17">(T16-S16)*24*60</f>
        <v>96.000000000000014</v>
      </c>
      <c r="W16" s="23"/>
      <c r="X16" s="23"/>
      <c r="Y16" s="28"/>
      <c r="Z16" s="28"/>
      <c r="AA16" s="632"/>
      <c r="AB16" s="632"/>
      <c r="AC16" s="25">
        <v>7</v>
      </c>
      <c r="AD16" s="25"/>
      <c r="AE16" s="19">
        <f t="shared" si="8"/>
        <v>-85.000000000000455</v>
      </c>
      <c r="AF16" s="269">
        <f t="shared" si="9"/>
        <v>0.9574999999999998</v>
      </c>
      <c r="AG16" s="637">
        <f>AF23</f>
        <v>0.95581109684891241</v>
      </c>
    </row>
    <row r="17" spans="1:33" ht="16.5" customHeight="1">
      <c r="A17" s="658" t="s">
        <v>1264</v>
      </c>
      <c r="B17" s="275" t="s">
        <v>103</v>
      </c>
      <c r="C17" s="653" t="s">
        <v>104</v>
      </c>
      <c r="D17" s="653"/>
      <c r="E17" s="42">
        <v>38.619999999999997</v>
      </c>
      <c r="F17" s="275">
        <v>2441</v>
      </c>
      <c r="G17" s="268">
        <f t="shared" si="15"/>
        <v>94271.42</v>
      </c>
      <c r="H17" s="37" t="s">
        <v>91</v>
      </c>
      <c r="I17" s="273">
        <v>24</v>
      </c>
      <c r="J17" s="39">
        <v>1500</v>
      </c>
      <c r="K17" s="17">
        <f t="shared" si="1"/>
        <v>62.5</v>
      </c>
      <c r="L17" s="273">
        <v>24</v>
      </c>
      <c r="M17" s="18">
        <f t="shared" si="16"/>
        <v>1435.882352941177</v>
      </c>
      <c r="N17" s="17">
        <f t="shared" si="3"/>
        <v>59.828431372549041</v>
      </c>
      <c r="O17" s="19">
        <f t="shared" si="4"/>
        <v>0</v>
      </c>
      <c r="P17" s="20">
        <f t="shared" si="5"/>
        <v>-2.6715686274509594</v>
      </c>
      <c r="Q17" s="269">
        <f t="shared" si="6"/>
        <v>0.95725490196078467</v>
      </c>
      <c r="R17" s="637"/>
      <c r="S17" s="40">
        <v>0.27916666666666667</v>
      </c>
      <c r="T17" s="40">
        <v>0.35</v>
      </c>
      <c r="U17" s="268">
        <f t="shared" ref="U17:U22" si="18">IF(S17=TIME(17,0,0),"",(S17-T16)*24*60)</f>
        <v>5.9999999999999787</v>
      </c>
      <c r="V17" s="274">
        <f t="shared" si="17"/>
        <v>101.99999999999996</v>
      </c>
      <c r="W17" s="23"/>
      <c r="X17" s="23"/>
      <c r="Y17" s="23"/>
      <c r="Z17" s="23"/>
      <c r="AA17" s="632"/>
      <c r="AB17" s="632"/>
      <c r="AC17" s="25"/>
      <c r="AD17" s="25"/>
      <c r="AE17" s="19">
        <f t="shared" si="8"/>
        <v>-64.117647058822968</v>
      </c>
      <c r="AF17" s="269">
        <f t="shared" si="9"/>
        <v>0.95725490196078467</v>
      </c>
      <c r="AG17" s="637"/>
    </row>
    <row r="18" spans="1:33" ht="16.5" customHeight="1">
      <c r="A18" s="658" t="s">
        <v>1264</v>
      </c>
      <c r="B18" s="275" t="s">
        <v>103</v>
      </c>
      <c r="C18" s="653" t="s">
        <v>105</v>
      </c>
      <c r="D18" s="653"/>
      <c r="E18" s="42">
        <v>41</v>
      </c>
      <c r="F18" s="275">
        <v>1920</v>
      </c>
      <c r="G18" s="268">
        <f t="shared" si="15"/>
        <v>78720</v>
      </c>
      <c r="H18" s="37" t="s">
        <v>91</v>
      </c>
      <c r="I18" s="273">
        <v>26</v>
      </c>
      <c r="J18" s="39">
        <v>1500</v>
      </c>
      <c r="K18" s="17">
        <f t="shared" si="1"/>
        <v>57.692307692307693</v>
      </c>
      <c r="L18" s="273">
        <v>26</v>
      </c>
      <c r="M18" s="18">
        <f t="shared" si="16"/>
        <v>1439.9999999999995</v>
      </c>
      <c r="N18" s="17">
        <f t="shared" si="3"/>
        <v>55.384615384615365</v>
      </c>
      <c r="O18" s="19">
        <f t="shared" si="4"/>
        <v>0</v>
      </c>
      <c r="P18" s="20">
        <f t="shared" si="5"/>
        <v>-2.3076923076923279</v>
      </c>
      <c r="Q18" s="269">
        <f t="shared" si="6"/>
        <v>0.95999999999999963</v>
      </c>
      <c r="R18" s="637"/>
      <c r="S18" s="40">
        <v>0.35347222222222219</v>
      </c>
      <c r="T18" s="40">
        <v>0.40902777777777777</v>
      </c>
      <c r="U18" s="268">
        <f t="shared" si="18"/>
        <v>4.9999999999999822</v>
      </c>
      <c r="V18" s="274">
        <f t="shared" si="17"/>
        <v>80.000000000000028</v>
      </c>
      <c r="W18" s="23"/>
      <c r="X18" s="23"/>
      <c r="Y18" s="23"/>
      <c r="Z18" s="23"/>
      <c r="AA18" s="632"/>
      <c r="AB18" s="632"/>
      <c r="AC18" s="25"/>
      <c r="AD18" s="25"/>
      <c r="AE18" s="19">
        <f t="shared" si="8"/>
        <v>-60.000000000000455</v>
      </c>
      <c r="AF18" s="269">
        <f t="shared" si="9"/>
        <v>0.95999999999999974</v>
      </c>
      <c r="AG18" s="637"/>
    </row>
    <row r="19" spans="1:33" ht="16.5" customHeight="1">
      <c r="A19" s="658" t="s">
        <v>1264</v>
      </c>
      <c r="B19" s="275" t="s">
        <v>92</v>
      </c>
      <c r="C19" s="653" t="s">
        <v>108</v>
      </c>
      <c r="D19" s="653"/>
      <c r="E19" s="42">
        <v>54.5</v>
      </c>
      <c r="F19" s="275">
        <v>1673</v>
      </c>
      <c r="G19" s="268">
        <f t="shared" si="15"/>
        <v>91178.5</v>
      </c>
      <c r="H19" s="37" t="s">
        <v>91</v>
      </c>
      <c r="I19" s="273">
        <v>20</v>
      </c>
      <c r="J19" s="39">
        <v>1500</v>
      </c>
      <c r="K19" s="17">
        <f t="shared" si="1"/>
        <v>75</v>
      </c>
      <c r="L19" s="273">
        <v>20</v>
      </c>
      <c r="M19" s="18">
        <f t="shared" si="16"/>
        <v>1433.9999999999986</v>
      </c>
      <c r="N19" s="17">
        <f t="shared" si="3"/>
        <v>71.699999999999932</v>
      </c>
      <c r="O19" s="19">
        <f t="shared" si="4"/>
        <v>0</v>
      </c>
      <c r="P19" s="20">
        <f t="shared" si="5"/>
        <v>-3.3000000000000682</v>
      </c>
      <c r="Q19" s="269">
        <f t="shared" si="6"/>
        <v>0.95599999999999907</v>
      </c>
      <c r="R19" s="637"/>
      <c r="S19" s="40">
        <v>0.70833333333333337</v>
      </c>
      <c r="T19" s="40">
        <v>0.75694444444444453</v>
      </c>
      <c r="U19" s="268" t="str">
        <f t="shared" si="18"/>
        <v/>
      </c>
      <c r="V19" s="274">
        <f t="shared" si="17"/>
        <v>70.000000000000071</v>
      </c>
      <c r="W19" s="23"/>
      <c r="X19" s="23"/>
      <c r="Y19" s="23"/>
      <c r="Z19" s="23"/>
      <c r="AA19" s="632"/>
      <c r="AB19" s="632"/>
      <c r="AC19" s="25"/>
      <c r="AD19" s="25"/>
      <c r="AE19" s="19">
        <f t="shared" si="8"/>
        <v>-66.000000000001364</v>
      </c>
      <c r="AF19" s="269">
        <f t="shared" si="9"/>
        <v>0.95599999999999907</v>
      </c>
      <c r="AG19" s="637"/>
    </row>
    <row r="20" spans="1:33" ht="16.5" customHeight="1">
      <c r="A20" s="658" t="s">
        <v>1264</v>
      </c>
      <c r="B20" s="275" t="s">
        <v>92</v>
      </c>
      <c r="C20" s="653" t="s">
        <v>107</v>
      </c>
      <c r="D20" s="653"/>
      <c r="E20" s="42">
        <v>50.67</v>
      </c>
      <c r="F20" s="275">
        <v>1680</v>
      </c>
      <c r="G20" s="268">
        <f t="shared" si="15"/>
        <v>85125.6</v>
      </c>
      <c r="H20" s="37" t="s">
        <v>91</v>
      </c>
      <c r="I20" s="273">
        <v>17</v>
      </c>
      <c r="J20" s="39">
        <v>2000</v>
      </c>
      <c r="K20" s="17">
        <f t="shared" si="1"/>
        <v>117.64705882352941</v>
      </c>
      <c r="L20" s="273">
        <v>17</v>
      </c>
      <c r="M20" s="18">
        <f t="shared" si="16"/>
        <v>1901.8867924528313</v>
      </c>
      <c r="N20" s="17">
        <f t="shared" si="3"/>
        <v>111.87569367369596</v>
      </c>
      <c r="O20" s="19">
        <f t="shared" si="4"/>
        <v>0</v>
      </c>
      <c r="P20" s="20">
        <f t="shared" si="5"/>
        <v>-5.7713651498334428</v>
      </c>
      <c r="Q20" s="269">
        <f t="shared" si="6"/>
        <v>0.95094339622641577</v>
      </c>
      <c r="R20" s="637"/>
      <c r="S20" s="40">
        <v>0.76250000000000007</v>
      </c>
      <c r="T20" s="40">
        <v>0.7993055555555556</v>
      </c>
      <c r="U20" s="268">
        <f t="shared" si="18"/>
        <v>7.9999999999999716</v>
      </c>
      <c r="V20" s="274">
        <f t="shared" si="17"/>
        <v>52.999999999999972</v>
      </c>
      <c r="W20" s="23"/>
      <c r="X20" s="23"/>
      <c r="Y20" s="23"/>
      <c r="Z20" s="23"/>
      <c r="AA20" s="632"/>
      <c r="AB20" s="632"/>
      <c r="AC20" s="25"/>
      <c r="AD20" s="25"/>
      <c r="AE20" s="19">
        <f t="shared" si="8"/>
        <v>-98.113207547168713</v>
      </c>
      <c r="AF20" s="269">
        <f t="shared" si="9"/>
        <v>0.95094339622641566</v>
      </c>
      <c r="AG20" s="637"/>
    </row>
    <row r="21" spans="1:33" ht="16.5" customHeight="1">
      <c r="A21" s="658" t="s">
        <v>1265</v>
      </c>
      <c r="B21" s="275" t="s">
        <v>92</v>
      </c>
      <c r="C21" s="271" t="s">
        <v>95</v>
      </c>
      <c r="D21" s="272"/>
      <c r="E21" s="42">
        <v>50.67</v>
      </c>
      <c r="F21" s="275">
        <v>1488</v>
      </c>
      <c r="G21" s="268">
        <f t="shared" si="15"/>
        <v>75396.960000000006</v>
      </c>
      <c r="H21" s="37" t="s">
        <v>91</v>
      </c>
      <c r="I21" s="273">
        <v>15</v>
      </c>
      <c r="J21" s="39">
        <v>2000</v>
      </c>
      <c r="K21" s="17">
        <f t="shared" si="1"/>
        <v>133.33333333333334</v>
      </c>
      <c r="L21" s="273">
        <v>15</v>
      </c>
      <c r="M21" s="18">
        <f t="shared" si="16"/>
        <v>1940.8695652173915</v>
      </c>
      <c r="N21" s="17">
        <f t="shared" si="3"/>
        <v>129.39130434782609</v>
      </c>
      <c r="O21" s="19">
        <f t="shared" si="4"/>
        <v>0</v>
      </c>
      <c r="P21" s="20">
        <f t="shared" si="5"/>
        <v>-3.9420289855072497</v>
      </c>
      <c r="Q21" s="269">
        <f t="shared" si="6"/>
        <v>0.97043478260869565</v>
      </c>
      <c r="R21" s="637"/>
      <c r="S21" s="40">
        <v>0.8041666666666667</v>
      </c>
      <c r="T21" s="40">
        <v>0.83611111111111114</v>
      </c>
      <c r="U21" s="268">
        <f t="shared" si="18"/>
        <v>6.9999999999999751</v>
      </c>
      <c r="V21" s="274">
        <f t="shared" si="17"/>
        <v>46</v>
      </c>
      <c r="W21" s="23"/>
      <c r="X21" s="23"/>
      <c r="Y21" s="26"/>
      <c r="Z21" s="26"/>
      <c r="AA21" s="264"/>
      <c r="AB21" s="265"/>
      <c r="AC21" s="25"/>
      <c r="AD21" s="25"/>
      <c r="AE21" s="19">
        <f t="shared" si="8"/>
        <v>-59.130434782608518</v>
      </c>
      <c r="AF21" s="269">
        <f t="shared" si="9"/>
        <v>0.97043478260869576</v>
      </c>
      <c r="AG21" s="637"/>
    </row>
    <row r="22" spans="1:33" ht="16.5" customHeight="1">
      <c r="A22" s="658" t="s">
        <v>1265</v>
      </c>
      <c r="B22" s="275" t="s">
        <v>92</v>
      </c>
      <c r="C22" s="271" t="s">
        <v>115</v>
      </c>
      <c r="D22" s="272"/>
      <c r="E22" s="42">
        <v>57.3</v>
      </c>
      <c r="F22" s="275">
        <v>470</v>
      </c>
      <c r="G22" s="268">
        <f t="shared" si="15"/>
        <v>26931</v>
      </c>
      <c r="H22" s="37" t="s">
        <v>91</v>
      </c>
      <c r="I22" s="273">
        <v>16</v>
      </c>
      <c r="J22" s="39">
        <v>2000</v>
      </c>
      <c r="K22" s="17">
        <f t="shared" si="1"/>
        <v>125</v>
      </c>
      <c r="L22" s="273">
        <v>16</v>
      </c>
      <c r="M22" s="18">
        <f t="shared" si="16"/>
        <v>1880.0000000000068</v>
      </c>
      <c r="N22" s="17">
        <f t="shared" si="3"/>
        <v>117.50000000000043</v>
      </c>
      <c r="O22" s="19">
        <f t="shared" si="4"/>
        <v>0</v>
      </c>
      <c r="P22" s="20">
        <f t="shared" si="5"/>
        <v>-7.4999999999995737</v>
      </c>
      <c r="Q22" s="269">
        <f t="shared" si="6"/>
        <v>0.94000000000000339</v>
      </c>
      <c r="R22" s="637"/>
      <c r="S22" s="40">
        <v>0.83958333333333335</v>
      </c>
      <c r="T22" s="40">
        <v>0.85</v>
      </c>
      <c r="U22" s="268">
        <f t="shared" si="18"/>
        <v>4.9999999999999822</v>
      </c>
      <c r="V22" s="274">
        <f t="shared" si="17"/>
        <v>14.999999999999947</v>
      </c>
      <c r="W22" s="23"/>
      <c r="X22" s="23"/>
      <c r="Y22" s="26"/>
      <c r="Z22" s="26"/>
      <c r="AA22" s="264"/>
      <c r="AB22" s="265"/>
      <c r="AC22" s="25"/>
      <c r="AD22" s="25"/>
      <c r="AE22" s="19">
        <f t="shared" si="8"/>
        <v>-119.99999999999318</v>
      </c>
      <c r="AF22" s="269">
        <f t="shared" si="9"/>
        <v>0.94000000000000339</v>
      </c>
      <c r="AG22" s="637"/>
    </row>
    <row r="23" spans="1:33" ht="16.5" customHeight="1">
      <c r="A23" s="658" t="s">
        <v>1266</v>
      </c>
      <c r="B23" s="42" t="s">
        <v>1267</v>
      </c>
      <c r="C23" s="638"/>
      <c r="D23" s="638"/>
      <c r="E23" s="270"/>
      <c r="F23" s="44"/>
      <c r="G23" s="17"/>
      <c r="H23" s="275"/>
      <c r="I23" s="29">
        <v>18.857142857142858</v>
      </c>
      <c r="J23" s="39">
        <v>1785.7142857142858</v>
      </c>
      <c r="K23" s="17">
        <f t="shared" si="1"/>
        <v>94.696969696969703</v>
      </c>
      <c r="L23" s="29">
        <v>18.857142857142858</v>
      </c>
      <c r="M23" s="18">
        <f>AVERAGE(M16:M22)</f>
        <v>1706.8055300873436</v>
      </c>
      <c r="N23" s="17">
        <f t="shared" si="3"/>
        <v>90.512414474328821</v>
      </c>
      <c r="O23" s="19">
        <f t="shared" si="4"/>
        <v>0</v>
      </c>
      <c r="P23" s="20">
        <f t="shared" si="5"/>
        <v>-4.1845552226408813</v>
      </c>
      <c r="Q23" s="269">
        <f t="shared" si="6"/>
        <v>0.9558110968489123</v>
      </c>
      <c r="R23" s="637"/>
      <c r="S23" s="40"/>
      <c r="T23" s="40"/>
      <c r="U23" s="268"/>
      <c r="V23" s="274"/>
      <c r="W23" s="17"/>
      <c r="X23" s="17"/>
      <c r="Y23" s="30">
        <f>SUM(Y16:Y22)</f>
        <v>0</v>
      </c>
      <c r="Z23" s="30">
        <f>SUM(Z16:Z22)</f>
        <v>0</v>
      </c>
      <c r="AA23" s="631"/>
      <c r="AB23" s="631"/>
      <c r="AC23" s="30">
        <v>7</v>
      </c>
      <c r="AD23" s="30">
        <f>SUM(AD16:AD22)</f>
        <v>0</v>
      </c>
      <c r="AE23" s="19">
        <f t="shared" si="8"/>
        <v>-78.908755626942138</v>
      </c>
      <c r="AF23" s="269">
        <f t="shared" si="9"/>
        <v>0.95581109684891241</v>
      </c>
      <c r="AG23" s="637"/>
    </row>
    <row r="24" spans="1:33" ht="15.75" customHeight="1">
      <c r="A24" s="655" t="s">
        <v>1268</v>
      </c>
      <c r="B24" s="42" t="s">
        <v>92</v>
      </c>
      <c r="C24" s="653" t="s">
        <v>110</v>
      </c>
      <c r="D24" s="653"/>
      <c r="E24" s="42">
        <v>50.67</v>
      </c>
      <c r="F24" s="275">
        <v>1754</v>
      </c>
      <c r="G24" s="268">
        <f t="shared" ref="G24:G30" si="19">E24*F24</f>
        <v>88875.180000000008</v>
      </c>
      <c r="H24" s="37" t="s">
        <v>91</v>
      </c>
      <c r="I24" s="273">
        <v>17</v>
      </c>
      <c r="J24" s="39">
        <v>2000</v>
      </c>
      <c r="K24" s="17">
        <f t="shared" si="1"/>
        <v>117.64705882352941</v>
      </c>
      <c r="L24" s="273">
        <v>17</v>
      </c>
      <c r="M24" s="18">
        <f t="shared" ref="M24:M30" si="20">F24/V24*60</f>
        <v>1913.4545454545453</v>
      </c>
      <c r="N24" s="17">
        <f t="shared" si="3"/>
        <v>112.55614973262031</v>
      </c>
      <c r="O24" s="19">
        <f t="shared" si="4"/>
        <v>0</v>
      </c>
      <c r="P24" s="20">
        <f t="shared" si="5"/>
        <v>-5.0909090909090935</v>
      </c>
      <c r="Q24" s="269">
        <f t="shared" si="6"/>
        <v>0.95672727272727265</v>
      </c>
      <c r="R24" s="637">
        <f>Q31</f>
        <v>0.95846345831587743</v>
      </c>
      <c r="S24" s="40">
        <v>0.20833333333333334</v>
      </c>
      <c r="T24" s="40">
        <v>0.24652777777777779</v>
      </c>
      <c r="U24" s="268"/>
      <c r="V24" s="274">
        <f t="shared" ref="V24:V30" si="21">(T24-S24)*24*60</f>
        <v>55.000000000000007</v>
      </c>
      <c r="W24" s="23"/>
      <c r="X24" s="23"/>
      <c r="Y24" s="28"/>
      <c r="Z24" s="28"/>
      <c r="AA24" s="632"/>
      <c r="AB24" s="632"/>
      <c r="AC24" s="25">
        <v>7</v>
      </c>
      <c r="AD24" s="25"/>
      <c r="AE24" s="19">
        <f t="shared" si="8"/>
        <v>-86.545454545454731</v>
      </c>
      <c r="AF24" s="269">
        <f t="shared" si="9"/>
        <v>0.95672727272727265</v>
      </c>
      <c r="AG24" s="637">
        <f>AF31</f>
        <v>0.95846345831587731</v>
      </c>
    </row>
    <row r="25" spans="1:33" ht="15.75" customHeight="1">
      <c r="A25" s="656" t="s">
        <v>1269</v>
      </c>
      <c r="B25" s="42" t="s">
        <v>92</v>
      </c>
      <c r="C25" s="653" t="s">
        <v>111</v>
      </c>
      <c r="D25" s="653"/>
      <c r="E25" s="42">
        <v>57.73</v>
      </c>
      <c r="F25" s="275">
        <v>2388</v>
      </c>
      <c r="G25" s="268">
        <f t="shared" si="19"/>
        <v>137859.24</v>
      </c>
      <c r="H25" s="37" t="s">
        <v>91</v>
      </c>
      <c r="I25" s="273">
        <v>14</v>
      </c>
      <c r="J25" s="39">
        <v>2000</v>
      </c>
      <c r="K25" s="17">
        <f t="shared" si="1"/>
        <v>142.85714285714286</v>
      </c>
      <c r="L25" s="273">
        <v>14</v>
      </c>
      <c r="M25" s="18">
        <f t="shared" si="20"/>
        <v>1910.4000000000005</v>
      </c>
      <c r="N25" s="17">
        <f t="shared" si="3"/>
        <v>136.45714285714288</v>
      </c>
      <c r="O25" s="19">
        <f t="shared" si="4"/>
        <v>0</v>
      </c>
      <c r="P25" s="20">
        <f t="shared" si="5"/>
        <v>-6.3999999999999773</v>
      </c>
      <c r="Q25" s="269">
        <f t="shared" si="6"/>
        <v>0.95520000000000016</v>
      </c>
      <c r="R25" s="637"/>
      <c r="S25" s="40">
        <v>0.25</v>
      </c>
      <c r="T25" s="40">
        <v>0.30208333333333331</v>
      </c>
      <c r="U25" s="268">
        <f t="shared" ref="U25:U30" si="22">IF(S25=TIME(17,0,0),"",(S25-T24)*24*60)</f>
        <v>4.9999999999999822</v>
      </c>
      <c r="V25" s="274">
        <f t="shared" si="21"/>
        <v>74.999999999999972</v>
      </c>
      <c r="W25" s="23"/>
      <c r="X25" s="268"/>
      <c r="Y25" s="268"/>
      <c r="Z25" s="268"/>
      <c r="AA25" s="632"/>
      <c r="AB25" s="632"/>
      <c r="AC25" s="25"/>
      <c r="AD25" s="25"/>
      <c r="AE25" s="19">
        <f t="shared" si="8"/>
        <v>-89.599999999999454</v>
      </c>
      <c r="AF25" s="269">
        <f t="shared" si="9"/>
        <v>0.95520000000000027</v>
      </c>
      <c r="AG25" s="637"/>
    </row>
    <row r="26" spans="1:33" ht="15.75" customHeight="1">
      <c r="A26" s="656" t="s">
        <v>1270</v>
      </c>
      <c r="B26" s="42" t="s">
        <v>92</v>
      </c>
      <c r="C26" s="653" t="s">
        <v>112</v>
      </c>
      <c r="D26" s="653"/>
      <c r="E26" s="42">
        <v>53.27</v>
      </c>
      <c r="F26" s="275">
        <v>1447</v>
      </c>
      <c r="G26" s="268">
        <f t="shared" si="19"/>
        <v>77081.69</v>
      </c>
      <c r="H26" s="37" t="s">
        <v>91</v>
      </c>
      <c r="I26" s="273">
        <v>16</v>
      </c>
      <c r="J26" s="39">
        <v>2000</v>
      </c>
      <c r="K26" s="17">
        <f t="shared" si="1"/>
        <v>125</v>
      </c>
      <c r="L26" s="273">
        <v>16</v>
      </c>
      <c r="M26" s="18">
        <f t="shared" si="20"/>
        <v>1929.3333333333335</v>
      </c>
      <c r="N26" s="17">
        <f t="shared" si="3"/>
        <v>120.58333333333334</v>
      </c>
      <c r="O26" s="19">
        <f t="shared" si="4"/>
        <v>0</v>
      </c>
      <c r="P26" s="20">
        <f t="shared" si="5"/>
        <v>-4.4166666666666572</v>
      </c>
      <c r="Q26" s="269">
        <f t="shared" si="6"/>
        <v>0.96466666666666678</v>
      </c>
      <c r="R26" s="637"/>
      <c r="S26" s="40">
        <v>0.30555555555555552</v>
      </c>
      <c r="T26" s="40">
        <v>0.33680555555555552</v>
      </c>
      <c r="U26" s="268">
        <f t="shared" si="22"/>
        <v>4.9999999999999822</v>
      </c>
      <c r="V26" s="274">
        <f t="shared" si="21"/>
        <v>45</v>
      </c>
      <c r="W26" s="23"/>
      <c r="X26" s="268"/>
      <c r="Y26" s="268"/>
      <c r="Z26" s="268"/>
      <c r="AA26" s="632"/>
      <c r="AB26" s="632"/>
      <c r="AC26" s="25"/>
      <c r="AD26" s="25"/>
      <c r="AE26" s="19">
        <f t="shared" si="8"/>
        <v>-70.666666666666515</v>
      </c>
      <c r="AF26" s="269">
        <f t="shared" si="9"/>
        <v>0.96466666666666678</v>
      </c>
      <c r="AG26" s="637"/>
    </row>
    <row r="27" spans="1:33" ht="15.75" customHeight="1">
      <c r="A27" s="656" t="s">
        <v>1270</v>
      </c>
      <c r="B27" s="42" t="s">
        <v>92</v>
      </c>
      <c r="C27" s="653" t="s">
        <v>113</v>
      </c>
      <c r="D27" s="653"/>
      <c r="E27" s="42">
        <v>56.43</v>
      </c>
      <c r="F27" s="275">
        <v>1529</v>
      </c>
      <c r="G27" s="268">
        <f t="shared" si="19"/>
        <v>86281.47</v>
      </c>
      <c r="H27" s="37" t="s">
        <v>91</v>
      </c>
      <c r="I27" s="273">
        <v>13</v>
      </c>
      <c r="J27" s="39">
        <v>2000</v>
      </c>
      <c r="K27" s="17">
        <f t="shared" si="1"/>
        <v>153.84615384615384</v>
      </c>
      <c r="L27" s="273">
        <v>13</v>
      </c>
      <c r="M27" s="18">
        <f t="shared" si="20"/>
        <v>1911.2500000000005</v>
      </c>
      <c r="N27" s="17">
        <f t="shared" si="3"/>
        <v>147.0192307692308</v>
      </c>
      <c r="O27" s="19">
        <f t="shared" si="4"/>
        <v>0</v>
      </c>
      <c r="P27" s="20">
        <f t="shared" si="5"/>
        <v>-6.8269230769230376</v>
      </c>
      <c r="Q27" s="269">
        <f t="shared" si="6"/>
        <v>0.95562500000000028</v>
      </c>
      <c r="R27" s="637"/>
      <c r="S27" s="40">
        <v>0.70833333333333337</v>
      </c>
      <c r="T27" s="40">
        <v>0.7416666666666667</v>
      </c>
      <c r="U27" s="268" t="str">
        <f t="shared" si="22"/>
        <v/>
      </c>
      <c r="V27" s="274">
        <f t="shared" si="21"/>
        <v>47.999999999999986</v>
      </c>
      <c r="W27" s="23"/>
      <c r="X27" s="268"/>
      <c r="Y27" s="268"/>
      <c r="Z27" s="268"/>
      <c r="AA27" s="632"/>
      <c r="AB27" s="632"/>
      <c r="AC27" s="25"/>
      <c r="AD27" s="25"/>
      <c r="AE27" s="19">
        <f t="shared" si="8"/>
        <v>-88.749999999999545</v>
      </c>
      <c r="AF27" s="269">
        <f t="shared" si="9"/>
        <v>0.95562500000000028</v>
      </c>
      <c r="AG27" s="637"/>
    </row>
    <row r="28" spans="1:33" ht="15.75" customHeight="1">
      <c r="A28" s="656" t="s">
        <v>1270</v>
      </c>
      <c r="B28" s="42" t="s">
        <v>92</v>
      </c>
      <c r="C28" s="653" t="s">
        <v>140</v>
      </c>
      <c r="D28" s="653"/>
      <c r="E28" s="42">
        <v>51.06</v>
      </c>
      <c r="F28" s="275">
        <v>1000</v>
      </c>
      <c r="G28" s="268">
        <f t="shared" si="19"/>
        <v>51060</v>
      </c>
      <c r="H28" s="37">
        <v>2</v>
      </c>
      <c r="I28" s="273">
        <v>13</v>
      </c>
      <c r="J28" s="39">
        <v>2000</v>
      </c>
      <c r="K28" s="17">
        <f t="shared" si="1"/>
        <v>153.84615384615384</v>
      </c>
      <c r="L28" s="273">
        <v>13</v>
      </c>
      <c r="M28" s="18">
        <f t="shared" si="20"/>
        <v>1935.483870967739</v>
      </c>
      <c r="N28" s="17">
        <f t="shared" si="3"/>
        <v>148.88337468982607</v>
      </c>
      <c r="O28" s="19">
        <f t="shared" si="4"/>
        <v>0</v>
      </c>
      <c r="P28" s="20">
        <f t="shared" si="5"/>
        <v>-4.9627791563277697</v>
      </c>
      <c r="Q28" s="269">
        <f t="shared" si="6"/>
        <v>0.96774193548386944</v>
      </c>
      <c r="R28" s="637"/>
      <c r="S28" s="40">
        <v>0.74722222222222223</v>
      </c>
      <c r="T28" s="40">
        <v>0.76875000000000004</v>
      </c>
      <c r="U28" s="268">
        <f t="shared" si="22"/>
        <v>7.9999999999999716</v>
      </c>
      <c r="V28" s="274">
        <f t="shared" si="21"/>
        <v>31.00000000000005</v>
      </c>
      <c r="W28" s="23"/>
      <c r="X28" s="23"/>
      <c r="Y28" s="268"/>
      <c r="Z28" s="268"/>
      <c r="AA28" s="632"/>
      <c r="AB28" s="632"/>
      <c r="AC28" s="25"/>
      <c r="AD28" s="25"/>
      <c r="AE28" s="19">
        <f t="shared" si="8"/>
        <v>-64.516129032261006</v>
      </c>
      <c r="AF28" s="269">
        <f t="shared" si="9"/>
        <v>0.96774193548386944</v>
      </c>
      <c r="AG28" s="637"/>
    </row>
    <row r="29" spans="1:33" ht="15.75" customHeight="1">
      <c r="A29" s="656" t="s">
        <v>1268</v>
      </c>
      <c r="B29" s="42" t="s">
        <v>92</v>
      </c>
      <c r="C29" s="653" t="s">
        <v>114</v>
      </c>
      <c r="D29" s="653"/>
      <c r="E29" s="42">
        <v>54.09</v>
      </c>
      <c r="F29" s="275">
        <v>2393</v>
      </c>
      <c r="G29" s="268">
        <f t="shared" si="19"/>
        <v>129437.37000000001</v>
      </c>
      <c r="H29" s="37" t="s">
        <v>91</v>
      </c>
      <c r="I29" s="273">
        <v>18</v>
      </c>
      <c r="J29" s="39">
        <v>2000</v>
      </c>
      <c r="K29" s="17">
        <f t="shared" si="1"/>
        <v>111.11111111111111</v>
      </c>
      <c r="L29" s="273">
        <v>18</v>
      </c>
      <c r="M29" s="18">
        <f t="shared" si="20"/>
        <v>1914.3999999999985</v>
      </c>
      <c r="N29" s="17">
        <f t="shared" si="3"/>
        <v>106.35555555555547</v>
      </c>
      <c r="O29" s="19">
        <f t="shared" si="4"/>
        <v>0</v>
      </c>
      <c r="P29" s="20">
        <f t="shared" si="5"/>
        <v>-4.7555555555556452</v>
      </c>
      <c r="Q29" s="269">
        <f t="shared" si="6"/>
        <v>0.95719999999999916</v>
      </c>
      <c r="R29" s="637"/>
      <c r="S29" s="40">
        <v>0.77430555555555558</v>
      </c>
      <c r="T29" s="40">
        <v>0.82638888888888895</v>
      </c>
      <c r="U29" s="268">
        <f t="shared" si="22"/>
        <v>7.9999999999999716</v>
      </c>
      <c r="V29" s="274">
        <f t="shared" si="21"/>
        <v>75.000000000000057</v>
      </c>
      <c r="W29" s="23">
        <f>T29</f>
        <v>0.82638888888888895</v>
      </c>
      <c r="X29" s="23">
        <f>S30</f>
        <v>0.86458333333333337</v>
      </c>
      <c r="Y29" s="28"/>
      <c r="Z29" s="28"/>
      <c r="AA29" s="632"/>
      <c r="AB29" s="632"/>
      <c r="AC29" s="25"/>
      <c r="AD29" s="25"/>
      <c r="AE29" s="19">
        <f t="shared" si="8"/>
        <v>-85.600000000001501</v>
      </c>
      <c r="AF29" s="269">
        <f t="shared" si="9"/>
        <v>0.95719999999999927</v>
      </c>
      <c r="AG29" s="637"/>
    </row>
    <row r="30" spans="1:33" ht="15.75" customHeight="1">
      <c r="A30" s="656" t="s">
        <v>1268</v>
      </c>
      <c r="B30" s="42" t="s">
        <v>92</v>
      </c>
      <c r="C30" s="679" t="s">
        <v>140</v>
      </c>
      <c r="D30" s="680"/>
      <c r="E30" s="42">
        <v>51.06</v>
      </c>
      <c r="F30" s="275">
        <v>2285</v>
      </c>
      <c r="G30" s="268">
        <f t="shared" si="19"/>
        <v>116672.1</v>
      </c>
      <c r="H30" s="37" t="s">
        <v>91</v>
      </c>
      <c r="I30" s="273">
        <v>13</v>
      </c>
      <c r="J30" s="39">
        <v>2000</v>
      </c>
      <c r="K30" s="17">
        <f t="shared" si="1"/>
        <v>153.84615384615384</v>
      </c>
      <c r="L30" s="273">
        <v>13</v>
      </c>
      <c r="M30" s="18">
        <f t="shared" si="20"/>
        <v>1904.1666666666652</v>
      </c>
      <c r="N30" s="17">
        <f t="shared" si="3"/>
        <v>146.47435897435886</v>
      </c>
      <c r="O30" s="19">
        <f t="shared" si="4"/>
        <v>0</v>
      </c>
      <c r="P30" s="20">
        <f t="shared" si="5"/>
        <v>-7.3717948717949753</v>
      </c>
      <c r="Q30" s="269">
        <f t="shared" si="6"/>
        <v>0.95208333333333262</v>
      </c>
      <c r="R30" s="637"/>
      <c r="S30" s="40">
        <v>0.86458333333333337</v>
      </c>
      <c r="T30" s="40">
        <v>0.91458333333333341</v>
      </c>
      <c r="U30" s="268">
        <f t="shared" si="22"/>
        <v>54.999999999999964</v>
      </c>
      <c r="V30" s="274">
        <f t="shared" si="21"/>
        <v>72.000000000000057</v>
      </c>
      <c r="W30" s="23"/>
      <c r="X30" s="28"/>
      <c r="Y30" s="136"/>
      <c r="Z30" s="136"/>
      <c r="AA30" s="627"/>
      <c r="AB30" s="628"/>
      <c r="AC30" s="25"/>
      <c r="AD30" s="25"/>
      <c r="AE30" s="19">
        <f t="shared" si="8"/>
        <v>-95.833333333334849</v>
      </c>
      <c r="AF30" s="269">
        <f t="shared" si="9"/>
        <v>0.95208333333333262</v>
      </c>
      <c r="AG30" s="637"/>
    </row>
    <row r="31" spans="1:33" ht="15.75" customHeight="1">
      <c r="A31" s="656" t="s">
        <v>1270</v>
      </c>
      <c r="B31" s="42" t="s">
        <v>1267</v>
      </c>
      <c r="C31" s="638"/>
      <c r="D31" s="638"/>
      <c r="E31" s="270"/>
      <c r="F31" s="275"/>
      <c r="G31" s="268"/>
      <c r="H31" s="275"/>
      <c r="I31" s="29">
        <v>14.857142857142858</v>
      </c>
      <c r="J31" s="39">
        <v>2000</v>
      </c>
      <c r="K31" s="17">
        <f t="shared" si="1"/>
        <v>134.61538461538461</v>
      </c>
      <c r="L31" s="29">
        <v>14.857142857142858</v>
      </c>
      <c r="M31" s="18">
        <f>AVERAGE(M24:M30)</f>
        <v>1916.9269166317547</v>
      </c>
      <c r="N31" s="17">
        <f t="shared" si="3"/>
        <v>129.0239270809835</v>
      </c>
      <c r="O31" s="19">
        <f t="shared" si="4"/>
        <v>0</v>
      </c>
      <c r="P31" s="20">
        <f t="shared" si="5"/>
        <v>-5.5914575344011155</v>
      </c>
      <c r="Q31" s="269">
        <f t="shared" si="6"/>
        <v>0.95846345831587743</v>
      </c>
      <c r="R31" s="637"/>
      <c r="S31" s="40"/>
      <c r="T31" s="40"/>
      <c r="U31" s="17"/>
      <c r="V31" s="274"/>
      <c r="W31" s="17"/>
      <c r="X31" s="17"/>
      <c r="Y31" s="30">
        <f>SUM(Y24:Y30)</f>
        <v>0</v>
      </c>
      <c r="Z31" s="30">
        <f>SUM(Z24:Z30)</f>
        <v>0</v>
      </c>
      <c r="AA31" s="631"/>
      <c r="AB31" s="631"/>
      <c r="AC31" s="30">
        <v>7</v>
      </c>
      <c r="AD31" s="30">
        <f>SUM(AD24:AD30)</f>
        <v>0</v>
      </c>
      <c r="AE31" s="19">
        <f t="shared" si="8"/>
        <v>-83.073083368245307</v>
      </c>
      <c r="AF31" s="269">
        <f t="shared" si="9"/>
        <v>0.95846345831587731</v>
      </c>
      <c r="AG31" s="637"/>
    </row>
    <row r="32" spans="1:33" ht="15.75" customHeight="1">
      <c r="A32" s="654" t="s">
        <v>1271</v>
      </c>
      <c r="B32" s="42" t="s">
        <v>116</v>
      </c>
      <c r="C32" s="653" t="s">
        <v>117</v>
      </c>
      <c r="D32" s="653"/>
      <c r="E32" s="42">
        <v>31.29</v>
      </c>
      <c r="F32" s="275">
        <v>4900</v>
      </c>
      <c r="G32" s="268">
        <f t="shared" ref="G32:G38" si="23">E32*F32</f>
        <v>153321</v>
      </c>
      <c r="H32" s="37">
        <v>2</v>
      </c>
      <c r="I32" s="273">
        <v>18</v>
      </c>
      <c r="J32" s="39">
        <v>2400</v>
      </c>
      <c r="K32" s="17">
        <f t="shared" si="1"/>
        <v>133.33333333333334</v>
      </c>
      <c r="L32" s="273">
        <v>18</v>
      </c>
      <c r="M32" s="18">
        <f t="shared" ref="M32:M38" si="24">F32/V32*60</f>
        <v>2296.875</v>
      </c>
      <c r="N32" s="17">
        <f t="shared" si="3"/>
        <v>127.60416666666667</v>
      </c>
      <c r="O32" s="19">
        <f t="shared" si="4"/>
        <v>0</v>
      </c>
      <c r="P32" s="20">
        <f t="shared" si="5"/>
        <v>-5.7291666666666714</v>
      </c>
      <c r="Q32" s="269">
        <f t="shared" si="6"/>
        <v>0.95703125</v>
      </c>
      <c r="R32" s="637">
        <f>Q39</f>
        <v>0.95516161770011077</v>
      </c>
      <c r="S32" s="40">
        <v>8.3333333333333329E-2</v>
      </c>
      <c r="T32" s="40">
        <v>0.17222222222222222</v>
      </c>
      <c r="U32" s="268"/>
      <c r="V32" s="274">
        <f t="shared" ref="V32:V38" si="25">(T32-S32)*24*60</f>
        <v>128</v>
      </c>
      <c r="W32" s="23">
        <f>T32</f>
        <v>0.17222222222222222</v>
      </c>
      <c r="X32" s="23">
        <f>S33</f>
        <v>0.19236111111111112</v>
      </c>
      <c r="Y32" s="23"/>
      <c r="Z32" s="23"/>
      <c r="AA32" s="632"/>
      <c r="AB32" s="632"/>
      <c r="AC32" s="25">
        <v>7</v>
      </c>
      <c r="AD32" s="25"/>
      <c r="AE32" s="19">
        <f t="shared" si="8"/>
        <v>-103.125</v>
      </c>
      <c r="AF32" s="269">
        <f t="shared" si="9"/>
        <v>0.95703125</v>
      </c>
      <c r="AG32" s="637">
        <f>AF39</f>
        <v>0.95516161770011077</v>
      </c>
    </row>
    <row r="33" spans="1:33" ht="15.75" customHeight="1">
      <c r="A33" s="654" t="s">
        <v>1272</v>
      </c>
      <c r="B33" s="42" t="s">
        <v>116</v>
      </c>
      <c r="C33" s="653" t="s">
        <v>118</v>
      </c>
      <c r="D33" s="653"/>
      <c r="E33" s="42">
        <v>26.37</v>
      </c>
      <c r="F33" s="275">
        <v>6364</v>
      </c>
      <c r="G33" s="268">
        <f t="shared" si="23"/>
        <v>167818.68</v>
      </c>
      <c r="H33" s="37" t="s">
        <v>91</v>
      </c>
      <c r="I33" s="273">
        <v>18</v>
      </c>
      <c r="J33" s="39">
        <v>2400</v>
      </c>
      <c r="K33" s="17">
        <f t="shared" si="1"/>
        <v>133.33333333333334</v>
      </c>
      <c r="L33" s="273">
        <v>18</v>
      </c>
      <c r="M33" s="18">
        <f t="shared" si="24"/>
        <v>2286.4670658682635</v>
      </c>
      <c r="N33" s="17">
        <f t="shared" si="3"/>
        <v>127.02594810379242</v>
      </c>
      <c r="O33" s="19">
        <f t="shared" si="4"/>
        <v>0</v>
      </c>
      <c r="P33" s="20">
        <f t="shared" si="5"/>
        <v>-6.3073852295409267</v>
      </c>
      <c r="Q33" s="269">
        <f t="shared" si="6"/>
        <v>0.95269461077844309</v>
      </c>
      <c r="R33" s="637"/>
      <c r="S33" s="40">
        <v>0.19236111111111112</v>
      </c>
      <c r="T33" s="40">
        <v>0.30833333333333335</v>
      </c>
      <c r="U33" s="268">
        <f t="shared" ref="U33:U38" si="26">(S33-T32)*24*60</f>
        <v>29.000000000000018</v>
      </c>
      <c r="V33" s="274">
        <f t="shared" si="25"/>
        <v>167</v>
      </c>
      <c r="W33" s="23"/>
      <c r="X33" s="23"/>
      <c r="Y33" s="23"/>
      <c r="Z33" s="23"/>
      <c r="AA33" s="632"/>
      <c r="AB33" s="632"/>
      <c r="AC33" s="25"/>
      <c r="AD33" s="25"/>
      <c r="AE33" s="19">
        <f t="shared" si="8"/>
        <v>-113.53293413173651</v>
      </c>
      <c r="AF33" s="269">
        <f t="shared" si="9"/>
        <v>0.95269461077844309</v>
      </c>
      <c r="AG33" s="637"/>
    </row>
    <row r="34" spans="1:33" ht="15.75" customHeight="1">
      <c r="A34" s="654" t="s">
        <v>1273</v>
      </c>
      <c r="B34" s="42" t="s">
        <v>116</v>
      </c>
      <c r="C34" s="653" t="s">
        <v>124</v>
      </c>
      <c r="D34" s="653"/>
      <c r="E34" s="42">
        <v>24.43</v>
      </c>
      <c r="F34" s="275">
        <v>3800</v>
      </c>
      <c r="G34" s="268">
        <f t="shared" si="23"/>
        <v>92834</v>
      </c>
      <c r="H34" s="37">
        <v>2</v>
      </c>
      <c r="I34" s="273">
        <v>14</v>
      </c>
      <c r="J34" s="39">
        <v>2400</v>
      </c>
      <c r="K34" s="17">
        <f t="shared" si="1"/>
        <v>171.42857142857142</v>
      </c>
      <c r="L34" s="273">
        <v>14</v>
      </c>
      <c r="M34" s="18">
        <f t="shared" si="24"/>
        <v>2280.0000000000009</v>
      </c>
      <c r="N34" s="17">
        <f t="shared" si="3"/>
        <v>162.85714285714292</v>
      </c>
      <c r="O34" s="19">
        <f t="shared" si="4"/>
        <v>0</v>
      </c>
      <c r="P34" s="20">
        <f t="shared" si="5"/>
        <v>-8.5714285714284983</v>
      </c>
      <c r="Q34" s="269">
        <f t="shared" si="6"/>
        <v>0.9500000000000004</v>
      </c>
      <c r="R34" s="637"/>
      <c r="S34" s="40">
        <v>0.31319444444444444</v>
      </c>
      <c r="T34" s="40">
        <v>0.38263888888888886</v>
      </c>
      <c r="U34" s="268">
        <f t="shared" si="26"/>
        <v>6.9999999999999751</v>
      </c>
      <c r="V34" s="274">
        <f t="shared" si="25"/>
        <v>99.999999999999972</v>
      </c>
      <c r="W34" s="23"/>
      <c r="X34" s="23"/>
      <c r="Y34" s="23"/>
      <c r="Z34" s="23"/>
      <c r="AA34" s="632"/>
      <c r="AB34" s="632"/>
      <c r="AC34" s="25"/>
      <c r="AD34" s="25"/>
      <c r="AE34" s="19">
        <f t="shared" si="8"/>
        <v>-119.99999999999909</v>
      </c>
      <c r="AF34" s="269">
        <f t="shared" si="9"/>
        <v>0.9500000000000004</v>
      </c>
      <c r="AG34" s="637"/>
    </row>
    <row r="35" spans="1:33" ht="15.75" customHeight="1">
      <c r="A35" s="654" t="s">
        <v>1272</v>
      </c>
      <c r="B35" s="42" t="s">
        <v>116</v>
      </c>
      <c r="C35" s="653" t="s">
        <v>147</v>
      </c>
      <c r="D35" s="653"/>
      <c r="E35" s="42">
        <v>25.98</v>
      </c>
      <c r="F35" s="275">
        <v>2684</v>
      </c>
      <c r="G35" s="268">
        <f t="shared" si="23"/>
        <v>69730.320000000007</v>
      </c>
      <c r="H35" s="37" t="s">
        <v>91</v>
      </c>
      <c r="I35" s="273">
        <v>17</v>
      </c>
      <c r="J35" s="39">
        <v>2400</v>
      </c>
      <c r="K35" s="17">
        <f t="shared" si="1"/>
        <v>141.1764705882353</v>
      </c>
      <c r="L35" s="273">
        <v>17</v>
      </c>
      <c r="M35" s="18">
        <f t="shared" si="24"/>
        <v>2300.5714285714289</v>
      </c>
      <c r="N35" s="17">
        <f t="shared" si="3"/>
        <v>135.32773109243701</v>
      </c>
      <c r="O35" s="19">
        <f t="shared" si="4"/>
        <v>0</v>
      </c>
      <c r="P35" s="20">
        <f t="shared" si="5"/>
        <v>-5.8487394957982985</v>
      </c>
      <c r="Q35" s="269">
        <f t="shared" si="6"/>
        <v>0.95857142857142874</v>
      </c>
      <c r="R35" s="637"/>
      <c r="S35" s="40">
        <v>0.38611111111111107</v>
      </c>
      <c r="T35" s="40">
        <v>0.43472222222222218</v>
      </c>
      <c r="U35" s="268">
        <f t="shared" si="26"/>
        <v>4.9999999999999822</v>
      </c>
      <c r="V35" s="274">
        <f t="shared" si="25"/>
        <v>69.999999999999986</v>
      </c>
      <c r="W35" s="23"/>
      <c r="X35" s="23"/>
      <c r="Y35" s="23"/>
      <c r="Z35" s="23"/>
      <c r="AA35" s="632"/>
      <c r="AB35" s="632"/>
      <c r="AC35" s="25"/>
      <c r="AD35" s="25"/>
      <c r="AE35" s="19">
        <f t="shared" si="8"/>
        <v>-99.428571428571104</v>
      </c>
      <c r="AF35" s="269">
        <f t="shared" si="9"/>
        <v>0.95857142857142874</v>
      </c>
      <c r="AG35" s="637"/>
    </row>
    <row r="36" spans="1:33" ht="15.75" customHeight="1">
      <c r="A36" s="654" t="s">
        <v>1273</v>
      </c>
      <c r="B36" s="42" t="s">
        <v>116</v>
      </c>
      <c r="C36" s="653" t="s">
        <v>122</v>
      </c>
      <c r="D36" s="653"/>
      <c r="E36" s="42">
        <v>20.21</v>
      </c>
      <c r="F36" s="275">
        <v>2075</v>
      </c>
      <c r="G36" s="268">
        <f t="shared" si="23"/>
        <v>41935.75</v>
      </c>
      <c r="H36" s="37" t="s">
        <v>91</v>
      </c>
      <c r="I36" s="273">
        <v>18</v>
      </c>
      <c r="J36" s="39">
        <v>2400</v>
      </c>
      <c r="K36" s="17">
        <f t="shared" si="1"/>
        <v>133.33333333333334</v>
      </c>
      <c r="L36" s="273">
        <v>18</v>
      </c>
      <c r="M36" s="18">
        <f t="shared" si="24"/>
        <v>2305.5555555555566</v>
      </c>
      <c r="N36" s="17">
        <f t="shared" si="3"/>
        <v>128.08641975308649</v>
      </c>
      <c r="O36" s="19">
        <f t="shared" si="4"/>
        <v>0</v>
      </c>
      <c r="P36" s="20">
        <f t="shared" si="5"/>
        <v>-5.2469135802468543</v>
      </c>
      <c r="Q36" s="269">
        <f t="shared" si="6"/>
        <v>0.96064814814814858</v>
      </c>
      <c r="R36" s="637"/>
      <c r="S36" s="40">
        <v>0.43888888888888883</v>
      </c>
      <c r="T36" s="40">
        <v>0.47638888888888881</v>
      </c>
      <c r="U36" s="268">
        <f t="shared" si="26"/>
        <v>5.9999999999999787</v>
      </c>
      <c r="V36" s="274">
        <f t="shared" si="25"/>
        <v>53.999999999999972</v>
      </c>
      <c r="W36" s="23">
        <f>T36</f>
        <v>0.47638888888888881</v>
      </c>
      <c r="X36" s="23">
        <f>S37</f>
        <v>0.51736111111111105</v>
      </c>
      <c r="Y36" s="23"/>
      <c r="Z36" s="23"/>
      <c r="AA36" s="632"/>
      <c r="AB36" s="632"/>
      <c r="AC36" s="25"/>
      <c r="AD36" s="25"/>
      <c r="AE36" s="19">
        <f t="shared" si="8"/>
        <v>-94.444444444443434</v>
      </c>
      <c r="AF36" s="269">
        <f t="shared" si="9"/>
        <v>0.96064814814814858</v>
      </c>
      <c r="AG36" s="637"/>
    </row>
    <row r="37" spans="1:33" ht="15.75" customHeight="1">
      <c r="A37" s="654" t="s">
        <v>1271</v>
      </c>
      <c r="B37" s="42" t="s">
        <v>116</v>
      </c>
      <c r="C37" s="653" t="s">
        <v>117</v>
      </c>
      <c r="D37" s="653"/>
      <c r="E37" s="42">
        <v>31.29</v>
      </c>
      <c r="F37" s="275">
        <v>3738</v>
      </c>
      <c r="G37" s="268">
        <f t="shared" si="23"/>
        <v>116962.02</v>
      </c>
      <c r="H37" s="37" t="s">
        <v>91</v>
      </c>
      <c r="I37" s="273">
        <v>18</v>
      </c>
      <c r="J37" s="39">
        <v>2400</v>
      </c>
      <c r="K37" s="17">
        <f t="shared" si="1"/>
        <v>133.33333333333334</v>
      </c>
      <c r="L37" s="273">
        <v>18</v>
      </c>
      <c r="M37" s="18">
        <f t="shared" si="24"/>
        <v>2288.5714285714294</v>
      </c>
      <c r="N37" s="17">
        <f t="shared" si="3"/>
        <v>127.14285714285718</v>
      </c>
      <c r="O37" s="19">
        <f t="shared" si="4"/>
        <v>0</v>
      </c>
      <c r="P37" s="20">
        <f t="shared" si="5"/>
        <v>-6.1904761904761614</v>
      </c>
      <c r="Q37" s="269">
        <f t="shared" si="6"/>
        <v>0.95357142857142885</v>
      </c>
      <c r="R37" s="637"/>
      <c r="S37" s="40">
        <v>0.51736111111111105</v>
      </c>
      <c r="T37" s="40">
        <v>0.58541666666666659</v>
      </c>
      <c r="U37" s="268">
        <f t="shared" si="26"/>
        <v>59.000000000000028</v>
      </c>
      <c r="V37" s="274">
        <f t="shared" si="25"/>
        <v>97.999999999999972</v>
      </c>
      <c r="W37" s="23"/>
      <c r="X37" s="23"/>
      <c r="Y37" s="23"/>
      <c r="Z37" s="23"/>
      <c r="AA37" s="632"/>
      <c r="AB37" s="632"/>
      <c r="AC37" s="25"/>
      <c r="AD37" s="25"/>
      <c r="AE37" s="19">
        <f t="shared" si="8"/>
        <v>-111.42857142857065</v>
      </c>
      <c r="AF37" s="269">
        <f t="shared" si="9"/>
        <v>0.95357142857142885</v>
      </c>
      <c r="AG37" s="637"/>
    </row>
    <row r="38" spans="1:33" ht="15.75" customHeight="1">
      <c r="A38" s="654" t="s">
        <v>1273</v>
      </c>
      <c r="B38" s="42" t="s">
        <v>116</v>
      </c>
      <c r="C38" s="653" t="s">
        <v>124</v>
      </c>
      <c r="D38" s="653"/>
      <c r="E38" s="42">
        <v>24.43</v>
      </c>
      <c r="F38" s="275">
        <v>3166</v>
      </c>
      <c r="G38" s="268">
        <f t="shared" si="23"/>
        <v>77345.38</v>
      </c>
      <c r="H38" s="37" t="s">
        <v>91</v>
      </c>
      <c r="I38" s="273">
        <v>14</v>
      </c>
      <c r="J38" s="39">
        <v>2400</v>
      </c>
      <c r="K38" s="17">
        <f t="shared" si="1"/>
        <v>171.42857142857142</v>
      </c>
      <c r="L38" s="273">
        <v>14</v>
      </c>
      <c r="M38" s="18">
        <f t="shared" si="24"/>
        <v>2288.6746987951801</v>
      </c>
      <c r="N38" s="17">
        <f t="shared" si="3"/>
        <v>163.47676419965572</v>
      </c>
      <c r="O38" s="19">
        <f t="shared" si="4"/>
        <v>0</v>
      </c>
      <c r="P38" s="20">
        <f t="shared" si="5"/>
        <v>-7.9518072289156976</v>
      </c>
      <c r="Q38" s="269">
        <f t="shared" si="6"/>
        <v>0.95361445783132515</v>
      </c>
      <c r="R38" s="637"/>
      <c r="S38" s="40">
        <v>0.59097222222222212</v>
      </c>
      <c r="T38" s="40">
        <v>0.64861111111111103</v>
      </c>
      <c r="U38" s="268">
        <f t="shared" si="26"/>
        <v>7.9999999999999716</v>
      </c>
      <c r="V38" s="274">
        <f t="shared" si="25"/>
        <v>83.000000000000028</v>
      </c>
      <c r="W38" s="23"/>
      <c r="X38" s="23"/>
      <c r="Y38" s="23"/>
      <c r="Z38" s="23"/>
      <c r="AA38" s="632"/>
      <c r="AB38" s="632"/>
      <c r="AC38" s="25"/>
      <c r="AD38" s="25"/>
      <c r="AE38" s="19">
        <f t="shared" si="8"/>
        <v>-111.32530120481988</v>
      </c>
      <c r="AF38" s="269">
        <f t="shared" si="9"/>
        <v>0.95361445783132504</v>
      </c>
      <c r="AG38" s="637"/>
    </row>
    <row r="39" spans="1:33" ht="15.75" customHeight="1">
      <c r="A39" s="654" t="s">
        <v>1273</v>
      </c>
      <c r="B39" s="42" t="s">
        <v>1274</v>
      </c>
      <c r="C39" s="638"/>
      <c r="D39" s="638"/>
      <c r="E39" s="270"/>
      <c r="F39" s="275"/>
      <c r="G39" s="268"/>
      <c r="H39" s="275"/>
      <c r="I39" s="29">
        <v>16.714285714285715</v>
      </c>
      <c r="J39" s="39">
        <v>2400</v>
      </c>
      <c r="K39" s="17">
        <f t="shared" si="1"/>
        <v>143.58974358974359</v>
      </c>
      <c r="L39" s="29">
        <v>16.714285714285715</v>
      </c>
      <c r="M39" s="18">
        <f>AVERAGE(M32:M38)</f>
        <v>2292.3878824802659</v>
      </c>
      <c r="N39" s="17">
        <f t="shared" si="3"/>
        <v>137.1514117723236</v>
      </c>
      <c r="O39" s="19">
        <f t="shared" si="4"/>
        <v>0</v>
      </c>
      <c r="P39" s="20">
        <f t="shared" si="5"/>
        <v>-6.4383318174199928</v>
      </c>
      <c r="Q39" s="269">
        <f t="shared" si="6"/>
        <v>0.95516161770011077</v>
      </c>
      <c r="R39" s="637"/>
      <c r="S39" s="40"/>
      <c r="T39" s="40"/>
      <c r="U39" s="268"/>
      <c r="V39" s="274"/>
      <c r="W39" s="268"/>
      <c r="X39" s="268"/>
      <c r="Y39" s="30">
        <f>SUM(Y32:Y38)</f>
        <v>0</v>
      </c>
      <c r="Z39" s="30">
        <f>SUM(Z32:Z38)</f>
        <v>0</v>
      </c>
      <c r="AA39" s="631"/>
      <c r="AB39" s="631"/>
      <c r="AC39" s="30">
        <v>7</v>
      </c>
      <c r="AD39" s="30">
        <f>SUM(AD32:AD38)</f>
        <v>0</v>
      </c>
      <c r="AE39" s="19">
        <f t="shared" si="8"/>
        <v>-107.61211751973406</v>
      </c>
      <c r="AF39" s="269">
        <f t="shared" si="9"/>
        <v>0.95516161770011077</v>
      </c>
      <c r="AG39" s="637"/>
    </row>
    <row r="40" spans="1:33" ht="15.75" customHeight="1">
      <c r="A40" s="651" t="s">
        <v>1275</v>
      </c>
      <c r="B40" s="42" t="s">
        <v>116</v>
      </c>
      <c r="C40" s="633" t="s">
        <v>123</v>
      </c>
      <c r="D40" s="633"/>
      <c r="E40" s="42">
        <v>26.18</v>
      </c>
      <c r="F40" s="275">
        <v>3400</v>
      </c>
      <c r="G40" s="268">
        <f t="shared" ref="G40:G47" si="27">E40*F40</f>
        <v>89012</v>
      </c>
      <c r="H40" s="37">
        <v>2</v>
      </c>
      <c r="I40" s="273">
        <v>20</v>
      </c>
      <c r="J40" s="39">
        <v>2400</v>
      </c>
      <c r="K40" s="17">
        <f t="shared" si="1"/>
        <v>120</v>
      </c>
      <c r="L40" s="273">
        <v>20</v>
      </c>
      <c r="M40" s="18">
        <f t="shared" ref="M40:M47" si="28">F40/V40*60</f>
        <v>2292.1348314606748</v>
      </c>
      <c r="N40" s="17">
        <f t="shared" si="3"/>
        <v>114.60674157303374</v>
      </c>
      <c r="O40" s="19">
        <f t="shared" si="4"/>
        <v>0</v>
      </c>
      <c r="P40" s="20">
        <f t="shared" si="5"/>
        <v>-5.3932584269662556</v>
      </c>
      <c r="Q40" s="269">
        <f t="shared" si="6"/>
        <v>0.95505617977528123</v>
      </c>
      <c r="R40" s="637">
        <f>Q48</f>
        <v>0.95440060917166003</v>
      </c>
      <c r="S40" s="40">
        <v>8.3333333333333329E-2</v>
      </c>
      <c r="T40" s="40">
        <v>0.14513888888888887</v>
      </c>
      <c r="U40" s="268"/>
      <c r="V40" s="274">
        <f t="shared" ref="V40:V47" si="29">(T40-S40)*24*60</f>
        <v>88.999999999999972</v>
      </c>
      <c r="W40" s="28">
        <f>T40</f>
        <v>0.14513888888888887</v>
      </c>
      <c r="X40" s="28">
        <f>S41</f>
        <v>0.16458333333333333</v>
      </c>
      <c r="Y40" s="28"/>
      <c r="Z40" s="28"/>
      <c r="AA40" s="632"/>
      <c r="AB40" s="632"/>
      <c r="AC40" s="25">
        <v>8</v>
      </c>
      <c r="AD40" s="25"/>
      <c r="AE40" s="19">
        <f t="shared" si="8"/>
        <v>-107.86516853932517</v>
      </c>
      <c r="AF40" s="269">
        <f t="shared" si="9"/>
        <v>0.95505617977528123</v>
      </c>
      <c r="AG40" s="637">
        <f>AF48</f>
        <v>0.95440060917166003</v>
      </c>
    </row>
    <row r="41" spans="1:33" ht="15.75" customHeight="1">
      <c r="A41" s="651" t="s">
        <v>1275</v>
      </c>
      <c r="B41" s="42" t="s">
        <v>116</v>
      </c>
      <c r="C41" s="633" t="s">
        <v>125</v>
      </c>
      <c r="D41" s="633"/>
      <c r="E41" s="42">
        <v>25.98</v>
      </c>
      <c r="F41" s="275">
        <v>3345</v>
      </c>
      <c r="G41" s="268">
        <f t="shared" si="27"/>
        <v>86903.1</v>
      </c>
      <c r="H41" s="37" t="s">
        <v>91</v>
      </c>
      <c r="I41" s="273">
        <v>20</v>
      </c>
      <c r="J41" s="39">
        <v>2400</v>
      </c>
      <c r="K41" s="17">
        <f t="shared" si="1"/>
        <v>120</v>
      </c>
      <c r="L41" s="273">
        <v>20</v>
      </c>
      <c r="M41" s="18">
        <f t="shared" si="28"/>
        <v>2280.681818181818</v>
      </c>
      <c r="N41" s="17">
        <f t="shared" si="3"/>
        <v>114.03409090909091</v>
      </c>
      <c r="O41" s="19">
        <f t="shared" si="4"/>
        <v>0</v>
      </c>
      <c r="P41" s="20">
        <f t="shared" si="5"/>
        <v>-5.9659090909090935</v>
      </c>
      <c r="Q41" s="269">
        <f t="shared" si="6"/>
        <v>0.95028409090909094</v>
      </c>
      <c r="R41" s="637"/>
      <c r="S41" s="40">
        <v>0.16458333333333333</v>
      </c>
      <c r="T41" s="40">
        <v>0.22569444444444445</v>
      </c>
      <c r="U41" s="268">
        <f t="shared" ref="U41:U47" si="30">(S41-T40)*24*60</f>
        <v>28.000000000000021</v>
      </c>
      <c r="V41" s="274">
        <f t="shared" si="29"/>
        <v>88</v>
      </c>
      <c r="W41" s="268"/>
      <c r="X41" s="268"/>
      <c r="Y41" s="268"/>
      <c r="Z41" s="268"/>
      <c r="AA41" s="632"/>
      <c r="AB41" s="632"/>
      <c r="AC41" s="25"/>
      <c r="AD41" s="25"/>
      <c r="AE41" s="19">
        <f t="shared" si="8"/>
        <v>-119.31818181818198</v>
      </c>
      <c r="AF41" s="269">
        <f t="shared" si="9"/>
        <v>0.95028409090909083</v>
      </c>
      <c r="AG41" s="637"/>
    </row>
    <row r="42" spans="1:33">
      <c r="A42" s="652" t="s">
        <v>1275</v>
      </c>
      <c r="B42" s="42" t="s">
        <v>116</v>
      </c>
      <c r="C42" s="633" t="s">
        <v>119</v>
      </c>
      <c r="D42" s="633"/>
      <c r="E42" s="42">
        <v>26.18</v>
      </c>
      <c r="F42" s="275">
        <v>4500</v>
      </c>
      <c r="G42" s="268">
        <f t="shared" si="27"/>
        <v>117810</v>
      </c>
      <c r="H42" s="37">
        <v>2</v>
      </c>
      <c r="I42" s="273">
        <v>18</v>
      </c>
      <c r="J42" s="39">
        <v>2400</v>
      </c>
      <c r="K42" s="17">
        <f t="shared" si="1"/>
        <v>133.33333333333334</v>
      </c>
      <c r="L42" s="273">
        <v>18</v>
      </c>
      <c r="M42" s="18">
        <f t="shared" si="28"/>
        <v>2288.1355932203396</v>
      </c>
      <c r="N42" s="17">
        <f t="shared" si="3"/>
        <v>127.11864406779665</v>
      </c>
      <c r="O42" s="19">
        <f t="shared" si="4"/>
        <v>0</v>
      </c>
      <c r="P42" s="20">
        <f t="shared" si="5"/>
        <v>-6.2146892655366912</v>
      </c>
      <c r="Q42" s="269">
        <f t="shared" si="6"/>
        <v>0.95338983050847481</v>
      </c>
      <c r="R42" s="637"/>
      <c r="S42" s="40">
        <v>0.22986111111111113</v>
      </c>
      <c r="T42" s="40">
        <v>0.31180555555555556</v>
      </c>
      <c r="U42" s="268">
        <f t="shared" si="30"/>
        <v>6.0000000000000187</v>
      </c>
      <c r="V42" s="274">
        <f t="shared" si="29"/>
        <v>117.99999999999999</v>
      </c>
      <c r="W42" s="268"/>
      <c r="X42" s="268"/>
      <c r="Y42" s="268"/>
      <c r="Z42" s="268"/>
      <c r="AA42" s="632"/>
      <c r="AB42" s="632"/>
      <c r="AC42" s="25"/>
      <c r="AD42" s="25"/>
      <c r="AE42" s="19">
        <f t="shared" si="8"/>
        <v>-111.86440677966038</v>
      </c>
      <c r="AF42" s="269">
        <f t="shared" si="9"/>
        <v>0.95338983050847481</v>
      </c>
      <c r="AG42" s="637"/>
    </row>
    <row r="43" spans="1:33">
      <c r="A43" s="652" t="s">
        <v>1276</v>
      </c>
      <c r="B43" s="42" t="s">
        <v>116</v>
      </c>
      <c r="C43" s="633" t="s">
        <v>121</v>
      </c>
      <c r="D43" s="633"/>
      <c r="E43" s="42">
        <v>25.99</v>
      </c>
      <c r="F43" s="275">
        <v>3875</v>
      </c>
      <c r="G43" s="268">
        <f t="shared" si="27"/>
        <v>100711.25</v>
      </c>
      <c r="H43" s="37" t="s">
        <v>91</v>
      </c>
      <c r="I43" s="273">
        <v>14</v>
      </c>
      <c r="J43" s="39">
        <v>2400</v>
      </c>
      <c r="K43" s="17">
        <f t="shared" si="1"/>
        <v>171.42857142857142</v>
      </c>
      <c r="L43" s="273">
        <v>14</v>
      </c>
      <c r="M43" s="18">
        <f t="shared" si="28"/>
        <v>2301.9801980198026</v>
      </c>
      <c r="N43" s="17">
        <f t="shared" si="3"/>
        <v>164.42715700141449</v>
      </c>
      <c r="O43" s="19">
        <f t="shared" si="4"/>
        <v>0</v>
      </c>
      <c r="P43" s="20">
        <f t="shared" si="5"/>
        <v>-7.0014144271569307</v>
      </c>
      <c r="Q43" s="269">
        <f t="shared" si="6"/>
        <v>0.95915841584158457</v>
      </c>
      <c r="R43" s="637"/>
      <c r="S43" s="40">
        <v>0.31597222222222221</v>
      </c>
      <c r="T43" s="40">
        <v>0.38611111111111107</v>
      </c>
      <c r="U43" s="268">
        <f t="shared" si="30"/>
        <v>5.9999999999999787</v>
      </c>
      <c r="V43" s="274">
        <f t="shared" si="29"/>
        <v>100.99999999999996</v>
      </c>
      <c r="W43" s="23"/>
      <c r="X43" s="23"/>
      <c r="Y43" s="23"/>
      <c r="Z43" s="23"/>
      <c r="AA43" s="632"/>
      <c r="AB43" s="632"/>
      <c r="AC43" s="25"/>
      <c r="AD43" s="25"/>
      <c r="AE43" s="19">
        <f t="shared" si="8"/>
        <v>-98.019801980197371</v>
      </c>
      <c r="AF43" s="269">
        <f t="shared" si="9"/>
        <v>0.95915841584158446</v>
      </c>
      <c r="AG43" s="637"/>
    </row>
    <row r="44" spans="1:33">
      <c r="A44" s="652" t="s">
        <v>1275</v>
      </c>
      <c r="B44" s="42" t="s">
        <v>116</v>
      </c>
      <c r="C44" s="633" t="s">
        <v>126</v>
      </c>
      <c r="D44" s="633"/>
      <c r="E44" s="42">
        <v>34.1</v>
      </c>
      <c r="F44" s="275">
        <v>3500</v>
      </c>
      <c r="G44" s="268">
        <f t="shared" si="27"/>
        <v>119350</v>
      </c>
      <c r="H44" s="37">
        <v>2</v>
      </c>
      <c r="I44" s="273">
        <v>17</v>
      </c>
      <c r="J44" s="39">
        <v>1600</v>
      </c>
      <c r="K44" s="17">
        <f t="shared" si="1"/>
        <v>94.117647058823536</v>
      </c>
      <c r="L44" s="273">
        <v>17</v>
      </c>
      <c r="M44" s="18">
        <f t="shared" si="28"/>
        <v>1532.8467153284673</v>
      </c>
      <c r="N44" s="17">
        <f t="shared" si="3"/>
        <v>90.167453842851017</v>
      </c>
      <c r="O44" s="19">
        <f t="shared" si="4"/>
        <v>0</v>
      </c>
      <c r="P44" s="20">
        <f t="shared" si="5"/>
        <v>-3.9501932159725186</v>
      </c>
      <c r="Q44" s="269">
        <f t="shared" si="6"/>
        <v>0.95802919708029199</v>
      </c>
      <c r="R44" s="637"/>
      <c r="S44" s="40">
        <v>0.39027777777777772</v>
      </c>
      <c r="T44" s="40">
        <v>0.48541666666666661</v>
      </c>
      <c r="U44" s="268">
        <f t="shared" si="30"/>
        <v>5.9999999999999787</v>
      </c>
      <c r="V44" s="274">
        <f t="shared" si="29"/>
        <v>137</v>
      </c>
      <c r="W44" s="23">
        <f>T44</f>
        <v>0.48541666666666661</v>
      </c>
      <c r="X44" s="23">
        <f>S45</f>
        <v>0.52361111111111103</v>
      </c>
      <c r="Y44" s="23"/>
      <c r="Z44" s="23"/>
      <c r="AA44" s="632"/>
      <c r="AB44" s="632"/>
      <c r="AC44" s="25"/>
      <c r="AD44" s="25"/>
      <c r="AE44" s="19">
        <f t="shared" si="8"/>
        <v>-67.153284671532674</v>
      </c>
      <c r="AF44" s="269">
        <f t="shared" si="9"/>
        <v>0.95802919708029211</v>
      </c>
      <c r="AG44" s="637"/>
    </row>
    <row r="45" spans="1:33">
      <c r="A45" s="652" t="s">
        <v>1275</v>
      </c>
      <c r="B45" s="42" t="s">
        <v>116</v>
      </c>
      <c r="C45" s="633" t="s">
        <v>123</v>
      </c>
      <c r="D45" s="633"/>
      <c r="E45" s="42">
        <v>26.18</v>
      </c>
      <c r="F45" s="275">
        <v>2663</v>
      </c>
      <c r="G45" s="268">
        <f t="shared" si="27"/>
        <v>69717.34</v>
      </c>
      <c r="H45" s="37" t="s">
        <v>91</v>
      </c>
      <c r="I45" s="273">
        <v>20</v>
      </c>
      <c r="J45" s="39">
        <v>2400</v>
      </c>
      <c r="K45" s="17">
        <f t="shared" si="1"/>
        <v>120</v>
      </c>
      <c r="L45" s="273">
        <v>20</v>
      </c>
      <c r="M45" s="18">
        <f t="shared" si="28"/>
        <v>2282.5714285714262</v>
      </c>
      <c r="N45" s="17">
        <f t="shared" si="3"/>
        <v>114.12857142857131</v>
      </c>
      <c r="O45" s="19">
        <f t="shared" si="4"/>
        <v>0</v>
      </c>
      <c r="P45" s="20">
        <f t="shared" si="5"/>
        <v>-5.8714285714286945</v>
      </c>
      <c r="Q45" s="269">
        <f t="shared" si="6"/>
        <v>0.95107142857142757</v>
      </c>
      <c r="R45" s="637"/>
      <c r="S45" s="40">
        <v>0.52361111111111103</v>
      </c>
      <c r="T45" s="40">
        <v>0.57222222222222219</v>
      </c>
      <c r="U45" s="268">
        <f t="shared" si="30"/>
        <v>54.999999999999964</v>
      </c>
      <c r="V45" s="274">
        <f t="shared" si="29"/>
        <v>70.000000000000071</v>
      </c>
      <c r="W45" s="23"/>
      <c r="X45" s="23"/>
      <c r="Y45" s="23"/>
      <c r="Z45" s="23"/>
      <c r="AA45" s="632"/>
      <c r="AB45" s="632"/>
      <c r="AC45" s="25"/>
      <c r="AD45" s="25"/>
      <c r="AE45" s="19">
        <f t="shared" si="8"/>
        <v>-117.42857142857383</v>
      </c>
      <c r="AF45" s="269">
        <f t="shared" si="9"/>
        <v>0.95107142857142757</v>
      </c>
      <c r="AG45" s="637"/>
    </row>
    <row r="46" spans="1:33">
      <c r="A46" s="652" t="s">
        <v>1275</v>
      </c>
      <c r="B46" s="42" t="s">
        <v>116</v>
      </c>
      <c r="C46" s="633" t="s">
        <v>119</v>
      </c>
      <c r="D46" s="633"/>
      <c r="E46" s="42">
        <v>26.18</v>
      </c>
      <c r="F46" s="275">
        <v>3591</v>
      </c>
      <c r="G46" s="268">
        <f t="shared" si="27"/>
        <v>94012.38</v>
      </c>
      <c r="H46" s="37" t="s">
        <v>91</v>
      </c>
      <c r="I46" s="273">
        <v>18</v>
      </c>
      <c r="J46" s="39">
        <v>2400</v>
      </c>
      <c r="K46" s="17">
        <f t="shared" si="1"/>
        <v>133.33333333333334</v>
      </c>
      <c r="L46" s="273">
        <v>18</v>
      </c>
      <c r="M46" s="18">
        <f t="shared" si="28"/>
        <v>2292.1276595744685</v>
      </c>
      <c r="N46" s="17">
        <f t="shared" si="3"/>
        <v>127.34042553191492</v>
      </c>
      <c r="O46" s="19">
        <f t="shared" si="4"/>
        <v>0</v>
      </c>
      <c r="P46" s="20">
        <f t="shared" si="5"/>
        <v>-5.9929078014184256</v>
      </c>
      <c r="Q46" s="269">
        <f t="shared" si="6"/>
        <v>0.95505319148936185</v>
      </c>
      <c r="R46" s="637"/>
      <c r="S46" s="40">
        <v>0.5756944444444444</v>
      </c>
      <c r="T46" s="40">
        <v>0.64097222222222217</v>
      </c>
      <c r="U46" s="268">
        <f t="shared" si="30"/>
        <v>4.9999999999999822</v>
      </c>
      <c r="V46" s="274">
        <f t="shared" si="29"/>
        <v>93.999999999999986</v>
      </c>
      <c r="W46" s="23"/>
      <c r="X46" s="23"/>
      <c r="Y46" s="26"/>
      <c r="Z46" s="26"/>
      <c r="AA46" s="627"/>
      <c r="AB46" s="628"/>
      <c r="AC46" s="25"/>
      <c r="AD46" s="25"/>
      <c r="AE46" s="19">
        <f t="shared" si="8"/>
        <v>-107.87234042553155</v>
      </c>
      <c r="AF46" s="269">
        <f t="shared" si="9"/>
        <v>0.95505319148936185</v>
      </c>
      <c r="AG46" s="637"/>
    </row>
    <row r="47" spans="1:33">
      <c r="A47" s="652" t="s">
        <v>1275</v>
      </c>
      <c r="B47" s="42" t="s">
        <v>116</v>
      </c>
      <c r="C47" s="633" t="s">
        <v>126</v>
      </c>
      <c r="D47" s="633"/>
      <c r="E47" s="42">
        <v>34.1</v>
      </c>
      <c r="F47" s="275">
        <v>2774</v>
      </c>
      <c r="G47" s="268">
        <f t="shared" si="27"/>
        <v>94593.400000000009</v>
      </c>
      <c r="H47" s="37" t="s">
        <v>91</v>
      </c>
      <c r="I47" s="273">
        <v>17</v>
      </c>
      <c r="J47" s="39">
        <v>1600</v>
      </c>
      <c r="K47" s="17">
        <f t="shared" si="1"/>
        <v>94.117647058823536</v>
      </c>
      <c r="L47" s="273">
        <v>17</v>
      </c>
      <c r="M47" s="18">
        <f t="shared" si="28"/>
        <v>1526.9724770642213</v>
      </c>
      <c r="N47" s="17">
        <f t="shared" si="3"/>
        <v>89.821910415542433</v>
      </c>
      <c r="O47" s="19">
        <f t="shared" si="4"/>
        <v>0</v>
      </c>
      <c r="P47" s="20">
        <f t="shared" si="5"/>
        <v>-4.2957366432811028</v>
      </c>
      <c r="Q47" s="269">
        <f t="shared" si="6"/>
        <v>0.95435779816513833</v>
      </c>
      <c r="R47" s="637"/>
      <c r="S47" s="40">
        <v>0.64583333333333326</v>
      </c>
      <c r="T47" s="40">
        <v>0.72152777777777766</v>
      </c>
      <c r="U47" s="268">
        <f t="shared" si="30"/>
        <v>6.9999999999999751</v>
      </c>
      <c r="V47" s="274">
        <f t="shared" si="29"/>
        <v>108.99999999999993</v>
      </c>
      <c r="W47" s="23"/>
      <c r="X47" s="23"/>
      <c r="Y47" s="26"/>
      <c r="Z47" s="26"/>
      <c r="AA47" s="627"/>
      <c r="AB47" s="628"/>
      <c r="AC47" s="25"/>
      <c r="AD47" s="25"/>
      <c r="AE47" s="19">
        <f t="shared" si="8"/>
        <v>-73.027522935778734</v>
      </c>
      <c r="AF47" s="269">
        <f t="shared" si="9"/>
        <v>0.95435779816513833</v>
      </c>
      <c r="AG47" s="637"/>
    </row>
    <row r="48" spans="1:33">
      <c r="A48" s="652" t="s">
        <v>1275</v>
      </c>
      <c r="B48" s="44" t="s">
        <v>1274</v>
      </c>
      <c r="C48" s="638"/>
      <c r="D48" s="638"/>
      <c r="E48" s="270"/>
      <c r="F48" s="44"/>
      <c r="G48" s="17"/>
      <c r="H48" s="275"/>
      <c r="I48" s="29">
        <v>18</v>
      </c>
      <c r="J48" s="39">
        <v>2200</v>
      </c>
      <c r="K48" s="17">
        <f t="shared" si="1"/>
        <v>122.22222222222223</v>
      </c>
      <c r="L48" s="29">
        <v>18</v>
      </c>
      <c r="M48" s="18">
        <f>AVERAGE(M40:M47)</f>
        <v>2099.6813401776521</v>
      </c>
      <c r="N48" s="17">
        <f t="shared" si="3"/>
        <v>116.64896334320289</v>
      </c>
      <c r="O48" s="19">
        <f t="shared" si="4"/>
        <v>0</v>
      </c>
      <c r="P48" s="20">
        <f t="shared" si="5"/>
        <v>-5.5732588790193347</v>
      </c>
      <c r="Q48" s="269">
        <f t="shared" si="6"/>
        <v>0.95440060917166003</v>
      </c>
      <c r="R48" s="637"/>
      <c r="S48" s="40"/>
      <c r="T48" s="40"/>
      <c r="U48" s="17"/>
      <c r="V48" s="274"/>
      <c r="W48" s="17"/>
      <c r="X48" s="17"/>
      <c r="Y48" s="30">
        <f>SUM(Y40:Y47)</f>
        <v>0</v>
      </c>
      <c r="Z48" s="30">
        <f>SUM(Z40:Z47)</f>
        <v>0</v>
      </c>
      <c r="AA48" s="631"/>
      <c r="AB48" s="631"/>
      <c r="AC48" s="30">
        <v>8</v>
      </c>
      <c r="AD48" s="30">
        <f>SUM(AD40:AD47)</f>
        <v>0</v>
      </c>
      <c r="AE48" s="19">
        <f t="shared" si="8"/>
        <v>-100.31865982234785</v>
      </c>
      <c r="AF48" s="269">
        <f t="shared" si="9"/>
        <v>0.95440060917166003</v>
      </c>
      <c r="AG48" s="637"/>
    </row>
    <row r="49" spans="1:33" ht="15.75" customHeight="1">
      <c r="A49" s="648" t="s">
        <v>1277</v>
      </c>
      <c r="B49" s="42" t="s">
        <v>127</v>
      </c>
      <c r="C49" s="625" t="s">
        <v>128</v>
      </c>
      <c r="D49" s="626"/>
      <c r="E49" s="42">
        <v>21.13</v>
      </c>
      <c r="F49" s="275">
        <v>5565</v>
      </c>
      <c r="G49" s="268">
        <f t="shared" ref="G49:G52" si="31">E49*F49</f>
        <v>117588.45</v>
      </c>
      <c r="H49" s="37" t="s">
        <v>91</v>
      </c>
      <c r="I49" s="273">
        <v>10</v>
      </c>
      <c r="J49" s="39">
        <v>3000</v>
      </c>
      <c r="K49" s="17">
        <f t="shared" si="1"/>
        <v>300</v>
      </c>
      <c r="L49" s="273">
        <v>10</v>
      </c>
      <c r="M49" s="18">
        <f t="shared" ref="M49:M52" si="32">F49/V49*60</f>
        <v>2878.4482758620684</v>
      </c>
      <c r="N49" s="18">
        <f t="shared" si="3"/>
        <v>287.84482758620686</v>
      </c>
      <c r="O49" s="19">
        <f t="shared" si="4"/>
        <v>0</v>
      </c>
      <c r="P49" s="20">
        <f t="shared" si="5"/>
        <v>-12.155172413793139</v>
      </c>
      <c r="Q49" s="269">
        <f t="shared" si="6"/>
        <v>0.95948275862068955</v>
      </c>
      <c r="R49" s="643">
        <f>Q53</f>
        <v>0.95641614420062515</v>
      </c>
      <c r="S49" s="40">
        <v>0.20833333333333334</v>
      </c>
      <c r="T49" s="40">
        <v>0.28888888888888892</v>
      </c>
      <c r="U49" s="28"/>
      <c r="V49" s="274">
        <f t="shared" ref="V49:V52" si="33">(T49-S49)*24*60</f>
        <v>116.00000000000003</v>
      </c>
      <c r="W49" s="23"/>
      <c r="X49" s="23"/>
      <c r="Y49" s="26"/>
      <c r="Z49" s="26"/>
      <c r="AA49" s="627"/>
      <c r="AB49" s="628"/>
      <c r="AC49" s="25">
        <v>4</v>
      </c>
      <c r="AD49" s="25"/>
      <c r="AE49" s="19">
        <f t="shared" si="8"/>
        <v>-121.55172413793161</v>
      </c>
      <c r="AF49" s="269">
        <f t="shared" si="9"/>
        <v>0.95948275862068944</v>
      </c>
      <c r="AG49" s="643">
        <f>AF53</f>
        <v>0.95641614420062504</v>
      </c>
    </row>
    <row r="50" spans="1:33" ht="15.75" customHeight="1">
      <c r="A50" s="649" t="s">
        <v>1278</v>
      </c>
      <c r="B50" s="42" t="s">
        <v>127</v>
      </c>
      <c r="C50" s="625" t="s">
        <v>129</v>
      </c>
      <c r="D50" s="626"/>
      <c r="E50" s="42">
        <v>27.17</v>
      </c>
      <c r="F50" s="275">
        <v>4743</v>
      </c>
      <c r="G50" s="268">
        <f t="shared" si="31"/>
        <v>128867.31000000001</v>
      </c>
      <c r="H50" s="37" t="s">
        <v>91</v>
      </c>
      <c r="I50" s="273">
        <v>10</v>
      </c>
      <c r="J50" s="39">
        <v>3000</v>
      </c>
      <c r="K50" s="17">
        <f t="shared" si="1"/>
        <v>300</v>
      </c>
      <c r="L50" s="273">
        <v>10</v>
      </c>
      <c r="M50" s="18">
        <f t="shared" si="32"/>
        <v>2874.5454545454554</v>
      </c>
      <c r="N50" s="18">
        <f t="shared" si="3"/>
        <v>287.45454545454555</v>
      </c>
      <c r="O50" s="19">
        <f t="shared" si="4"/>
        <v>0</v>
      </c>
      <c r="P50" s="20">
        <f t="shared" si="5"/>
        <v>-12.545454545454447</v>
      </c>
      <c r="Q50" s="269">
        <f t="shared" si="6"/>
        <v>0.95818181818181847</v>
      </c>
      <c r="R50" s="644"/>
      <c r="S50" s="40">
        <v>0.29444444444444445</v>
      </c>
      <c r="T50" s="40">
        <v>0.36319444444444443</v>
      </c>
      <c r="U50" s="268">
        <f t="shared" ref="U50:U52" si="34">(S50-T49)*24*60</f>
        <v>7.9999999999999716</v>
      </c>
      <c r="V50" s="274">
        <f t="shared" si="33"/>
        <v>98.999999999999972</v>
      </c>
      <c r="W50" s="23"/>
      <c r="X50" s="23"/>
      <c r="Y50" s="26"/>
      <c r="Z50" s="26"/>
      <c r="AA50" s="627"/>
      <c r="AB50" s="628"/>
      <c r="AC50" s="25"/>
      <c r="AD50" s="25"/>
      <c r="AE50" s="19">
        <f t="shared" si="8"/>
        <v>-125.45454545454459</v>
      </c>
      <c r="AF50" s="269">
        <f t="shared" si="9"/>
        <v>0.95818181818181847</v>
      </c>
      <c r="AG50" s="644"/>
    </row>
    <row r="51" spans="1:33" ht="15.75" customHeight="1">
      <c r="A51" s="649" t="s">
        <v>1278</v>
      </c>
      <c r="B51" s="42" t="s">
        <v>127</v>
      </c>
      <c r="C51" s="625" t="s">
        <v>130</v>
      </c>
      <c r="D51" s="626"/>
      <c r="E51" s="42">
        <v>35.869999999999997</v>
      </c>
      <c r="F51" s="275">
        <v>1752</v>
      </c>
      <c r="G51" s="268">
        <f t="shared" si="31"/>
        <v>62844.24</v>
      </c>
      <c r="H51" s="37" t="s">
        <v>91</v>
      </c>
      <c r="I51" s="273">
        <v>9</v>
      </c>
      <c r="J51" s="39">
        <v>3000</v>
      </c>
      <c r="K51" s="17">
        <f t="shared" si="1"/>
        <v>333.33333333333331</v>
      </c>
      <c r="L51" s="273">
        <v>9</v>
      </c>
      <c r="M51" s="18">
        <f t="shared" si="32"/>
        <v>2919.9999999999977</v>
      </c>
      <c r="N51" s="18">
        <f t="shared" si="3"/>
        <v>324.44444444444417</v>
      </c>
      <c r="O51" s="19">
        <f t="shared" si="4"/>
        <v>0</v>
      </c>
      <c r="P51" s="20">
        <f t="shared" si="5"/>
        <v>-8.8888888888891415</v>
      </c>
      <c r="Q51" s="269">
        <f t="shared" si="6"/>
        <v>0.97333333333333261</v>
      </c>
      <c r="R51" s="644"/>
      <c r="S51" s="40">
        <v>0.36805555555555552</v>
      </c>
      <c r="T51" s="40">
        <v>0.39305555555555555</v>
      </c>
      <c r="U51" s="268">
        <f t="shared" si="34"/>
        <v>6.9999999999999751</v>
      </c>
      <c r="V51" s="274">
        <f t="shared" si="33"/>
        <v>36.000000000000028</v>
      </c>
      <c r="W51" s="23"/>
      <c r="X51" s="23"/>
      <c r="Y51" s="26"/>
      <c r="Z51" s="26"/>
      <c r="AA51" s="627"/>
      <c r="AB51" s="628"/>
      <c r="AC51" s="25"/>
      <c r="AD51" s="25"/>
      <c r="AE51" s="19">
        <f t="shared" si="8"/>
        <v>-80.000000000002274</v>
      </c>
      <c r="AF51" s="269">
        <f t="shared" si="9"/>
        <v>0.97333333333333261</v>
      </c>
      <c r="AG51" s="644"/>
    </row>
    <row r="52" spans="1:33" ht="15.75" customHeight="1">
      <c r="A52" s="649" t="s">
        <v>1278</v>
      </c>
      <c r="B52" s="42" t="s">
        <v>127</v>
      </c>
      <c r="C52" s="625" t="s">
        <v>131</v>
      </c>
      <c r="D52" s="626"/>
      <c r="E52" s="42">
        <v>34.35</v>
      </c>
      <c r="F52" s="275">
        <v>701</v>
      </c>
      <c r="G52" s="268">
        <f t="shared" si="31"/>
        <v>24079.350000000002</v>
      </c>
      <c r="H52" s="37" t="s">
        <v>91</v>
      </c>
      <c r="I52" s="273">
        <v>8</v>
      </c>
      <c r="J52" s="39">
        <v>3000</v>
      </c>
      <c r="K52" s="17">
        <f t="shared" si="1"/>
        <v>375</v>
      </c>
      <c r="L52" s="273">
        <v>8</v>
      </c>
      <c r="M52" s="18">
        <f t="shared" si="32"/>
        <v>2803.99999999998</v>
      </c>
      <c r="N52" s="18">
        <f t="shared" si="3"/>
        <v>350.4999999999975</v>
      </c>
      <c r="O52" s="19">
        <f t="shared" si="4"/>
        <v>0</v>
      </c>
      <c r="P52" s="20">
        <f t="shared" si="5"/>
        <v>-24.500000000002501</v>
      </c>
      <c r="Q52" s="269">
        <f t="shared" si="6"/>
        <v>0.93466666666665998</v>
      </c>
      <c r="R52" s="644"/>
      <c r="S52" s="40">
        <v>0.39652777777777776</v>
      </c>
      <c r="T52" s="40">
        <v>0.4069444444444445</v>
      </c>
      <c r="U52" s="268">
        <f t="shared" si="34"/>
        <v>4.9999999999999822</v>
      </c>
      <c r="V52" s="274">
        <f t="shared" si="33"/>
        <v>15.000000000000107</v>
      </c>
      <c r="W52" s="23"/>
      <c r="X52" s="23"/>
      <c r="Y52" s="26"/>
      <c r="Z52" s="26"/>
      <c r="AA52" s="627"/>
      <c r="AB52" s="628"/>
      <c r="AC52" s="25"/>
      <c r="AD52" s="25"/>
      <c r="AE52" s="19">
        <f t="shared" si="8"/>
        <v>-196.00000000002001</v>
      </c>
      <c r="AF52" s="269">
        <f t="shared" si="9"/>
        <v>0.93466666666665998</v>
      </c>
      <c r="AG52" s="644"/>
    </row>
    <row r="53" spans="1:33" ht="15.75" customHeight="1">
      <c r="A53" s="650" t="s">
        <v>1278</v>
      </c>
      <c r="B53" s="42" t="s">
        <v>1267</v>
      </c>
      <c r="C53" s="629"/>
      <c r="D53" s="630"/>
      <c r="E53" s="266"/>
      <c r="F53" s="275"/>
      <c r="G53" s="268"/>
      <c r="H53" s="275"/>
      <c r="I53" s="29">
        <v>9.25</v>
      </c>
      <c r="J53" s="39">
        <v>3000</v>
      </c>
      <c r="K53" s="17">
        <f t="shared" si="1"/>
        <v>324.32432432432432</v>
      </c>
      <c r="L53" s="29">
        <v>9.25</v>
      </c>
      <c r="M53" s="18">
        <f>AVERAGE(M49:M52)</f>
        <v>2869.2484326018753</v>
      </c>
      <c r="N53" s="17">
        <f t="shared" si="3"/>
        <v>310.18901974074328</v>
      </c>
      <c r="O53" s="19">
        <f t="shared" si="4"/>
        <v>0</v>
      </c>
      <c r="P53" s="20">
        <f t="shared" si="5"/>
        <v>-14.135304583581046</v>
      </c>
      <c r="Q53" s="269">
        <f t="shared" si="6"/>
        <v>0.95641614420062515</v>
      </c>
      <c r="R53" s="645"/>
      <c r="S53" s="40"/>
      <c r="T53" s="40"/>
      <c r="U53" s="268"/>
      <c r="V53" s="274"/>
      <c r="W53" s="23"/>
      <c r="X53" s="23"/>
      <c r="Y53" s="30">
        <f>SUM(Y49:Y52)</f>
        <v>0</v>
      </c>
      <c r="Z53" s="30">
        <f>SUM(Z49:Z52)</f>
        <v>0</v>
      </c>
      <c r="AA53" s="646"/>
      <c r="AB53" s="647"/>
      <c r="AC53" s="30">
        <v>4</v>
      </c>
      <c r="AD53" s="30">
        <f>SUM(AD49:AD52)</f>
        <v>0</v>
      </c>
      <c r="AE53" s="19">
        <f t="shared" si="8"/>
        <v>-130.75156739812473</v>
      </c>
      <c r="AF53" s="269">
        <f t="shared" si="9"/>
        <v>0.95641614420062504</v>
      </c>
      <c r="AG53" s="645"/>
    </row>
    <row r="54" spans="1:33" ht="15.75" customHeight="1">
      <c r="A54" s="641" t="s">
        <v>75</v>
      </c>
      <c r="B54" s="42" t="s">
        <v>92</v>
      </c>
      <c r="C54" s="633" t="s">
        <v>133</v>
      </c>
      <c r="D54" s="633"/>
      <c r="E54" s="42">
        <v>59.04</v>
      </c>
      <c r="F54" s="48">
        <v>1551</v>
      </c>
      <c r="G54" s="268">
        <f t="shared" ref="G54:G60" si="35">E54*F54</f>
        <v>91571.04</v>
      </c>
      <c r="H54" s="37" t="s">
        <v>91</v>
      </c>
      <c r="I54" s="273">
        <v>19</v>
      </c>
      <c r="J54" s="39">
        <v>2000</v>
      </c>
      <c r="K54" s="17">
        <f t="shared" si="1"/>
        <v>105.26315789473684</v>
      </c>
      <c r="L54" s="273">
        <v>19</v>
      </c>
      <c r="M54" s="18">
        <f t="shared" ref="M54" si="36">F54/V54*60</f>
        <v>1938.7500000000005</v>
      </c>
      <c r="N54" s="18">
        <f t="shared" si="3"/>
        <v>102.03947368421055</v>
      </c>
      <c r="O54" s="19">
        <f t="shared" si="4"/>
        <v>0</v>
      </c>
      <c r="P54" s="20">
        <f t="shared" si="5"/>
        <v>-3.2236842105262866</v>
      </c>
      <c r="Q54" s="269">
        <f t="shared" si="6"/>
        <v>0.96937500000000032</v>
      </c>
      <c r="R54" s="637">
        <f>Q61</f>
        <v>0.96001230089641132</v>
      </c>
      <c r="S54" s="40">
        <v>0.20833333333333334</v>
      </c>
      <c r="T54" s="40">
        <v>0.24166666666666667</v>
      </c>
      <c r="U54" s="28"/>
      <c r="V54" s="274">
        <f t="shared" ref="V54:V60" si="37">(T54-S54)*24*60</f>
        <v>47.999999999999986</v>
      </c>
      <c r="W54" s="23"/>
      <c r="X54" s="23"/>
      <c r="Y54" s="28"/>
      <c r="Z54" s="28"/>
      <c r="AA54" s="632"/>
      <c r="AB54" s="632"/>
      <c r="AC54" s="25">
        <v>7</v>
      </c>
      <c r="AD54" s="25"/>
      <c r="AE54" s="19">
        <f t="shared" si="8"/>
        <v>-61.249999999999545</v>
      </c>
      <c r="AF54" s="269">
        <f t="shared" si="9"/>
        <v>0.96937500000000021</v>
      </c>
      <c r="AG54" s="637">
        <f>AF61</f>
        <v>0.96001230089641121</v>
      </c>
    </row>
    <row r="55" spans="1:33" ht="15.75" customHeight="1">
      <c r="A55" s="641" t="s">
        <v>1279</v>
      </c>
      <c r="B55" s="42" t="s">
        <v>103</v>
      </c>
      <c r="C55" s="633" t="s">
        <v>132</v>
      </c>
      <c r="D55" s="633"/>
      <c r="E55" s="42">
        <v>51.44</v>
      </c>
      <c r="F55" s="48">
        <v>4647</v>
      </c>
      <c r="G55" s="268">
        <f t="shared" si="35"/>
        <v>239041.68</v>
      </c>
      <c r="H55" s="37" t="s">
        <v>91</v>
      </c>
      <c r="I55" s="273">
        <v>18</v>
      </c>
      <c r="J55" s="39">
        <v>2000</v>
      </c>
      <c r="K55" s="17">
        <f t="shared" si="1"/>
        <v>111.11111111111111</v>
      </c>
      <c r="L55" s="273">
        <v>18</v>
      </c>
      <c r="M55" s="18">
        <f>F55/V55*60</f>
        <v>1909.7260273972604</v>
      </c>
      <c r="N55" s="18">
        <f t="shared" si="3"/>
        <v>106.09589041095892</v>
      </c>
      <c r="O55" s="19">
        <f t="shared" si="4"/>
        <v>0</v>
      </c>
      <c r="P55" s="20">
        <f t="shared" si="5"/>
        <v>-5.0152207001521987</v>
      </c>
      <c r="Q55" s="269">
        <f t="shared" si="6"/>
        <v>0.95486301369863025</v>
      </c>
      <c r="R55" s="637"/>
      <c r="S55" s="40">
        <v>0.24513888888888888</v>
      </c>
      <c r="T55" s="40">
        <v>0.34652777777777777</v>
      </c>
      <c r="U55" s="268">
        <f t="shared" ref="U55:U60" si="38">IF(S55=TIME(17,0,0),"",(S55-T54)*24*60)</f>
        <v>4.9999999999999822</v>
      </c>
      <c r="V55" s="274">
        <f t="shared" si="37"/>
        <v>146</v>
      </c>
      <c r="W55" s="23"/>
      <c r="X55" s="23"/>
      <c r="Y55" s="23"/>
      <c r="Z55" s="23"/>
      <c r="AA55" s="632"/>
      <c r="AB55" s="632"/>
      <c r="AC55" s="25"/>
      <c r="AD55" s="25"/>
      <c r="AE55" s="19">
        <f t="shared" si="8"/>
        <v>-90.273972602739605</v>
      </c>
      <c r="AF55" s="269">
        <f t="shared" si="9"/>
        <v>0.95486301369863025</v>
      </c>
      <c r="AG55" s="637"/>
    </row>
    <row r="56" spans="1:33" ht="15.75" customHeight="1">
      <c r="A56" s="641" t="s">
        <v>75</v>
      </c>
      <c r="B56" s="42" t="s">
        <v>92</v>
      </c>
      <c r="C56" s="625" t="s">
        <v>135</v>
      </c>
      <c r="D56" s="626"/>
      <c r="E56" s="42">
        <v>51.44</v>
      </c>
      <c r="F56" s="48">
        <v>1738</v>
      </c>
      <c r="G56" s="268">
        <f t="shared" si="35"/>
        <v>89402.72</v>
      </c>
      <c r="H56" s="37" t="s">
        <v>91</v>
      </c>
      <c r="I56" s="273">
        <v>25</v>
      </c>
      <c r="J56" s="39">
        <v>2000</v>
      </c>
      <c r="K56" s="17">
        <f t="shared" si="1"/>
        <v>80</v>
      </c>
      <c r="L56" s="273">
        <v>25</v>
      </c>
      <c r="M56" s="18">
        <f t="shared" ref="M56:M60" si="39">F56/V56*60</f>
        <v>1931.1111111111122</v>
      </c>
      <c r="N56" s="18">
        <f t="shared" si="3"/>
        <v>77.244444444444483</v>
      </c>
      <c r="O56" s="19">
        <f t="shared" si="4"/>
        <v>0</v>
      </c>
      <c r="P56" s="20">
        <f t="shared" si="5"/>
        <v>-2.7555555555555173</v>
      </c>
      <c r="Q56" s="269">
        <f t="shared" si="6"/>
        <v>0.96555555555555606</v>
      </c>
      <c r="R56" s="637"/>
      <c r="S56" s="40">
        <v>0.3520833333333333</v>
      </c>
      <c r="T56" s="40">
        <v>0.38958333333333328</v>
      </c>
      <c r="U56" s="268">
        <f t="shared" si="38"/>
        <v>7.9999999999999716</v>
      </c>
      <c r="V56" s="274">
        <f t="shared" si="37"/>
        <v>53.999999999999972</v>
      </c>
      <c r="W56" s="23"/>
      <c r="X56" s="23"/>
      <c r="Y56" s="26"/>
      <c r="Z56" s="26"/>
      <c r="AA56" s="632"/>
      <c r="AB56" s="632"/>
      <c r="AC56" s="25"/>
      <c r="AD56" s="25"/>
      <c r="AE56" s="19">
        <f t="shared" si="8"/>
        <v>-68.888888888887777</v>
      </c>
      <c r="AF56" s="269">
        <f t="shared" si="9"/>
        <v>0.96555555555555617</v>
      </c>
      <c r="AG56" s="637"/>
    </row>
    <row r="57" spans="1:33" ht="15.75" customHeight="1">
      <c r="A57" s="641" t="s">
        <v>1279</v>
      </c>
      <c r="B57" s="42" t="s">
        <v>96</v>
      </c>
      <c r="C57" s="262" t="s">
        <v>136</v>
      </c>
      <c r="D57" s="263"/>
      <c r="E57" s="42">
        <v>46</v>
      </c>
      <c r="F57" s="48">
        <v>1431</v>
      </c>
      <c r="G57" s="268">
        <f t="shared" si="35"/>
        <v>65826</v>
      </c>
      <c r="H57" s="37" t="s">
        <v>91</v>
      </c>
      <c r="I57" s="273">
        <v>16</v>
      </c>
      <c r="J57" s="39">
        <v>2000</v>
      </c>
      <c r="K57" s="17">
        <f t="shared" si="1"/>
        <v>125</v>
      </c>
      <c r="L57" s="273">
        <v>16</v>
      </c>
      <c r="M57" s="18">
        <f t="shared" si="39"/>
        <v>1908</v>
      </c>
      <c r="N57" s="18">
        <f t="shared" si="3"/>
        <v>119.25</v>
      </c>
      <c r="O57" s="19">
        <f t="shared" si="4"/>
        <v>0</v>
      </c>
      <c r="P57" s="20">
        <f t="shared" si="5"/>
        <v>-5.75</v>
      </c>
      <c r="Q57" s="269">
        <f t="shared" si="6"/>
        <v>0.95399999999999996</v>
      </c>
      <c r="R57" s="637"/>
      <c r="S57" s="40">
        <v>0.39444444444444438</v>
      </c>
      <c r="T57" s="40">
        <v>0.42569444444444438</v>
      </c>
      <c r="U57" s="268">
        <f t="shared" si="38"/>
        <v>6.9999999999999751</v>
      </c>
      <c r="V57" s="274">
        <f t="shared" si="37"/>
        <v>45</v>
      </c>
      <c r="W57" s="23"/>
      <c r="X57" s="23"/>
      <c r="Y57" s="26"/>
      <c r="Z57" s="26"/>
      <c r="AA57" s="632"/>
      <c r="AB57" s="632"/>
      <c r="AC57" s="25"/>
      <c r="AD57" s="25"/>
      <c r="AE57" s="19">
        <f t="shared" si="8"/>
        <v>-92</v>
      </c>
      <c r="AF57" s="269">
        <f t="shared" si="9"/>
        <v>0.95399999999999996</v>
      </c>
      <c r="AG57" s="637"/>
    </row>
    <row r="58" spans="1:33" ht="15.75" customHeight="1">
      <c r="A58" s="641" t="s">
        <v>1279</v>
      </c>
      <c r="B58" s="42" t="s">
        <v>96</v>
      </c>
      <c r="C58" s="262" t="s">
        <v>137</v>
      </c>
      <c r="D58" s="263"/>
      <c r="E58" s="42">
        <v>46</v>
      </c>
      <c r="F58" s="48">
        <v>1729</v>
      </c>
      <c r="G58" s="268">
        <f t="shared" si="35"/>
        <v>79534</v>
      </c>
      <c r="H58" s="37" t="s">
        <v>91</v>
      </c>
      <c r="I58" s="273">
        <v>17</v>
      </c>
      <c r="J58" s="39">
        <v>2000</v>
      </c>
      <c r="K58" s="17">
        <f t="shared" si="1"/>
        <v>117.64705882352941</v>
      </c>
      <c r="L58" s="273">
        <v>17</v>
      </c>
      <c r="M58" s="18">
        <f t="shared" si="39"/>
        <v>1921.111111111112</v>
      </c>
      <c r="N58" s="18">
        <f t="shared" si="3"/>
        <v>113.00653594771246</v>
      </c>
      <c r="O58" s="19">
        <f t="shared" si="4"/>
        <v>0</v>
      </c>
      <c r="P58" s="20">
        <f t="shared" si="5"/>
        <v>-4.6405228758169415</v>
      </c>
      <c r="Q58" s="269">
        <f t="shared" si="6"/>
        <v>0.96055555555555605</v>
      </c>
      <c r="R58" s="637"/>
      <c r="S58" s="40">
        <v>0.43055555555555547</v>
      </c>
      <c r="T58" s="40">
        <v>0.46805555555555545</v>
      </c>
      <c r="U58" s="268">
        <f t="shared" si="38"/>
        <v>6.9999999999999751</v>
      </c>
      <c r="V58" s="274">
        <f t="shared" si="37"/>
        <v>53.999999999999972</v>
      </c>
      <c r="W58" s="23"/>
      <c r="X58" s="23"/>
      <c r="Y58" s="26"/>
      <c r="Z58" s="26"/>
      <c r="AA58" s="632"/>
      <c r="AB58" s="632"/>
      <c r="AC58" s="25"/>
      <c r="AD58" s="25"/>
      <c r="AE58" s="19">
        <f t="shared" si="8"/>
        <v>-78.888888888888005</v>
      </c>
      <c r="AF58" s="269">
        <f t="shared" si="9"/>
        <v>0.96055555555555605</v>
      </c>
      <c r="AG58" s="637"/>
    </row>
    <row r="59" spans="1:33" ht="15.75" customHeight="1">
      <c r="A59" s="641" t="s">
        <v>75</v>
      </c>
      <c r="B59" s="42" t="s">
        <v>92</v>
      </c>
      <c r="C59" s="625" t="s">
        <v>138</v>
      </c>
      <c r="D59" s="626"/>
      <c r="E59" s="42">
        <v>55.56</v>
      </c>
      <c r="F59" s="48">
        <v>2471</v>
      </c>
      <c r="G59" s="268">
        <f t="shared" si="35"/>
        <v>137288.76</v>
      </c>
      <c r="H59" s="37" t="s">
        <v>91</v>
      </c>
      <c r="I59" s="273">
        <v>17</v>
      </c>
      <c r="J59" s="39">
        <v>2000</v>
      </c>
      <c r="K59" s="17">
        <f t="shared" si="1"/>
        <v>117.64705882352941</v>
      </c>
      <c r="L59" s="273">
        <v>17</v>
      </c>
      <c r="M59" s="18">
        <f t="shared" si="39"/>
        <v>1925.4545454545444</v>
      </c>
      <c r="N59" s="18">
        <f t="shared" si="3"/>
        <v>113.26203208556143</v>
      </c>
      <c r="O59" s="19">
        <f t="shared" si="4"/>
        <v>0</v>
      </c>
      <c r="P59" s="20">
        <f t="shared" si="5"/>
        <v>-4.3850267379679764</v>
      </c>
      <c r="Q59" s="269">
        <f t="shared" si="6"/>
        <v>0.96272727272727221</v>
      </c>
      <c r="R59" s="637"/>
      <c r="S59" s="40">
        <v>0.70833333333333337</v>
      </c>
      <c r="T59" s="40">
        <v>0.76180555555555562</v>
      </c>
      <c r="U59" s="268" t="str">
        <f t="shared" si="38"/>
        <v/>
      </c>
      <c r="V59" s="274">
        <f t="shared" si="37"/>
        <v>77.000000000000043</v>
      </c>
      <c r="W59" s="23"/>
      <c r="X59" s="23"/>
      <c r="Y59" s="26"/>
      <c r="Z59" s="26"/>
      <c r="AA59" s="627"/>
      <c r="AB59" s="628"/>
      <c r="AC59" s="25"/>
      <c r="AD59" s="25"/>
      <c r="AE59" s="19">
        <f t="shared" si="8"/>
        <v>-74.545454545455641</v>
      </c>
      <c r="AF59" s="269">
        <f t="shared" si="9"/>
        <v>0.96272727272727221</v>
      </c>
      <c r="AG59" s="637"/>
    </row>
    <row r="60" spans="1:33" ht="15.75" customHeight="1">
      <c r="A60" s="641" t="s">
        <v>1279</v>
      </c>
      <c r="B60" s="42" t="s">
        <v>92</v>
      </c>
      <c r="C60" s="625" t="s">
        <v>420</v>
      </c>
      <c r="D60" s="626"/>
      <c r="E60" s="42">
        <v>58.17</v>
      </c>
      <c r="F60" s="48">
        <v>3272</v>
      </c>
      <c r="G60" s="268">
        <f t="shared" si="35"/>
        <v>190332.24000000002</v>
      </c>
      <c r="H60" s="37" t="s">
        <v>91</v>
      </c>
      <c r="I60" s="273">
        <v>13</v>
      </c>
      <c r="J60" s="39">
        <v>2000</v>
      </c>
      <c r="K60" s="17">
        <f t="shared" si="1"/>
        <v>153.84615384615384</v>
      </c>
      <c r="L60" s="273">
        <v>13</v>
      </c>
      <c r="M60" s="18">
        <f t="shared" si="39"/>
        <v>1906.0194174757289</v>
      </c>
      <c r="N60" s="18">
        <f t="shared" si="3"/>
        <v>146.61687826736377</v>
      </c>
      <c r="O60" s="19">
        <f t="shared" si="4"/>
        <v>0</v>
      </c>
      <c r="P60" s="20">
        <f t="shared" si="5"/>
        <v>-7.229275578790066</v>
      </c>
      <c r="Q60" s="269">
        <f t="shared" si="6"/>
        <v>0.95300970873786461</v>
      </c>
      <c r="R60" s="637"/>
      <c r="S60" s="40">
        <v>0.76666666666666672</v>
      </c>
      <c r="T60" s="40">
        <v>0.83819444444444446</v>
      </c>
      <c r="U60" s="268">
        <f t="shared" si="38"/>
        <v>6.9999999999999751</v>
      </c>
      <c r="V60" s="274">
        <f t="shared" si="37"/>
        <v>102.99999999999996</v>
      </c>
      <c r="W60" s="23"/>
      <c r="X60" s="23"/>
      <c r="Y60" s="26"/>
      <c r="Z60" s="26"/>
      <c r="AA60" s="627"/>
      <c r="AB60" s="628"/>
      <c r="AC60" s="25"/>
      <c r="AD60" s="25"/>
      <c r="AE60" s="19">
        <f t="shared" si="8"/>
        <v>-93.980582524271085</v>
      </c>
      <c r="AF60" s="269">
        <f t="shared" si="9"/>
        <v>0.9530097087378645</v>
      </c>
      <c r="AG60" s="637"/>
    </row>
    <row r="61" spans="1:33">
      <c r="A61" s="642" t="s">
        <v>75</v>
      </c>
      <c r="B61" s="42" t="s">
        <v>49</v>
      </c>
      <c r="C61" s="638"/>
      <c r="D61" s="638"/>
      <c r="E61" s="270"/>
      <c r="F61" s="44"/>
      <c r="G61" s="17"/>
      <c r="H61" s="275"/>
      <c r="I61" s="29">
        <v>17.857142857142858</v>
      </c>
      <c r="J61" s="39">
        <v>2000</v>
      </c>
      <c r="K61" s="17">
        <f t="shared" si="1"/>
        <v>112</v>
      </c>
      <c r="L61" s="29">
        <v>17.857142857142858</v>
      </c>
      <c r="M61" s="18">
        <f>AVERAGE(M54:M60)</f>
        <v>1920.0246017928225</v>
      </c>
      <c r="N61" s="17">
        <f t="shared" si="3"/>
        <v>107.52137770039806</v>
      </c>
      <c r="O61" s="19">
        <f t="shared" si="4"/>
        <v>0</v>
      </c>
      <c r="P61" s="20">
        <f t="shared" si="5"/>
        <v>-4.4786222996019376</v>
      </c>
      <c r="Q61" s="269">
        <f t="shared" si="6"/>
        <v>0.96001230089641132</v>
      </c>
      <c r="R61" s="637"/>
      <c r="S61" s="40"/>
      <c r="T61" s="40"/>
      <c r="U61" s="268"/>
      <c r="V61" s="274"/>
      <c r="W61" s="17"/>
      <c r="X61" s="17"/>
      <c r="Y61" s="30">
        <f>SUM(Y54:Y60)</f>
        <v>0</v>
      </c>
      <c r="Z61" s="30">
        <f>SUM(Z54:Z60)</f>
        <v>0</v>
      </c>
      <c r="AA61" s="631"/>
      <c r="AB61" s="631"/>
      <c r="AC61" s="30">
        <v>7</v>
      </c>
      <c r="AD61" s="30">
        <f>SUM(AD54:AD60)</f>
        <v>0</v>
      </c>
      <c r="AE61" s="19">
        <f>M61-J61</f>
        <v>-79.975398207177477</v>
      </c>
      <c r="AF61" s="269">
        <f t="shared" si="9"/>
        <v>0.96001230089641121</v>
      </c>
      <c r="AG61" s="637"/>
    </row>
    <row r="62" spans="1:33" ht="15.75" customHeight="1">
      <c r="A62" s="639" t="s">
        <v>1280</v>
      </c>
      <c r="B62" s="275" t="s">
        <v>127</v>
      </c>
      <c r="C62" s="633" t="s">
        <v>141</v>
      </c>
      <c r="D62" s="633"/>
      <c r="E62" s="42">
        <v>35.119999999999997</v>
      </c>
      <c r="F62" s="48">
        <v>4220</v>
      </c>
      <c r="G62" s="268">
        <f t="shared" ref="G62:G65" si="40">E62*F62</f>
        <v>148206.39999999999</v>
      </c>
      <c r="H62" s="37" t="s">
        <v>91</v>
      </c>
      <c r="I62" s="273">
        <v>10</v>
      </c>
      <c r="J62" s="39">
        <v>3000</v>
      </c>
      <c r="K62" s="17">
        <f t="shared" si="1"/>
        <v>300</v>
      </c>
      <c r="L62" s="273">
        <v>10</v>
      </c>
      <c r="M62" s="18">
        <f t="shared" ref="M62:M65" si="41">F62/V62*60</f>
        <v>2877.2727272727279</v>
      </c>
      <c r="N62" s="17">
        <f t="shared" si="3"/>
        <v>287.7272727272728</v>
      </c>
      <c r="O62" s="19">
        <f t="shared" si="4"/>
        <v>0</v>
      </c>
      <c r="P62" s="20">
        <f t="shared" si="5"/>
        <v>-12.272727272727195</v>
      </c>
      <c r="Q62" s="269">
        <f t="shared" si="6"/>
        <v>0.95909090909090933</v>
      </c>
      <c r="R62" s="637">
        <f>Q66</f>
        <v>0.95803765102000427</v>
      </c>
      <c r="S62" s="40">
        <v>0.20833333333333334</v>
      </c>
      <c r="T62" s="40">
        <v>0.26944444444444443</v>
      </c>
      <c r="U62" s="268"/>
      <c r="V62" s="274">
        <f t="shared" ref="V62:V65" si="42">(T62-S62)*24*60</f>
        <v>87.999999999999972</v>
      </c>
      <c r="W62" s="23"/>
      <c r="X62" s="23"/>
      <c r="Y62" s="28"/>
      <c r="Z62" s="28"/>
      <c r="AA62" s="632"/>
      <c r="AB62" s="632"/>
      <c r="AC62" s="25">
        <v>4</v>
      </c>
      <c r="AD62" s="25"/>
      <c r="AE62" s="19">
        <f t="shared" ref="AE62:AE75" si="43">M62-J62</f>
        <v>-122.72727272727207</v>
      </c>
      <c r="AF62" s="269">
        <f t="shared" si="9"/>
        <v>0.95909090909090933</v>
      </c>
      <c r="AG62" s="637">
        <f>AF66</f>
        <v>0.95803765102000427</v>
      </c>
    </row>
    <row r="63" spans="1:33" ht="15.75" customHeight="1">
      <c r="A63" s="639" t="s">
        <v>1280</v>
      </c>
      <c r="B63" s="275" t="s">
        <v>127</v>
      </c>
      <c r="C63" s="633" t="s">
        <v>142</v>
      </c>
      <c r="D63" s="633"/>
      <c r="E63" s="42">
        <v>26.78</v>
      </c>
      <c r="F63" s="48">
        <v>2447</v>
      </c>
      <c r="G63" s="268">
        <f t="shared" si="40"/>
        <v>65530.66</v>
      </c>
      <c r="H63" s="37" t="s">
        <v>91</v>
      </c>
      <c r="I63" s="273">
        <v>10</v>
      </c>
      <c r="J63" s="39">
        <v>3000</v>
      </c>
      <c r="K63" s="17">
        <f t="shared" si="1"/>
        <v>300</v>
      </c>
      <c r="L63" s="273">
        <v>10</v>
      </c>
      <c r="M63" s="18">
        <f t="shared" si="41"/>
        <v>2878.8235294117658</v>
      </c>
      <c r="N63" s="17">
        <f t="shared" si="3"/>
        <v>287.88235294117658</v>
      </c>
      <c r="O63" s="19">
        <f t="shared" si="4"/>
        <v>0</v>
      </c>
      <c r="P63" s="20">
        <f t="shared" si="5"/>
        <v>-12.117647058823422</v>
      </c>
      <c r="Q63" s="269">
        <f t="shared" si="6"/>
        <v>0.95960784313725522</v>
      </c>
      <c r="R63" s="637"/>
      <c r="S63" s="40">
        <v>0.27361111111111108</v>
      </c>
      <c r="T63" s="40">
        <v>0.30902777777777773</v>
      </c>
      <c r="U63" s="268">
        <f t="shared" ref="U63:U65" si="44">(S63-T62)*24*60</f>
        <v>5.9999999999999787</v>
      </c>
      <c r="V63" s="274">
        <f t="shared" si="42"/>
        <v>50.999999999999979</v>
      </c>
      <c r="W63" s="268"/>
      <c r="X63" s="268"/>
      <c r="Y63" s="268"/>
      <c r="Z63" s="268"/>
      <c r="AA63" s="632"/>
      <c r="AB63" s="632"/>
      <c r="AC63" s="25"/>
      <c r="AD63" s="25"/>
      <c r="AE63" s="19">
        <f t="shared" si="43"/>
        <v>-121.17647058823422</v>
      </c>
      <c r="AF63" s="269">
        <f t="shared" si="9"/>
        <v>0.95960784313725522</v>
      </c>
      <c r="AG63" s="637"/>
    </row>
    <row r="64" spans="1:33" ht="15.75" customHeight="1">
      <c r="A64" s="639" t="s">
        <v>1280</v>
      </c>
      <c r="B64" s="275" t="s">
        <v>127</v>
      </c>
      <c r="C64" s="633" t="s">
        <v>143</v>
      </c>
      <c r="D64" s="633"/>
      <c r="E64" s="42">
        <v>36.14</v>
      </c>
      <c r="F64" s="48">
        <v>1285</v>
      </c>
      <c r="G64" s="268">
        <f t="shared" si="40"/>
        <v>46439.9</v>
      </c>
      <c r="H64" s="37" t="s">
        <v>91</v>
      </c>
      <c r="I64" s="273">
        <v>11</v>
      </c>
      <c r="J64" s="39">
        <v>3000</v>
      </c>
      <c r="K64" s="17">
        <f t="shared" si="1"/>
        <v>272.72727272727275</v>
      </c>
      <c r="L64" s="273">
        <v>11</v>
      </c>
      <c r="M64" s="18">
        <f t="shared" si="41"/>
        <v>2855.555555555557</v>
      </c>
      <c r="N64" s="17">
        <f t="shared" si="3"/>
        <v>259.59595959595976</v>
      </c>
      <c r="O64" s="19">
        <f t="shared" si="4"/>
        <v>0</v>
      </c>
      <c r="P64" s="20">
        <f t="shared" si="5"/>
        <v>-13.131313131312993</v>
      </c>
      <c r="Q64" s="269">
        <f t="shared" si="6"/>
        <v>0.95185185185185239</v>
      </c>
      <c r="R64" s="637"/>
      <c r="S64" s="40">
        <v>0.31249999999999994</v>
      </c>
      <c r="T64" s="40">
        <v>0.33124999999999993</v>
      </c>
      <c r="U64" s="268">
        <f t="shared" si="44"/>
        <v>4.9999999999999822</v>
      </c>
      <c r="V64" s="274">
        <f t="shared" si="42"/>
        <v>26.999999999999986</v>
      </c>
      <c r="W64" s="268"/>
      <c r="X64" s="268"/>
      <c r="Y64" s="268"/>
      <c r="Z64" s="268"/>
      <c r="AA64" s="632"/>
      <c r="AB64" s="632"/>
      <c r="AC64" s="25"/>
      <c r="AD64" s="25"/>
      <c r="AE64" s="19">
        <f t="shared" si="43"/>
        <v>-144.44444444444298</v>
      </c>
      <c r="AF64" s="269">
        <f t="shared" si="9"/>
        <v>0.95185185185185239</v>
      </c>
      <c r="AG64" s="637"/>
    </row>
    <row r="65" spans="1:33" ht="15.75" customHeight="1">
      <c r="A65" s="639" t="s">
        <v>1280</v>
      </c>
      <c r="B65" s="275" t="s">
        <v>127</v>
      </c>
      <c r="C65" s="633" t="s">
        <v>144</v>
      </c>
      <c r="D65" s="633"/>
      <c r="E65" s="42">
        <v>35.869999999999997</v>
      </c>
      <c r="F65" s="48">
        <v>3606</v>
      </c>
      <c r="G65" s="268">
        <f t="shared" si="40"/>
        <v>129347.21999999999</v>
      </c>
      <c r="H65" s="37" t="s">
        <v>91</v>
      </c>
      <c r="I65" s="273">
        <v>10</v>
      </c>
      <c r="J65" s="39">
        <v>3000</v>
      </c>
      <c r="K65" s="17">
        <f t="shared" si="1"/>
        <v>300</v>
      </c>
      <c r="L65" s="273">
        <v>10</v>
      </c>
      <c r="M65" s="18">
        <f t="shared" si="41"/>
        <v>2884.8000000000011</v>
      </c>
      <c r="N65" s="17">
        <f t="shared" si="3"/>
        <v>288.48000000000013</v>
      </c>
      <c r="O65" s="19">
        <f t="shared" si="4"/>
        <v>0</v>
      </c>
      <c r="P65" s="20">
        <f t="shared" si="5"/>
        <v>-11.519999999999868</v>
      </c>
      <c r="Q65" s="269">
        <f t="shared" si="6"/>
        <v>0.96160000000000045</v>
      </c>
      <c r="R65" s="637"/>
      <c r="S65" s="40">
        <v>0.33541666666666659</v>
      </c>
      <c r="T65" s="40">
        <v>0.3874999999999999</v>
      </c>
      <c r="U65" s="268">
        <f t="shared" si="44"/>
        <v>5.9999999999999787</v>
      </c>
      <c r="V65" s="274">
        <f t="shared" si="42"/>
        <v>74.999999999999972</v>
      </c>
      <c r="W65" s="268"/>
      <c r="X65" s="268"/>
      <c r="Y65" s="268"/>
      <c r="Z65" s="268"/>
      <c r="AA65" s="632"/>
      <c r="AB65" s="632"/>
      <c r="AC65" s="25"/>
      <c r="AD65" s="25"/>
      <c r="AE65" s="19">
        <f t="shared" si="43"/>
        <v>-115.19999999999891</v>
      </c>
      <c r="AF65" s="269">
        <f t="shared" si="9"/>
        <v>0.96160000000000034</v>
      </c>
      <c r="AG65" s="637"/>
    </row>
    <row r="66" spans="1:33">
      <c r="A66" s="640" t="s">
        <v>1280</v>
      </c>
      <c r="B66" s="42" t="s">
        <v>1260</v>
      </c>
      <c r="C66" s="638"/>
      <c r="D66" s="638"/>
      <c r="E66" s="270"/>
      <c r="F66" s="44"/>
      <c r="G66" s="17"/>
      <c r="H66" s="275"/>
      <c r="I66" s="29">
        <v>10.25</v>
      </c>
      <c r="J66" s="39">
        <v>3000</v>
      </c>
      <c r="K66" s="17">
        <f t="shared" si="1"/>
        <v>292.6829268292683</v>
      </c>
      <c r="L66" s="29">
        <v>10.25</v>
      </c>
      <c r="M66" s="18">
        <f>AVERAGE(M62:M65)</f>
        <v>2874.1129530600128</v>
      </c>
      <c r="N66" s="17">
        <f t="shared" si="3"/>
        <v>280.401263713172</v>
      </c>
      <c r="O66" s="19">
        <f t="shared" si="4"/>
        <v>0</v>
      </c>
      <c r="P66" s="20">
        <f t="shared" si="5"/>
        <v>-12.281663116096297</v>
      </c>
      <c r="Q66" s="269">
        <f t="shared" si="6"/>
        <v>0.95803765102000427</v>
      </c>
      <c r="R66" s="637"/>
      <c r="S66" s="40"/>
      <c r="T66" s="40"/>
      <c r="U66" s="17"/>
      <c r="V66" s="274"/>
      <c r="W66" s="17"/>
      <c r="X66" s="17"/>
      <c r="Y66" s="30">
        <f>SUM(Y62:Y65)</f>
        <v>0</v>
      </c>
      <c r="Z66" s="30">
        <f>SUM(Z62:Z65)</f>
        <v>0</v>
      </c>
      <c r="AA66" s="631"/>
      <c r="AB66" s="631"/>
      <c r="AC66" s="30">
        <v>4</v>
      </c>
      <c r="AD66" s="30">
        <f>SUM(AD62:AD65)</f>
        <v>0</v>
      </c>
      <c r="AE66" s="19">
        <f t="shared" si="43"/>
        <v>-125.88704693998716</v>
      </c>
      <c r="AF66" s="269">
        <f t="shared" si="9"/>
        <v>0.95803765102000427</v>
      </c>
      <c r="AG66" s="637"/>
    </row>
    <row r="67" spans="1:33" ht="15.75" customHeight="1">
      <c r="A67" s="634" t="s">
        <v>1281</v>
      </c>
      <c r="B67" s="275" t="s">
        <v>116</v>
      </c>
      <c r="C67" s="633" t="s">
        <v>145</v>
      </c>
      <c r="D67" s="633"/>
      <c r="E67" s="42">
        <v>19.02</v>
      </c>
      <c r="F67" s="275">
        <v>5400</v>
      </c>
      <c r="G67" s="268">
        <f t="shared" ref="G67:G74" si="45">E67*F67</f>
        <v>102708</v>
      </c>
      <c r="H67" s="37">
        <v>2</v>
      </c>
      <c r="I67" s="273">
        <v>14</v>
      </c>
      <c r="J67" s="39">
        <v>2400</v>
      </c>
      <c r="K67" s="17">
        <f t="shared" si="1"/>
        <v>171.42857142857142</v>
      </c>
      <c r="L67" s="273">
        <v>14</v>
      </c>
      <c r="M67" s="18">
        <f t="shared" ref="M67:M74" si="46">F67/V67*60</f>
        <v>2297.872340425532</v>
      </c>
      <c r="N67" s="17">
        <f t="shared" si="3"/>
        <v>164.13373860182372</v>
      </c>
      <c r="O67" s="19">
        <f t="shared" si="4"/>
        <v>0</v>
      </c>
      <c r="P67" s="20">
        <f t="shared" si="5"/>
        <v>-7.2948328267476938</v>
      </c>
      <c r="Q67" s="269">
        <f t="shared" si="6"/>
        <v>0.95744680851063846</v>
      </c>
      <c r="R67" s="637">
        <f>Q75</f>
        <v>0.95903864218933199</v>
      </c>
      <c r="S67" s="40">
        <v>8.3333333333333329E-2</v>
      </c>
      <c r="T67" s="40">
        <v>0.18124999999999999</v>
      </c>
      <c r="U67" s="28"/>
      <c r="V67" s="274">
        <f t="shared" ref="V67:V74" si="47">(T67-S67)*24*60</f>
        <v>141</v>
      </c>
      <c r="W67" s="23">
        <f>T67</f>
        <v>0.18124999999999999</v>
      </c>
      <c r="X67" s="23">
        <f>S68</f>
        <v>0.2013888888888889</v>
      </c>
      <c r="Y67" s="23"/>
      <c r="Z67" s="23"/>
      <c r="AA67" s="632"/>
      <c r="AB67" s="632"/>
      <c r="AC67" s="25">
        <v>8</v>
      </c>
      <c r="AD67" s="25"/>
      <c r="AE67" s="19">
        <f t="shared" si="43"/>
        <v>-102.127659574468</v>
      </c>
      <c r="AF67" s="269">
        <f t="shared" si="9"/>
        <v>0.95744680851063835</v>
      </c>
      <c r="AG67" s="637">
        <f>AF75</f>
        <v>0.95903864218933188</v>
      </c>
    </row>
    <row r="68" spans="1:33" ht="15.75" customHeight="1">
      <c r="A68" s="635" t="s">
        <v>1281</v>
      </c>
      <c r="B68" s="275" t="s">
        <v>116</v>
      </c>
      <c r="C68" s="633" t="s">
        <v>146</v>
      </c>
      <c r="D68" s="633"/>
      <c r="E68" s="42">
        <v>20.36</v>
      </c>
      <c r="F68" s="275">
        <v>2300</v>
      </c>
      <c r="G68" s="268">
        <f t="shared" si="45"/>
        <v>46828</v>
      </c>
      <c r="H68" s="37">
        <v>2</v>
      </c>
      <c r="I68" s="273">
        <v>17</v>
      </c>
      <c r="J68" s="39">
        <v>2400</v>
      </c>
      <c r="K68" s="17">
        <f t="shared" si="1"/>
        <v>141.1764705882353</v>
      </c>
      <c r="L68" s="273">
        <v>17</v>
      </c>
      <c r="M68" s="18">
        <f t="shared" si="46"/>
        <v>2300.0000000000005</v>
      </c>
      <c r="N68" s="17">
        <f t="shared" si="3"/>
        <v>135.29411764705884</v>
      </c>
      <c r="O68" s="19">
        <f t="shared" si="4"/>
        <v>0</v>
      </c>
      <c r="P68" s="20">
        <f t="shared" si="5"/>
        <v>-5.8823529411764639</v>
      </c>
      <c r="Q68" s="269">
        <f t="shared" si="6"/>
        <v>0.95833333333333337</v>
      </c>
      <c r="R68" s="637"/>
      <c r="S68" s="40">
        <v>0.2013888888888889</v>
      </c>
      <c r="T68" s="40">
        <v>0.24305555555555555</v>
      </c>
      <c r="U68" s="268">
        <f t="shared" ref="U68:U74" si="48">(S68-T67)*24*60</f>
        <v>29.000000000000018</v>
      </c>
      <c r="V68" s="274">
        <f t="shared" si="47"/>
        <v>59.999999999999986</v>
      </c>
      <c r="W68" s="23"/>
      <c r="X68" s="23"/>
      <c r="Y68" s="23"/>
      <c r="Z68" s="23"/>
      <c r="AA68" s="632"/>
      <c r="AB68" s="632"/>
      <c r="AC68" s="25"/>
      <c r="AD68" s="25"/>
      <c r="AE68" s="19">
        <f t="shared" si="43"/>
        <v>-99.999999999999545</v>
      </c>
      <c r="AF68" s="269">
        <f t="shared" si="9"/>
        <v>0.95833333333333348</v>
      </c>
      <c r="AG68" s="637"/>
    </row>
    <row r="69" spans="1:33" ht="15.75" customHeight="1">
      <c r="A69" s="635" t="s">
        <v>1281</v>
      </c>
      <c r="B69" s="275" t="s">
        <v>116</v>
      </c>
      <c r="C69" s="633" t="s">
        <v>120</v>
      </c>
      <c r="D69" s="633"/>
      <c r="E69" s="42">
        <v>25.99</v>
      </c>
      <c r="F69" s="275">
        <v>1249</v>
      </c>
      <c r="G69" s="268">
        <f t="shared" si="45"/>
        <v>32461.51</v>
      </c>
      <c r="H69" s="37" t="s">
        <v>91</v>
      </c>
      <c r="I69" s="273">
        <v>18</v>
      </c>
      <c r="J69" s="39">
        <v>2400</v>
      </c>
      <c r="K69" s="17">
        <f t="shared" ref="K69:K75" si="49">J69/I69</f>
        <v>133.33333333333334</v>
      </c>
      <c r="L69" s="273">
        <v>18</v>
      </c>
      <c r="M69" s="18">
        <f t="shared" si="46"/>
        <v>2341.8750000000027</v>
      </c>
      <c r="N69" s="17">
        <f t="shared" ref="N69:N75" si="50">M69/L69</f>
        <v>130.10416666666683</v>
      </c>
      <c r="O69" s="19">
        <f t="shared" ref="O69:O75" si="51">L69-I69</f>
        <v>0</v>
      </c>
      <c r="P69" s="20">
        <f t="shared" ref="P69:P75" si="52">N69-K69</f>
        <v>-3.2291666666665151</v>
      </c>
      <c r="Q69" s="269">
        <f t="shared" ref="Q69:Q75" si="53">N69/K69</f>
        <v>0.97578125000000115</v>
      </c>
      <c r="R69" s="637"/>
      <c r="S69" s="40">
        <v>0.24722222222222223</v>
      </c>
      <c r="T69" s="40">
        <v>0.26944444444444443</v>
      </c>
      <c r="U69" s="268">
        <f t="shared" si="48"/>
        <v>6.0000000000000187</v>
      </c>
      <c r="V69" s="274">
        <f t="shared" si="47"/>
        <v>31.999999999999964</v>
      </c>
      <c r="W69" s="23"/>
      <c r="X69" s="23"/>
      <c r="Y69" s="23"/>
      <c r="Z69" s="23"/>
      <c r="AA69" s="632"/>
      <c r="AB69" s="632"/>
      <c r="AC69" s="25"/>
      <c r="AD69" s="25"/>
      <c r="AE69" s="19">
        <f t="shared" si="43"/>
        <v>-58.124999999997272</v>
      </c>
      <c r="AF69" s="269">
        <f t="shared" ref="AF69:AF75" si="54">M69/J69</f>
        <v>0.97578125000000115</v>
      </c>
      <c r="AG69" s="637"/>
    </row>
    <row r="70" spans="1:33" ht="15.75" customHeight="1">
      <c r="A70" s="635" t="s">
        <v>1281</v>
      </c>
      <c r="B70" s="275" t="s">
        <v>116</v>
      </c>
      <c r="C70" s="633" t="s">
        <v>148</v>
      </c>
      <c r="D70" s="633"/>
      <c r="E70" s="42">
        <v>28.29</v>
      </c>
      <c r="F70" s="275">
        <v>3862</v>
      </c>
      <c r="G70" s="268">
        <f t="shared" si="45"/>
        <v>109255.98</v>
      </c>
      <c r="H70" s="37" t="s">
        <v>91</v>
      </c>
      <c r="I70" s="273">
        <v>21</v>
      </c>
      <c r="J70" s="39">
        <v>2400</v>
      </c>
      <c r="K70" s="17">
        <f t="shared" si="49"/>
        <v>114.28571428571429</v>
      </c>
      <c r="L70" s="273">
        <v>21</v>
      </c>
      <c r="M70" s="18">
        <f t="shared" si="46"/>
        <v>2294.2574257425736</v>
      </c>
      <c r="N70" s="17">
        <f t="shared" si="50"/>
        <v>109.25035360678922</v>
      </c>
      <c r="O70" s="19">
        <f t="shared" si="51"/>
        <v>0</v>
      </c>
      <c r="P70" s="20">
        <f t="shared" si="52"/>
        <v>-5.0353606789250733</v>
      </c>
      <c r="Q70" s="269">
        <f t="shared" si="53"/>
        <v>0.95594059405940557</v>
      </c>
      <c r="R70" s="637"/>
      <c r="S70" s="40">
        <v>0.27430555555555552</v>
      </c>
      <c r="T70" s="40">
        <v>0.34444444444444444</v>
      </c>
      <c r="U70" s="268">
        <f t="shared" si="48"/>
        <v>6.9999999999999751</v>
      </c>
      <c r="V70" s="274">
        <f t="shared" si="47"/>
        <v>101.00000000000004</v>
      </c>
      <c r="W70" s="23"/>
      <c r="X70" s="23"/>
      <c r="Y70" s="23"/>
      <c r="Z70" s="23"/>
      <c r="AA70" s="632"/>
      <c r="AB70" s="632"/>
      <c r="AC70" s="25"/>
      <c r="AD70" s="25"/>
      <c r="AE70" s="19">
        <f t="shared" si="43"/>
        <v>-105.74257425742644</v>
      </c>
      <c r="AF70" s="269">
        <f t="shared" si="54"/>
        <v>0.95594059405940568</v>
      </c>
      <c r="AG70" s="637"/>
    </row>
    <row r="71" spans="1:33" ht="15.75" customHeight="1">
      <c r="A71" s="635" t="s">
        <v>1281</v>
      </c>
      <c r="B71" s="275" t="s">
        <v>116</v>
      </c>
      <c r="C71" s="633" t="s">
        <v>149</v>
      </c>
      <c r="D71" s="633"/>
      <c r="E71" s="42">
        <v>24.25</v>
      </c>
      <c r="F71" s="275">
        <v>3780</v>
      </c>
      <c r="G71" s="268">
        <f t="shared" si="45"/>
        <v>91665</v>
      </c>
      <c r="H71" s="37" t="s">
        <v>91</v>
      </c>
      <c r="I71" s="273">
        <v>16</v>
      </c>
      <c r="J71" s="39">
        <v>2400</v>
      </c>
      <c r="K71" s="17">
        <f t="shared" si="49"/>
        <v>150</v>
      </c>
      <c r="L71" s="273">
        <v>16</v>
      </c>
      <c r="M71" s="18">
        <f t="shared" si="46"/>
        <v>2290.9090909090914</v>
      </c>
      <c r="N71" s="17">
        <f t="shared" si="50"/>
        <v>143.18181818181822</v>
      </c>
      <c r="O71" s="19">
        <f t="shared" si="51"/>
        <v>0</v>
      </c>
      <c r="P71" s="20">
        <f t="shared" si="52"/>
        <v>-6.8181818181817846</v>
      </c>
      <c r="Q71" s="269">
        <f t="shared" si="53"/>
        <v>0.95454545454545481</v>
      </c>
      <c r="R71" s="637"/>
      <c r="S71" s="40">
        <v>0.34930555555555554</v>
      </c>
      <c r="T71" s="40">
        <v>0.41805555555555551</v>
      </c>
      <c r="U71" s="268">
        <f t="shared" si="48"/>
        <v>6.9999999999999751</v>
      </c>
      <c r="V71" s="274">
        <f t="shared" si="47"/>
        <v>98.999999999999972</v>
      </c>
      <c r="W71" s="23"/>
      <c r="X71" s="23"/>
      <c r="Y71" s="23"/>
      <c r="Z71" s="23"/>
      <c r="AA71" s="632"/>
      <c r="AB71" s="632"/>
      <c r="AC71" s="25"/>
      <c r="AD71" s="25"/>
      <c r="AE71" s="19">
        <f t="shared" si="43"/>
        <v>-109.09090909090855</v>
      </c>
      <c r="AF71" s="269">
        <f t="shared" si="54"/>
        <v>0.95454545454545481</v>
      </c>
      <c r="AG71" s="637"/>
    </row>
    <row r="72" spans="1:33" ht="15.75" customHeight="1">
      <c r="A72" s="635" t="s">
        <v>1281</v>
      </c>
      <c r="B72" s="275" t="s">
        <v>116</v>
      </c>
      <c r="C72" s="633" t="s">
        <v>150</v>
      </c>
      <c r="D72" s="633"/>
      <c r="E72" s="42">
        <v>23.89</v>
      </c>
      <c r="F72" s="275">
        <v>3690</v>
      </c>
      <c r="G72" s="268">
        <f t="shared" si="45"/>
        <v>88154.1</v>
      </c>
      <c r="H72" s="37" t="s">
        <v>91</v>
      </c>
      <c r="I72" s="273">
        <v>13</v>
      </c>
      <c r="J72" s="39">
        <v>2400</v>
      </c>
      <c r="K72" s="17">
        <f t="shared" si="49"/>
        <v>184.61538461538461</v>
      </c>
      <c r="L72" s="273">
        <v>13</v>
      </c>
      <c r="M72" s="18">
        <f t="shared" si="46"/>
        <v>2282.4742268041246</v>
      </c>
      <c r="N72" s="17">
        <f t="shared" si="50"/>
        <v>175.57494052339419</v>
      </c>
      <c r="O72" s="19">
        <f t="shared" si="51"/>
        <v>0</v>
      </c>
      <c r="P72" s="20">
        <f t="shared" si="52"/>
        <v>-9.0404440919904232</v>
      </c>
      <c r="Q72" s="269">
        <f t="shared" si="53"/>
        <v>0.95103092783505183</v>
      </c>
      <c r="R72" s="637"/>
      <c r="S72" s="40">
        <v>0.42361111111111105</v>
      </c>
      <c r="T72" s="40">
        <v>0.49097222222222214</v>
      </c>
      <c r="U72" s="268">
        <f t="shared" si="48"/>
        <v>7.9999999999999716</v>
      </c>
      <c r="V72" s="274">
        <f t="shared" si="47"/>
        <v>96.999999999999972</v>
      </c>
      <c r="W72" s="23">
        <f>T72</f>
        <v>0.49097222222222214</v>
      </c>
      <c r="X72" s="23">
        <f>S73</f>
        <v>0.53194444444444433</v>
      </c>
      <c r="Y72" s="23"/>
      <c r="Z72" s="23"/>
      <c r="AA72" s="632"/>
      <c r="AB72" s="632"/>
      <c r="AC72" s="25"/>
      <c r="AD72" s="25"/>
      <c r="AE72" s="19">
        <f t="shared" si="43"/>
        <v>-117.52577319587544</v>
      </c>
      <c r="AF72" s="269">
        <f t="shared" si="54"/>
        <v>0.95103092783505194</v>
      </c>
      <c r="AG72" s="637"/>
    </row>
    <row r="73" spans="1:33" ht="15.75" customHeight="1">
      <c r="A73" s="635" t="s">
        <v>1281</v>
      </c>
      <c r="B73" s="275" t="s">
        <v>116</v>
      </c>
      <c r="C73" s="625" t="s">
        <v>145</v>
      </c>
      <c r="D73" s="626"/>
      <c r="E73" s="42">
        <v>19.02</v>
      </c>
      <c r="F73" s="275">
        <v>4482</v>
      </c>
      <c r="G73" s="268">
        <f t="shared" si="45"/>
        <v>85247.64</v>
      </c>
      <c r="H73" s="37" t="s">
        <v>91</v>
      </c>
      <c r="I73" s="273">
        <v>14</v>
      </c>
      <c r="J73" s="39">
        <v>2400</v>
      </c>
      <c r="K73" s="17">
        <f t="shared" si="49"/>
        <v>171.42857142857142</v>
      </c>
      <c r="L73" s="273">
        <v>14</v>
      </c>
      <c r="M73" s="18">
        <f t="shared" si="46"/>
        <v>2298.4615384615377</v>
      </c>
      <c r="N73" s="17">
        <f t="shared" si="50"/>
        <v>164.17582417582412</v>
      </c>
      <c r="O73" s="19">
        <f t="shared" si="51"/>
        <v>0</v>
      </c>
      <c r="P73" s="20">
        <f t="shared" si="52"/>
        <v>-7.252747252747298</v>
      </c>
      <c r="Q73" s="269">
        <f t="shared" si="53"/>
        <v>0.9576923076923074</v>
      </c>
      <c r="R73" s="637"/>
      <c r="S73" s="40">
        <v>0.53194444444444433</v>
      </c>
      <c r="T73" s="40">
        <v>0.61319444444444438</v>
      </c>
      <c r="U73" s="268">
        <f t="shared" si="48"/>
        <v>58.99999999999995</v>
      </c>
      <c r="V73" s="274">
        <f t="shared" si="47"/>
        <v>117.00000000000006</v>
      </c>
      <c r="W73" s="23"/>
      <c r="X73" s="23"/>
      <c r="Y73" s="26"/>
      <c r="Z73" s="26"/>
      <c r="AA73" s="627"/>
      <c r="AB73" s="628"/>
      <c r="AC73" s="25"/>
      <c r="AD73" s="25"/>
      <c r="AE73" s="19">
        <f t="shared" si="43"/>
        <v>-101.53846153846234</v>
      </c>
      <c r="AF73" s="269">
        <f t="shared" si="54"/>
        <v>0.9576923076923074</v>
      </c>
      <c r="AG73" s="637"/>
    </row>
    <row r="74" spans="1:33" ht="15.75" customHeight="1">
      <c r="A74" s="635" t="s">
        <v>1281</v>
      </c>
      <c r="B74" s="275" t="s">
        <v>116</v>
      </c>
      <c r="C74" s="625" t="s">
        <v>146</v>
      </c>
      <c r="D74" s="626"/>
      <c r="E74" s="42">
        <v>20.36</v>
      </c>
      <c r="F74" s="275">
        <v>2000</v>
      </c>
      <c r="G74" s="268">
        <f t="shared" si="45"/>
        <v>40720</v>
      </c>
      <c r="H74" s="37" t="s">
        <v>91</v>
      </c>
      <c r="I74" s="273">
        <v>17</v>
      </c>
      <c r="J74" s="39">
        <v>2400</v>
      </c>
      <c r="K74" s="17">
        <f t="shared" si="49"/>
        <v>141.1764705882353</v>
      </c>
      <c r="L74" s="273">
        <v>17</v>
      </c>
      <c r="M74" s="18">
        <f t="shared" si="46"/>
        <v>2307.692307692309</v>
      </c>
      <c r="N74" s="17">
        <f t="shared" si="50"/>
        <v>135.74660633484172</v>
      </c>
      <c r="O74" s="19">
        <f t="shared" si="51"/>
        <v>0</v>
      </c>
      <c r="P74" s="20">
        <f t="shared" si="52"/>
        <v>-5.429864253393589</v>
      </c>
      <c r="Q74" s="269">
        <f t="shared" si="53"/>
        <v>0.96153846153846212</v>
      </c>
      <c r="R74" s="637"/>
      <c r="S74" s="40">
        <v>0.61874999999999991</v>
      </c>
      <c r="T74" s="40">
        <v>0.65486111111111101</v>
      </c>
      <c r="U74" s="268">
        <f t="shared" si="48"/>
        <v>7.9999999999999716</v>
      </c>
      <c r="V74" s="274">
        <f t="shared" si="47"/>
        <v>51.999999999999972</v>
      </c>
      <c r="W74" s="23"/>
      <c r="X74" s="23"/>
      <c r="Y74" s="26"/>
      <c r="Z74" s="26"/>
      <c r="AA74" s="627"/>
      <c r="AB74" s="628"/>
      <c r="AC74" s="25"/>
      <c r="AD74" s="25"/>
      <c r="AE74" s="19">
        <f t="shared" si="43"/>
        <v>-92.307692307691013</v>
      </c>
      <c r="AF74" s="269">
        <f t="shared" si="54"/>
        <v>0.96153846153846212</v>
      </c>
      <c r="AG74" s="637"/>
    </row>
    <row r="75" spans="1:33" ht="16.5" customHeight="1">
      <c r="A75" s="636" t="s">
        <v>1281</v>
      </c>
      <c r="B75" s="42" t="s">
        <v>1260</v>
      </c>
      <c r="C75" s="629"/>
      <c r="D75" s="630"/>
      <c r="E75" s="270"/>
      <c r="F75" s="44"/>
      <c r="G75" s="17"/>
      <c r="H75" s="275"/>
      <c r="I75" s="29">
        <v>16.25</v>
      </c>
      <c r="J75" s="39">
        <v>2400</v>
      </c>
      <c r="K75" s="17">
        <f t="shared" si="49"/>
        <v>147.69230769230768</v>
      </c>
      <c r="L75" s="29">
        <v>16.25</v>
      </c>
      <c r="M75" s="18">
        <f>AVERAGE(M67:M74)</f>
        <v>2301.6927412543964</v>
      </c>
      <c r="N75" s="17">
        <f t="shared" si="50"/>
        <v>141.64263023103979</v>
      </c>
      <c r="O75" s="19">
        <f t="shared" si="51"/>
        <v>0</v>
      </c>
      <c r="P75" s="20">
        <f t="shared" si="52"/>
        <v>-6.0496774612678905</v>
      </c>
      <c r="Q75" s="269">
        <f t="shared" si="53"/>
        <v>0.95903864218933199</v>
      </c>
      <c r="R75" s="637"/>
      <c r="S75" s="40"/>
      <c r="T75" s="40"/>
      <c r="U75" s="17"/>
      <c r="V75" s="274"/>
      <c r="W75" s="17"/>
      <c r="X75" s="17"/>
      <c r="Y75" s="30">
        <f>SUM(Y67:Y74)</f>
        <v>0</v>
      </c>
      <c r="Z75" s="30">
        <f>SUM(Z67:Z74)</f>
        <v>0</v>
      </c>
      <c r="AA75" s="631"/>
      <c r="AB75" s="631"/>
      <c r="AC75" s="30">
        <v>8</v>
      </c>
      <c r="AD75" s="30">
        <f>SUM(AD67:AD74)</f>
        <v>0</v>
      </c>
      <c r="AE75" s="19">
        <f t="shared" si="43"/>
        <v>-98.307258745603576</v>
      </c>
      <c r="AF75" s="269">
        <f t="shared" si="54"/>
        <v>0.95903864218933188</v>
      </c>
      <c r="AG75" s="637"/>
    </row>
    <row r="76" spans="1:33">
      <c r="D76" s="33"/>
      <c r="E76" s="33"/>
    </row>
  </sheetData>
  <mergeCells count="199"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A3:A4"/>
    <mergeCell ref="B3:B4"/>
    <mergeCell ref="C3:D4"/>
    <mergeCell ref="AG10:AG15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A13:AB13"/>
    <mergeCell ref="C14:D14"/>
    <mergeCell ref="AA14:AB14"/>
    <mergeCell ref="C15:D15"/>
    <mergeCell ref="AA15:AB15"/>
    <mergeCell ref="A16:A23"/>
    <mergeCell ref="C16:D16"/>
    <mergeCell ref="R16:R23"/>
    <mergeCell ref="AA16:AB16"/>
    <mergeCell ref="AA23:AB23"/>
    <mergeCell ref="A10:A15"/>
    <mergeCell ref="C10:D10"/>
    <mergeCell ref="R10:R15"/>
    <mergeCell ref="AA10:AB10"/>
    <mergeCell ref="AG24:AG31"/>
    <mergeCell ref="C25:D25"/>
    <mergeCell ref="AA25:AB25"/>
    <mergeCell ref="C26:D26"/>
    <mergeCell ref="AA26:AB26"/>
    <mergeCell ref="C27:D27"/>
    <mergeCell ref="AG16:AG23"/>
    <mergeCell ref="C17:D17"/>
    <mergeCell ref="AA17:AB17"/>
    <mergeCell ref="C18:D18"/>
    <mergeCell ref="AA18:AB18"/>
    <mergeCell ref="C19:D19"/>
    <mergeCell ref="AA19:AB19"/>
    <mergeCell ref="C20:D20"/>
    <mergeCell ref="AA20:AB20"/>
    <mergeCell ref="C23:D23"/>
    <mergeCell ref="AA27:AB27"/>
    <mergeCell ref="C28:D28"/>
    <mergeCell ref="AA28:AB28"/>
    <mergeCell ref="C29:D29"/>
    <mergeCell ref="AA29:AB29"/>
    <mergeCell ref="C30:D30"/>
    <mergeCell ref="AA30:AB30"/>
    <mergeCell ref="A24:A31"/>
    <mergeCell ref="C24:D24"/>
    <mergeCell ref="R24:R31"/>
    <mergeCell ref="AA24:AB24"/>
    <mergeCell ref="C31:D31"/>
    <mergeCell ref="AA31:AB31"/>
    <mergeCell ref="A32:A39"/>
    <mergeCell ref="C32:D32"/>
    <mergeCell ref="R32:R39"/>
    <mergeCell ref="AA32:AB32"/>
    <mergeCell ref="AA37:AB37"/>
    <mergeCell ref="C38:D38"/>
    <mergeCell ref="AA38:AB38"/>
    <mergeCell ref="C39:D39"/>
    <mergeCell ref="AG32:AG39"/>
    <mergeCell ref="C33:D33"/>
    <mergeCell ref="AA33:AB33"/>
    <mergeCell ref="C34:D34"/>
    <mergeCell ref="AA34:AB34"/>
    <mergeCell ref="C35:D35"/>
    <mergeCell ref="AA35:AB35"/>
    <mergeCell ref="C36:D36"/>
    <mergeCell ref="AA36:AB36"/>
    <mergeCell ref="C37:D37"/>
    <mergeCell ref="AA39:AB39"/>
    <mergeCell ref="AA42:AB42"/>
    <mergeCell ref="AG49:AG53"/>
    <mergeCell ref="C50:D50"/>
    <mergeCell ref="AA50:AB50"/>
    <mergeCell ref="C51:D51"/>
    <mergeCell ref="AA51:AB51"/>
    <mergeCell ref="C52:D52"/>
    <mergeCell ref="C46:D46"/>
    <mergeCell ref="AA46:AB46"/>
    <mergeCell ref="C47:D47"/>
    <mergeCell ref="AA47:AB47"/>
    <mergeCell ref="C48:D48"/>
    <mergeCell ref="AA48:AB48"/>
    <mergeCell ref="AG40:AG48"/>
    <mergeCell ref="AA52:AB52"/>
    <mergeCell ref="C53:D53"/>
    <mergeCell ref="AA53:AB53"/>
    <mergeCell ref="C43:D43"/>
    <mergeCell ref="AA43:AB43"/>
    <mergeCell ref="C44:D44"/>
    <mergeCell ref="AA44:AB44"/>
    <mergeCell ref="C45:D45"/>
    <mergeCell ref="AA45:AB45"/>
    <mergeCell ref="A54:A61"/>
    <mergeCell ref="C54:D54"/>
    <mergeCell ref="R54:R61"/>
    <mergeCell ref="AA54:AB54"/>
    <mergeCell ref="AA60:AB60"/>
    <mergeCell ref="C61:D61"/>
    <mergeCell ref="AA61:AB61"/>
    <mergeCell ref="A49:A53"/>
    <mergeCell ref="C49:D49"/>
    <mergeCell ref="R49:R53"/>
    <mergeCell ref="AA49:AB49"/>
    <mergeCell ref="A40:A48"/>
    <mergeCell ref="C40:D40"/>
    <mergeCell ref="R40:R48"/>
    <mergeCell ref="AA40:AB40"/>
    <mergeCell ref="C41:D41"/>
    <mergeCell ref="AA41:AB41"/>
    <mergeCell ref="C42:D42"/>
    <mergeCell ref="AG62:AG66"/>
    <mergeCell ref="C63:D63"/>
    <mergeCell ref="AA63:AB63"/>
    <mergeCell ref="C64:D64"/>
    <mergeCell ref="AA64:AB64"/>
    <mergeCell ref="C65:D65"/>
    <mergeCell ref="AG54:AG61"/>
    <mergeCell ref="C55:D55"/>
    <mergeCell ref="AA55:AB55"/>
    <mergeCell ref="C56:D56"/>
    <mergeCell ref="AA56:AB56"/>
    <mergeCell ref="AA57:AB57"/>
    <mergeCell ref="AA58:AB58"/>
    <mergeCell ref="C59:D59"/>
    <mergeCell ref="AA59:AB59"/>
    <mergeCell ref="C60:D60"/>
    <mergeCell ref="AA65:AB65"/>
    <mergeCell ref="C66:D66"/>
    <mergeCell ref="AA66:AB66"/>
    <mergeCell ref="A67:A75"/>
    <mergeCell ref="C67:D67"/>
    <mergeCell ref="R67:R75"/>
    <mergeCell ref="AA67:AB67"/>
    <mergeCell ref="AA72:AB72"/>
    <mergeCell ref="C73:D73"/>
    <mergeCell ref="AA73:AB73"/>
    <mergeCell ref="A62:A66"/>
    <mergeCell ref="C62:D62"/>
    <mergeCell ref="R62:R66"/>
    <mergeCell ref="AA62:AB62"/>
    <mergeCell ref="C74:D74"/>
    <mergeCell ref="AA74:AB74"/>
    <mergeCell ref="C75:D75"/>
    <mergeCell ref="AA75:AB75"/>
    <mergeCell ref="AG67:AG75"/>
    <mergeCell ref="C68:D68"/>
    <mergeCell ref="AA68:AB68"/>
    <mergeCell ref="C69:D69"/>
    <mergeCell ref="AA69:AB69"/>
    <mergeCell ref="C70:D70"/>
    <mergeCell ref="AA70:AB70"/>
    <mergeCell ref="C71:D71"/>
    <mergeCell ref="AA71:AB71"/>
    <mergeCell ref="C72:D72"/>
  </mergeCells>
  <phoneticPr fontId="3" type="noConversion"/>
  <conditionalFormatting sqref="O65:O72 O61:O62 O75 O5:O10 O15:O17 O23:O59">
    <cfRule type="cellIs" dxfId="1003" priority="58" operator="greaterThan">
      <formula>0</formula>
    </cfRule>
  </conditionalFormatting>
  <conditionalFormatting sqref="P5:P8 P65 AE65 P67:P72 P32:P38 P62 P10 P15:P17 P24:P30 P54:P59 P40:P52 AE5:AE62 AE67:AE75">
    <cfRule type="cellIs" dxfId="1002" priority="62" operator="lessThan">
      <formula>0</formula>
    </cfRule>
  </conditionalFormatting>
  <conditionalFormatting sqref="AF65 Q65:Q72 Q61:Q62 Q75 Q5:Q10 Q15:Q17 Q23:Q59 AF5:AF62 AF67:AF75">
    <cfRule type="cellIs" dxfId="1001" priority="59" operator="greaterThan">
      <formula>1</formula>
    </cfRule>
    <cfRule type="cellIs" dxfId="1000" priority="60" operator="lessThan">
      <formula>0.8</formula>
    </cfRule>
  </conditionalFormatting>
  <conditionalFormatting sqref="AG16:AG17 R16:R17 AG65 R65:R72 R23:R29 AG23:AG29 AG61:AG62 R61:R62 R75 AG5:AG10 R5:R10 AG31:AG59 R31:R59">
    <cfRule type="cellIs" dxfId="999" priority="64" operator="lessThan">
      <formula>0.8</formula>
    </cfRule>
  </conditionalFormatting>
  <conditionalFormatting sqref="AG49">
    <cfRule type="cellIs" dxfId="998" priority="66" operator="lessThan">
      <formula>0.8</formula>
    </cfRule>
  </conditionalFormatting>
  <conditionalFormatting sqref="AG24:AG29">
    <cfRule type="cellIs" dxfId="997" priority="63" operator="lessThan">
      <formula>0.8</formula>
    </cfRule>
  </conditionalFormatting>
  <conditionalFormatting sqref="AG32">
    <cfRule type="cellIs" dxfId="996" priority="65" operator="lessThan">
      <formula>0.8</formula>
    </cfRule>
  </conditionalFormatting>
  <conditionalFormatting sqref="AG40:AG47">
    <cfRule type="cellIs" dxfId="995" priority="61" operator="lessThan">
      <formula>0.8</formula>
    </cfRule>
  </conditionalFormatting>
  <conditionalFormatting sqref="AE66">
    <cfRule type="cellIs" dxfId="994" priority="57" operator="lessThan">
      <formula>0</formula>
    </cfRule>
  </conditionalFormatting>
  <conditionalFormatting sqref="AF66">
    <cfRule type="cellIs" dxfId="993" priority="55" operator="greaterThan">
      <formula>1</formula>
    </cfRule>
    <cfRule type="cellIs" dxfId="992" priority="56" operator="lessThan">
      <formula>0.8</formula>
    </cfRule>
  </conditionalFormatting>
  <conditionalFormatting sqref="O18:O19">
    <cfRule type="cellIs" dxfId="991" priority="50" operator="greaterThan">
      <formula>0</formula>
    </cfRule>
  </conditionalFormatting>
  <conditionalFormatting sqref="P18:P19">
    <cfRule type="cellIs" dxfId="990" priority="53" operator="lessThan">
      <formula>0</formula>
    </cfRule>
  </conditionalFormatting>
  <conditionalFormatting sqref="Q18:Q19">
    <cfRule type="cellIs" dxfId="989" priority="51" operator="greaterThan">
      <formula>1</formula>
    </cfRule>
    <cfRule type="cellIs" dxfId="988" priority="52" operator="lessThan">
      <formula>0.8</formula>
    </cfRule>
  </conditionalFormatting>
  <conditionalFormatting sqref="R18:R19 AG18:AG19">
    <cfRule type="cellIs" dxfId="987" priority="54" operator="lessThan">
      <formula>0.8</formula>
    </cfRule>
  </conditionalFormatting>
  <conditionalFormatting sqref="O11:O14">
    <cfRule type="cellIs" dxfId="986" priority="46" operator="greaterThan">
      <formula>0</formula>
    </cfRule>
  </conditionalFormatting>
  <conditionalFormatting sqref="P11:P14">
    <cfRule type="cellIs" dxfId="985" priority="49" operator="lessThan">
      <formula>0</formula>
    </cfRule>
  </conditionalFormatting>
  <conditionalFormatting sqref="Q11:Q14">
    <cfRule type="cellIs" dxfId="984" priority="47" operator="greaterThan">
      <formula>1</formula>
    </cfRule>
    <cfRule type="cellIs" dxfId="983" priority="48" operator="lessThan">
      <formula>0.8</formula>
    </cfRule>
  </conditionalFormatting>
  <conditionalFormatting sqref="O60">
    <cfRule type="cellIs" dxfId="982" priority="41" operator="greaterThan">
      <formula>0</formula>
    </cfRule>
  </conditionalFormatting>
  <conditionalFormatting sqref="P60">
    <cfRule type="cellIs" dxfId="981" priority="44" operator="lessThan">
      <formula>0</formula>
    </cfRule>
  </conditionalFormatting>
  <conditionalFormatting sqref="Q60">
    <cfRule type="cellIs" dxfId="980" priority="42" operator="greaterThan">
      <formula>1</formula>
    </cfRule>
    <cfRule type="cellIs" dxfId="979" priority="43" operator="lessThan">
      <formula>0.8</formula>
    </cfRule>
  </conditionalFormatting>
  <conditionalFormatting sqref="R60 AG60">
    <cfRule type="cellIs" dxfId="978" priority="45" operator="lessThan">
      <formula>0.8</formula>
    </cfRule>
  </conditionalFormatting>
  <conditionalFormatting sqref="O64">
    <cfRule type="cellIs" dxfId="977" priority="36" operator="greaterThan">
      <formula>0</formula>
    </cfRule>
  </conditionalFormatting>
  <conditionalFormatting sqref="P64 AE64">
    <cfRule type="cellIs" dxfId="976" priority="39" operator="lessThan">
      <formula>0</formula>
    </cfRule>
  </conditionalFormatting>
  <conditionalFormatting sqref="Q64 AF64">
    <cfRule type="cellIs" dxfId="975" priority="37" operator="greaterThan">
      <formula>1</formula>
    </cfRule>
    <cfRule type="cellIs" dxfId="974" priority="38" operator="lessThan">
      <formula>0.8</formula>
    </cfRule>
  </conditionalFormatting>
  <conditionalFormatting sqref="R64 AG64">
    <cfRule type="cellIs" dxfId="973" priority="40" operator="lessThan">
      <formula>0.8</formula>
    </cfRule>
  </conditionalFormatting>
  <conditionalFormatting sqref="O73">
    <cfRule type="cellIs" dxfId="972" priority="31" operator="greaterThan">
      <formula>0</formula>
    </cfRule>
  </conditionalFormatting>
  <conditionalFormatting sqref="P73">
    <cfRule type="cellIs" dxfId="971" priority="34" operator="lessThan">
      <formula>0</formula>
    </cfRule>
  </conditionalFormatting>
  <conditionalFormatting sqref="Q73">
    <cfRule type="cellIs" dxfId="970" priority="32" operator="greaterThan">
      <formula>1</formula>
    </cfRule>
    <cfRule type="cellIs" dxfId="969" priority="33" operator="lessThan">
      <formula>0.8</formula>
    </cfRule>
  </conditionalFormatting>
  <conditionalFormatting sqref="R73">
    <cfRule type="cellIs" dxfId="968" priority="35" operator="lessThan">
      <formula>0.8</formula>
    </cfRule>
  </conditionalFormatting>
  <conditionalFormatting sqref="O20:O21">
    <cfRule type="cellIs" dxfId="967" priority="26" operator="greaterThan">
      <formula>0</formula>
    </cfRule>
  </conditionalFormatting>
  <conditionalFormatting sqref="P20:P21">
    <cfRule type="cellIs" dxfId="966" priority="29" operator="lessThan">
      <formula>0</formula>
    </cfRule>
  </conditionalFormatting>
  <conditionalFormatting sqref="Q20:Q21">
    <cfRule type="cellIs" dxfId="965" priority="27" operator="greaterThan">
      <formula>1</formula>
    </cfRule>
    <cfRule type="cellIs" dxfId="964" priority="28" operator="lessThan">
      <formula>0.8</formula>
    </cfRule>
  </conditionalFormatting>
  <conditionalFormatting sqref="R20:R21 AG20:AG21">
    <cfRule type="cellIs" dxfId="963" priority="30" operator="lessThan">
      <formula>0.8</formula>
    </cfRule>
  </conditionalFormatting>
  <conditionalFormatting sqref="R30 AG30">
    <cfRule type="cellIs" dxfId="962" priority="25" operator="lessThan">
      <formula>0.8</formula>
    </cfRule>
  </conditionalFormatting>
  <conditionalFormatting sqref="AG30">
    <cfRule type="cellIs" dxfId="961" priority="24" operator="lessThan">
      <formula>0.8</formula>
    </cfRule>
  </conditionalFormatting>
  <conditionalFormatting sqref="O63">
    <cfRule type="cellIs" dxfId="960" priority="19" operator="greaterThan">
      <formula>0</formula>
    </cfRule>
  </conditionalFormatting>
  <conditionalFormatting sqref="P63 AE63">
    <cfRule type="cellIs" dxfId="959" priority="22" operator="lessThan">
      <formula>0</formula>
    </cfRule>
  </conditionalFormatting>
  <conditionalFormatting sqref="Q63 AF63">
    <cfRule type="cellIs" dxfId="958" priority="20" operator="greaterThan">
      <formula>1</formula>
    </cfRule>
    <cfRule type="cellIs" dxfId="957" priority="21" operator="lessThan">
      <formula>0.8</formula>
    </cfRule>
  </conditionalFormatting>
  <conditionalFormatting sqref="R63 AG63">
    <cfRule type="cellIs" dxfId="956" priority="23" operator="lessThan">
      <formula>0.8</formula>
    </cfRule>
  </conditionalFormatting>
  <conditionalFormatting sqref="O22">
    <cfRule type="cellIs" dxfId="955" priority="14" operator="greaterThan">
      <formula>0</formula>
    </cfRule>
  </conditionalFormatting>
  <conditionalFormatting sqref="P22">
    <cfRule type="cellIs" dxfId="954" priority="17" operator="lessThan">
      <formula>0</formula>
    </cfRule>
  </conditionalFormatting>
  <conditionalFormatting sqref="Q22">
    <cfRule type="cellIs" dxfId="953" priority="15" operator="greaterThan">
      <formula>1</formula>
    </cfRule>
    <cfRule type="cellIs" dxfId="952" priority="16" operator="lessThan">
      <formula>0.8</formula>
    </cfRule>
  </conditionalFormatting>
  <conditionalFormatting sqref="AG22 R22">
    <cfRule type="cellIs" dxfId="951" priority="18" operator="lessThan">
      <formula>0.8</formula>
    </cfRule>
  </conditionalFormatting>
  <conditionalFormatting sqref="P9">
    <cfRule type="cellIs" dxfId="950" priority="13" operator="lessThan">
      <formula>0</formula>
    </cfRule>
  </conditionalFormatting>
  <conditionalFormatting sqref="P23">
    <cfRule type="cellIs" dxfId="949" priority="12" operator="lessThan">
      <formula>0</formula>
    </cfRule>
  </conditionalFormatting>
  <conditionalFormatting sqref="P31">
    <cfRule type="cellIs" dxfId="948" priority="11" operator="lessThan">
      <formula>0</formula>
    </cfRule>
  </conditionalFormatting>
  <conditionalFormatting sqref="P39">
    <cfRule type="cellIs" dxfId="947" priority="10" operator="lessThan">
      <formula>0</formula>
    </cfRule>
  </conditionalFormatting>
  <conditionalFormatting sqref="P53">
    <cfRule type="cellIs" dxfId="946" priority="9" operator="lessThan">
      <formula>0</formula>
    </cfRule>
  </conditionalFormatting>
  <conditionalFormatting sqref="P61">
    <cfRule type="cellIs" dxfId="945" priority="8" operator="lessThan">
      <formula>0</formula>
    </cfRule>
  </conditionalFormatting>
  <conditionalFormatting sqref="P66">
    <cfRule type="cellIs" dxfId="944" priority="7" operator="lessThan">
      <formula>0</formula>
    </cfRule>
  </conditionalFormatting>
  <conditionalFormatting sqref="P75">
    <cfRule type="cellIs" dxfId="943" priority="6" operator="lessThan">
      <formula>0</formula>
    </cfRule>
  </conditionalFormatting>
  <conditionalFormatting sqref="O74">
    <cfRule type="cellIs" dxfId="942" priority="1" operator="greaterThan">
      <formula>0</formula>
    </cfRule>
  </conditionalFormatting>
  <conditionalFormatting sqref="P74">
    <cfRule type="cellIs" dxfId="941" priority="4" operator="lessThan">
      <formula>0</formula>
    </cfRule>
  </conditionalFormatting>
  <conditionalFormatting sqref="Q74">
    <cfRule type="cellIs" dxfId="940" priority="2" operator="greaterThan">
      <formula>1</formula>
    </cfRule>
    <cfRule type="cellIs" dxfId="939" priority="3" operator="lessThan">
      <formula>0.8</formula>
    </cfRule>
  </conditionalFormatting>
  <conditionalFormatting sqref="R74">
    <cfRule type="cellIs" dxfId="938" priority="5" operator="lessThan">
      <formula>0.8</formula>
    </cfRule>
  </conditionalFormatting>
  <dataValidations count="1">
    <dataValidation type="list" allowBlank="1" showInputMessage="1" showErrorMessage="1" sqref="AB9 AA5:AB8 AA9:AA65 AB11:AB62 AA66:AB75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9" sqref="A9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612" t="s">
        <v>1090</v>
      </c>
      <c r="C1" s="612"/>
      <c r="D1" s="612"/>
      <c r="E1" s="612"/>
      <c r="F1" s="612"/>
      <c r="G1" s="612"/>
      <c r="H1" s="612"/>
      <c r="I1" s="612"/>
      <c r="J1" s="612"/>
      <c r="K1" s="51"/>
      <c r="L1" s="51"/>
      <c r="M1" s="51"/>
      <c r="N1" s="51"/>
      <c r="O1" s="51"/>
      <c r="P1" s="51"/>
    </row>
    <row r="2" spans="2:17" ht="27.75" customHeight="1">
      <c r="B2" s="613"/>
      <c r="C2" s="613"/>
      <c r="D2" s="613"/>
      <c r="E2" s="613"/>
      <c r="F2" s="613"/>
      <c r="G2" s="613"/>
      <c r="H2" s="613"/>
      <c r="I2" s="613"/>
      <c r="J2" s="613"/>
      <c r="K2" s="53"/>
      <c r="L2" s="53"/>
      <c r="M2" s="53"/>
      <c r="N2" s="51"/>
      <c r="O2" s="51"/>
      <c r="P2" s="51"/>
    </row>
    <row r="3" spans="2:17" ht="46.5" customHeight="1">
      <c r="B3" s="54" t="s">
        <v>1091</v>
      </c>
      <c r="C3" s="614" t="str">
        <f>TEXT('0811 4度C'!A2,"yyyy.mm.ddaaaa")</f>
        <v>2026.08.11星期二</v>
      </c>
      <c r="D3" s="615"/>
      <c r="E3" s="54" t="s">
        <v>1092</v>
      </c>
      <c r="F3" s="616">
        <f>'0811 4度C'!D1</f>
        <v>178164</v>
      </c>
      <c r="G3" s="617"/>
      <c r="H3" s="54" t="s">
        <v>1093</v>
      </c>
      <c r="I3" s="618">
        <f>'0811 4度C'!F1</f>
        <v>6233541.3100000005</v>
      </c>
      <c r="J3" s="619"/>
      <c r="K3" s="55"/>
      <c r="L3" s="56"/>
      <c r="M3" s="57"/>
      <c r="N3" s="57"/>
    </row>
    <row r="4" spans="2:17" ht="28.5" customHeight="1">
      <c r="B4" s="620" t="s">
        <v>1094</v>
      </c>
      <c r="C4" s="606" t="s">
        <v>1095</v>
      </c>
      <c r="D4" s="607"/>
      <c r="E4" s="623" t="s">
        <v>1096</v>
      </c>
      <c r="F4" s="624"/>
      <c r="G4" s="623" t="s">
        <v>1097</v>
      </c>
      <c r="H4" s="624"/>
      <c r="I4" s="623" t="s">
        <v>1098</v>
      </c>
      <c r="J4" s="624"/>
      <c r="K4" s="604" t="s">
        <v>1099</v>
      </c>
      <c r="L4" s="605"/>
      <c r="M4" s="605" t="s">
        <v>1100</v>
      </c>
      <c r="N4" s="605"/>
    </row>
    <row r="5" spans="2:17" ht="28.5" customHeight="1">
      <c r="B5" s="621"/>
      <c r="C5" s="606" t="s">
        <v>1101</v>
      </c>
      <c r="D5" s="607"/>
      <c r="E5" s="606" t="s">
        <v>1102</v>
      </c>
      <c r="F5" s="607"/>
      <c r="G5" s="608" t="s">
        <v>1103</v>
      </c>
      <c r="H5" s="609"/>
      <c r="I5" s="610" t="s">
        <v>1104</v>
      </c>
      <c r="J5" s="611"/>
      <c r="K5" s="58" t="s">
        <v>1105</v>
      </c>
      <c r="L5" s="59" t="s">
        <v>1106</v>
      </c>
      <c r="M5" s="58" t="s">
        <v>1107</v>
      </c>
      <c r="N5" s="59" t="s">
        <v>1108</v>
      </c>
    </row>
    <row r="6" spans="2:17" ht="28.5" customHeight="1">
      <c r="B6" s="621"/>
      <c r="C6" s="606" t="s">
        <v>169</v>
      </c>
      <c r="D6" s="607"/>
      <c r="E6" s="598">
        <f>AVERAGE(D13:M13)</f>
        <v>159.16737787090582</v>
      </c>
      <c r="F6" s="599">
        <f>AVERAGE(D31:O31,D13:J13)</f>
        <v>168.30992931496925</v>
      </c>
      <c r="G6" s="600">
        <f>AVERAGE(D13:J13)</f>
        <v>168.30992931496925</v>
      </c>
      <c r="H6" s="601"/>
      <c r="I6" s="600">
        <f>AVERAGE(K13:M13)</f>
        <v>137.83475783475782</v>
      </c>
      <c r="J6" s="601"/>
      <c r="K6" s="602">
        <f>'0811 4度C'!Y2</f>
        <v>0</v>
      </c>
      <c r="L6" s="587">
        <f>'0811 4度C'!Z2</f>
        <v>0</v>
      </c>
      <c r="M6" s="603">
        <f>'0811 4度C'!AC2</f>
        <v>63</v>
      </c>
      <c r="N6" s="587">
        <f>'0811 4度C'!AD2</f>
        <v>0</v>
      </c>
    </row>
    <row r="7" spans="2:17" ht="28.5" customHeight="1">
      <c r="B7" s="621"/>
      <c r="C7" s="588" t="s">
        <v>170</v>
      </c>
      <c r="D7" s="589"/>
      <c r="E7" s="590">
        <f>AVERAGE(D14:M14)</f>
        <v>152.56609374710914</v>
      </c>
      <c r="F7" s="591">
        <f>AVERAGE(D32:O32,D14:J14)</f>
        <v>161.42450268057354</v>
      </c>
      <c r="G7" s="592">
        <f>AVERAGE(D14:J14)</f>
        <v>161.42450268057354</v>
      </c>
      <c r="H7" s="593"/>
      <c r="I7" s="592">
        <f>AVERAGE(K14:M14)</f>
        <v>131.89647290235885</v>
      </c>
      <c r="J7" s="593"/>
      <c r="K7" s="602"/>
      <c r="L7" s="587"/>
      <c r="M7" s="603"/>
      <c r="N7" s="587"/>
    </row>
    <row r="8" spans="2:17" ht="28.5" customHeight="1">
      <c r="B8" s="622"/>
      <c r="C8" s="588" t="s">
        <v>171</v>
      </c>
      <c r="D8" s="589"/>
      <c r="E8" s="594">
        <f>AVERAGE(D15:M15)</f>
        <v>0.95825051619257151</v>
      </c>
      <c r="F8" s="595">
        <f>AVERAGE(D15:J15,D33:O33)</f>
        <v>0.95882073822293101</v>
      </c>
      <c r="G8" s="596">
        <f>AVERAGE(D15:J15)</f>
        <v>0.95882073822293101</v>
      </c>
      <c r="H8" s="597"/>
      <c r="I8" s="596">
        <f>AVERAGE(K15:M15)</f>
        <v>0.95691999812173278</v>
      </c>
      <c r="J8" s="597"/>
      <c r="K8" s="602"/>
      <c r="L8" s="587"/>
      <c r="M8" s="603"/>
      <c r="N8" s="587"/>
    </row>
    <row r="9" spans="2:17" ht="28.5" customHeight="1" thickBot="1">
      <c r="H9" s="61"/>
      <c r="K9" s="62" t="s">
        <v>1109</v>
      </c>
      <c r="N9" s="57"/>
      <c r="O9" s="57"/>
      <c r="P9" s="57"/>
      <c r="Q9" s="57"/>
    </row>
    <row r="10" spans="2:17" ht="30" customHeight="1">
      <c r="B10" s="570" t="s">
        <v>1110</v>
      </c>
      <c r="C10" s="571"/>
      <c r="D10" s="572" t="s">
        <v>1111</v>
      </c>
      <c r="E10" s="573"/>
      <c r="F10" s="573"/>
      <c r="G10" s="573"/>
      <c r="H10" s="573"/>
      <c r="I10" s="573"/>
      <c r="J10" s="574"/>
      <c r="K10" s="575" t="s">
        <v>1112</v>
      </c>
      <c r="L10" s="576"/>
      <c r="M10" s="577"/>
      <c r="P10" s="63"/>
      <c r="Q10" s="63"/>
    </row>
    <row r="11" spans="2:17" ht="17.25" customHeight="1">
      <c r="B11" s="578" t="s">
        <v>1113</v>
      </c>
      <c r="C11" s="579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80"/>
      <c r="C12" s="581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582" t="s">
        <v>1114</v>
      </c>
      <c r="C13" s="70" t="s">
        <v>1115</v>
      </c>
      <c r="D13" s="71">
        <f>SUMIFS('0811 4度C'!$K:$K,'0811 4度C'!$A:$A,"新豐6線",'0811 4度C'!$B:$B,"平均")</f>
        <v>129.03225806451613</v>
      </c>
      <c r="E13" s="72">
        <f>SUMIFS('0811 4度C'!$K:$K,'0811 4度C'!$A:$A,"新豐2線",'0811 4度C'!$B:$B,"平均")</f>
        <v>86.206896551724142</v>
      </c>
      <c r="F13" s="73">
        <f>SUMIFS('0811 4度C'!$K:$K,'0811 4度C'!$A:$A,"新豐5線",'0811 4度C'!$B:$B,"平均")</f>
        <v>93.28358208955224</v>
      </c>
      <c r="G13" s="73">
        <f>SUMIFS('0811 4度C'!$K:$K,'0811 4度C'!$A:$A,"新豐7線",'0811 4度C'!$B:$B,"平均")</f>
        <v>137.25490196078431</v>
      </c>
      <c r="H13" s="73">
        <f>SUMIFS('0811 4度C'!$K:$K,'0811 4度C'!$A:$A,"新豐3線",'0811 4度C'!$B:$B,"平均")</f>
        <v>324.32432432432432</v>
      </c>
      <c r="I13" s="73">
        <f>SUMIFS('0811 4度C'!$K:$K,'0811 4度C'!$A:$A,"新豐1線",'0811 4度C'!$B:$B,"平均")</f>
        <v>115.38461538461539</v>
      </c>
      <c r="J13" s="74">
        <f>SUMIFS('0811 4度C'!$K:$K,'0811 4度C'!$A:$A,"新豐10線",'0811 4度C'!$B:$B,"平均")</f>
        <v>292.6829268292683</v>
      </c>
      <c r="K13" s="75">
        <f>SUMIFS('0811 4度C'!$K:$K,'0811 4度C'!$A:$A,"新豐8線",'0811 4度C'!$B:$B,"平均")</f>
        <v>143.58974358974359</v>
      </c>
      <c r="L13" s="76">
        <f>SUMIFS('0811 4度C'!$K:$K,'0811 4度C'!$A:$A,"新豐9線",'0811 4度C'!$B:$B,"平均")</f>
        <v>122.22222222222223</v>
      </c>
      <c r="M13" s="74">
        <f>SUMIFS('0811 4度C'!$K:$K,'0811 4度C'!$A:$A,"新豐4線",'0811 4度C'!$B:$B,"平均")</f>
        <v>147.69230769230768</v>
      </c>
    </row>
    <row r="14" spans="2:17" ht="39.6" customHeight="1">
      <c r="B14" s="583"/>
      <c r="C14" s="77" t="s">
        <v>1116</v>
      </c>
      <c r="D14" s="78">
        <f>SUMIFS('0811 4度C'!$N:$N,'0811 4度C'!$A:$A,"新豐6線",'0811 4度C'!$B:$B,"平均")</f>
        <v>123.85176875520879</v>
      </c>
      <c r="E14" s="79">
        <f>SUMIFS('0811 4度C'!$N:$N,'0811 4度C'!$A:$A,"新豐2線",'0811 4度C'!$B:$B,"平均")</f>
        <v>82.294661802546557</v>
      </c>
      <c r="F14" s="79">
        <f>SUMIFS('0811 4度C'!$N:$N,'0811 4度C'!$A:$A,"新豐5線",'0811 4度C'!$B:$B,"平均")</f>
        <v>89.122392763763926</v>
      </c>
      <c r="G14" s="79">
        <f>SUMIFS('0811 4度C'!$N:$N,'0811 4度C'!$A:$A,"新豐7線",'0811 4度C'!$B:$B,"平均")</f>
        <v>132.10240953236058</v>
      </c>
      <c r="H14" s="79">
        <f>SUMIFS('0811 4度C'!$N:$N,'0811 4度C'!$A:$A,"新豐3線",'0811 4度C'!$B:$B,"平均")</f>
        <v>310.20277253178267</v>
      </c>
      <c r="I14" s="79">
        <f>SUMIFS('0811 4度C'!$N:$N,'0811 4度C'!$A:$A,"新豐1線",'0811 4度C'!$B:$B,"平均")</f>
        <v>110.90921283447503</v>
      </c>
      <c r="J14" s="80">
        <f>SUMIFS('0811 4度C'!$N:$N,'0811 4度C'!$A:$A,"新豐10線",'0811 4度C'!$B:$B,"平均")</f>
        <v>281.48830054387713</v>
      </c>
      <c r="K14" s="81">
        <f>SUMIFS('0811 4度C'!$N:$N,'0811 4度C'!$A:$A,"新豐8線",'0811 4度C'!$B:$B,"平均")</f>
        <v>137.43827164456292</v>
      </c>
      <c r="L14" s="82">
        <f>SUMIFS('0811 4度C'!$N:$N,'0811 4度C'!$A:$A,"新豐9線",'0811 4度C'!$B:$B,"平均")</f>
        <v>116.95740590667677</v>
      </c>
      <c r="M14" s="80">
        <f>SUMIFS('0811 4度C'!$N:$N,'0811 4度C'!$A:$A,"新豐4線",'0811 4度C'!$B:$B,"平均")</f>
        <v>141.29374115583684</v>
      </c>
    </row>
    <row r="15" spans="2:17" ht="40.15" customHeight="1">
      <c r="B15" s="584"/>
      <c r="C15" s="83" t="s">
        <v>1117</v>
      </c>
      <c r="D15" s="84">
        <f t="shared" ref="D15:M15" si="0">D14/D13</f>
        <v>0.95985120785286815</v>
      </c>
      <c r="E15" s="85">
        <f t="shared" si="0"/>
        <v>0.95461807690954004</v>
      </c>
      <c r="F15" s="85">
        <f t="shared" si="0"/>
        <v>0.95539205042754927</v>
      </c>
      <c r="G15" s="85">
        <f t="shared" si="0"/>
        <v>0.96246041230719859</v>
      </c>
      <c r="H15" s="85">
        <f t="shared" si="0"/>
        <v>0.95645854863966329</v>
      </c>
      <c r="I15" s="85">
        <f t="shared" si="0"/>
        <v>0.96121317789878358</v>
      </c>
      <c r="J15" s="86">
        <f t="shared" si="0"/>
        <v>0.96175169352491352</v>
      </c>
      <c r="K15" s="84">
        <f t="shared" si="0"/>
        <v>0.95715939181034893</v>
      </c>
      <c r="L15" s="85">
        <f t="shared" si="0"/>
        <v>0.95692423014553718</v>
      </c>
      <c r="M15" s="86">
        <f t="shared" si="0"/>
        <v>0.95667637240931203</v>
      </c>
    </row>
    <row r="16" spans="2:17" ht="17.25" customHeight="1">
      <c r="B16" s="585" t="s">
        <v>1118</v>
      </c>
      <c r="C16" s="87" t="s">
        <v>1119</v>
      </c>
      <c r="D16" s="88">
        <f>VLOOKUP("新豐6線",'0811 4度C'!$A:$T,19,0)</f>
        <v>0.70833333333333337</v>
      </c>
      <c r="E16" s="89">
        <f>VLOOKUP("新豐2線",'0811 4度C'!$A:$T,19,0)</f>
        <v>8.3333333333333329E-2</v>
      </c>
      <c r="F16" s="89">
        <f>VLOOKUP("新豐5線",'0811 4度C'!$A:$T,19,0)</f>
        <v>0.20833333333333334</v>
      </c>
      <c r="G16" s="89">
        <f>VLOOKUP("新豐7線",'0811 4度C'!$A:$T,19,0)</f>
        <v>0.20833333333333334</v>
      </c>
      <c r="H16" s="89">
        <f>VLOOKUP("新豐3線",'0811 4度C'!$A:$T,19,0)</f>
        <v>0.20833333333333334</v>
      </c>
      <c r="I16" s="89">
        <f>VLOOKUP("新豐1線",'0811 4度C'!$A:$T,19,0)</f>
        <v>0.20833333333333334</v>
      </c>
      <c r="J16" s="90">
        <f>VLOOKUP("新豐10線",'0811 4度C'!$A:$T,19,0)</f>
        <v>0.20833333333333334</v>
      </c>
      <c r="K16" s="91">
        <f>VLOOKUP("新豐8線",'0811 4度C'!$A:$T,19,0)</f>
        <v>8.3333333333333329E-2</v>
      </c>
      <c r="L16" s="92">
        <f>VLOOKUP("新豐9線",'0811 4度C'!$A:$T,19,0)</f>
        <v>8.3333333333333329E-2</v>
      </c>
      <c r="M16" s="93">
        <f>VLOOKUP("新豐4線",'0811 4度C'!$A:$T,19,0)</f>
        <v>8.3333333333333329E-2</v>
      </c>
    </row>
    <row r="17" spans="2:13" ht="17.25" customHeight="1">
      <c r="B17" s="586"/>
      <c r="C17" s="87" t="s">
        <v>1120</v>
      </c>
      <c r="D17" s="91">
        <f>LOOKUP(2,1/(('0811 4度C'!$A:$A="新豐6線")*('0811 4度C'!$T:$T&lt;&gt;"")),'0811 4度C'!$T:$T)</f>
        <v>0.91805555555555551</v>
      </c>
      <c r="E17" s="89">
        <f>LOOKUP(2,1/(('0811 4度C'!$A:$A="新豐2線")*('0811 4度C'!$T:$T&lt;&gt;"")),'0811 4度C'!$T:$T)</f>
        <v>0.64027777777777761</v>
      </c>
      <c r="F17" s="89">
        <f>LOOKUP(2,1/(('0811 4度C'!$A:$A="新豐5線")*('0811 4度C'!$T:$T&lt;&gt;"")),'0811 4度C'!$T:$T)</f>
        <v>0.91111111111111109</v>
      </c>
      <c r="G17" s="89">
        <f>LOOKUP(2,1/(('0811 4度C'!$A:$A="新豐7線")*('0811 4度C'!$T:$T&lt;&gt;"")),'0811 4度C'!$T:$T)</f>
        <v>0.90555555555555556</v>
      </c>
      <c r="H17" s="89">
        <f>LOOKUP(2,1/(('0811 4度C'!$A:$A="新豐3線")*('0811 4度C'!$T:$T&lt;&gt;"")),'0811 4度C'!$T:$T)</f>
        <v>0.41805555555555557</v>
      </c>
      <c r="I17" s="89">
        <f>LOOKUP(2,1/(('0811 4度C'!$A:$A="新豐1線")*('0811 4度C'!$T:$T&lt;&gt;"")),'0811 4度C'!$T:$T)</f>
        <v>0.91180555555555565</v>
      </c>
      <c r="J17" s="90">
        <f>LOOKUP(2,1/(('0811 4度C'!$A:$A="新豐10線")*('0811 4度C'!$T:$T&lt;&gt;"")),'0811 4度C'!$T:$T)</f>
        <v>0.39027777777777772</v>
      </c>
      <c r="K17" s="88">
        <f>LOOKUP(2,1/(('0811 4度C'!$A:$A="新豐8線")*('0811 4度C'!$T:$T&lt;&gt;"")),'0811 4度C'!$T:$T)</f>
        <v>0.68194444444444435</v>
      </c>
      <c r="L17" s="89">
        <f>LOOKUP(2,1/(('0811 4度C'!$A:$A="新豐9線")*('0811 4度C'!$T:$T&lt;&gt;"")),'0811 4度C'!$T:$T)</f>
        <v>0.73541666666666661</v>
      </c>
      <c r="M17" s="90">
        <f>LOOKUP(2,1/(('0811 4度C'!$A:$A="新豐4線")*('0811 4度C'!$T:$T&lt;&gt;"")),'0811 4度C'!$T:$T)</f>
        <v>0.64999999999999991</v>
      </c>
    </row>
    <row r="18" spans="2:13" ht="17.25" customHeight="1">
      <c r="B18" s="564" t="s">
        <v>1121</v>
      </c>
      <c r="C18" s="94" t="s">
        <v>1122</v>
      </c>
      <c r="D18" s="95">
        <f>SUMIFS('0811 4度C'!$Y:$Y,'0811 4度C'!$A:$A,"新豐6線",'0811 4度C'!$B:$B,"平均")</f>
        <v>0</v>
      </c>
      <c r="E18" s="96">
        <f>SUMIFS('0811 4度C'!$Y:$Y,'0811 4度C'!$A:$A,"新豐2線",'0811 4度C'!$B:$B,"平均")</f>
        <v>0</v>
      </c>
      <c r="F18" s="96">
        <f>SUMIFS('0811 4度C'!$Y:$Y,'0811 4度C'!$A:$A,"新豐5線",'0811 4度C'!$B:$B,"平均")</f>
        <v>0</v>
      </c>
      <c r="G18" s="96">
        <f>SUMIFS('0811 4度C'!$Y:$Y,'0811 4度C'!$A:$A,"新豐7線",'0811 4度C'!$B:$B,"平均")</f>
        <v>0</v>
      </c>
      <c r="H18" s="96">
        <f>SUMIFS('0811 4度C'!$Y:$Y,'0811 4度C'!$A:$A,"新豐3線",'0811 4度C'!$B:$B,"平均")</f>
        <v>0</v>
      </c>
      <c r="I18" s="96">
        <f>SUMIFS('0811 4度C'!$Y:$Y,'0811 4度C'!$A:$A,"新豐1線",'0811 4度C'!$B:$B,"平均")</f>
        <v>0</v>
      </c>
      <c r="J18" s="97">
        <f>SUMIFS('0811 4度C'!$Y:$Y,'0811 4度C'!$A:$A,"新豐10線",'0811 4度C'!$B:$B,"平均")</f>
        <v>0</v>
      </c>
      <c r="K18" s="98">
        <f>SUMIFS('0811 4度C'!$Y:$Y,'0811 4度C'!$A:$A,"新豐8線",'0811 4度C'!$B:$B,"平均")</f>
        <v>0</v>
      </c>
      <c r="L18" s="96">
        <f>SUMIFS('0811 4度C'!$Y:$Y,'0811 4度C'!$A:$A,"新豐9線",'0811 4度C'!$B:$B,"平均")</f>
        <v>0</v>
      </c>
      <c r="M18" s="97">
        <f>SUMIFS('0811 4度C'!$Y:$Y,'0811 4度C'!$A:$A,"新豐4線",'0811 4度C'!$B:$B,"平均")</f>
        <v>0</v>
      </c>
    </row>
    <row r="19" spans="2:13" ht="17.25" customHeight="1">
      <c r="B19" s="565"/>
      <c r="C19" s="94" t="s">
        <v>1123</v>
      </c>
      <c r="D19" s="95">
        <f>SUMIFS('0811 4度C'!$Z:$Z,'0811 4度C'!$A:$A,"新豐6線",'0811 4度C'!$B:$B,"平均")</f>
        <v>0</v>
      </c>
      <c r="E19" s="96">
        <f>SUMIFS('0811 4度C'!$Z:$Z,'0811 4度C'!$A:$A,"新豐2線",'0811 4度C'!$B:$B,"平均")</f>
        <v>0</v>
      </c>
      <c r="F19" s="96">
        <f>SUMIFS('0811 4度C'!$Z:$Z,'0811 4度C'!$A:$A,"新豐5線",'0811 4度C'!$B:$B,"平均")</f>
        <v>0</v>
      </c>
      <c r="G19" s="96">
        <f>SUMIFS('0811 4度C'!$Z:$Z,'0811 4度C'!$A:$A,"新豐7線",'0811 4度C'!$B:$B,"平均")</f>
        <v>0</v>
      </c>
      <c r="H19" s="96">
        <f>SUMIFS('0811 4度C'!$Z:$Z,'0811 4度C'!$A:$A,"新豐3線",'0811 4度C'!$B:$B,"平均")</f>
        <v>0</v>
      </c>
      <c r="I19" s="96">
        <f>SUMIFS('0811 4度C'!$Z:$Z,'0811 4度C'!$A:$A,"新豐1線",'0811 4度C'!$B:$B,"平均")</f>
        <v>0</v>
      </c>
      <c r="J19" s="97">
        <f>SUMIFS('0811 4度C'!$Z:$Z,'0811 4度C'!$A:$A,"新豐10線",'0811 4度C'!$B:$B,"平均")</f>
        <v>0</v>
      </c>
      <c r="K19" s="98">
        <f>SUMIFS('0811 4度C'!$Z:$Z,'0811 4度C'!$A:$A,"新豐8線",'0811 4度C'!$B:$B,"平均")</f>
        <v>0</v>
      </c>
      <c r="L19" s="96">
        <f>SUMIFS('0811 4度C'!$Z:$Z,'0811 4度C'!$A:$A,"新豐9線",'0811 4度C'!$B:$B,"平均")</f>
        <v>0</v>
      </c>
      <c r="M19" s="97">
        <f>SUMIFS('0811 4度C'!$Z:$Z,'0811 4度C'!$A:$A,"新豐4線",'0811 4度C'!$B:$B,"平均")</f>
        <v>0</v>
      </c>
    </row>
    <row r="20" spans="2:13" ht="17.25" customHeight="1">
      <c r="B20" s="564" t="s">
        <v>1124</v>
      </c>
      <c r="C20" s="94" t="s">
        <v>1122</v>
      </c>
      <c r="D20" s="95">
        <f>SUMIFS('0811 4度C'!$AC:$AC,'0811 4度C'!$A:$A,"新豐6線",'0811 4度C'!$B:$B,"平均")</f>
        <v>4</v>
      </c>
      <c r="E20" s="96">
        <f>SUMIFS('0811 4度C'!$AC:$AC,'0811 4度C'!$A:$A,"新豐2線",'0811 4度C'!$B:$B,"平均")</f>
        <v>5</v>
      </c>
      <c r="F20" s="96">
        <f>SUMIFS('0811 4度C'!$AC:$AC,'0811 4度C'!$A:$A,"新豐5線",'0811 4度C'!$B:$B,"平均")</f>
        <v>7</v>
      </c>
      <c r="G20" s="96">
        <f>SUMIFS('0811 4度C'!$AC:$AC,'0811 4度C'!$A:$A,"新豐7線",'0811 4度C'!$B:$B,"平均")</f>
        <v>7</v>
      </c>
      <c r="H20" s="96">
        <f>SUMIFS('0811 4度C'!$AC:$AC,'0811 4度C'!$A:$A,"新豐3線",'0811 4度C'!$B:$B,"平均")</f>
        <v>4</v>
      </c>
      <c r="I20" s="96">
        <f>SUMIFS('0811 4度C'!$AC:$AC,'0811 4度C'!$A:$A,"新豐1線",'0811 4度C'!$B:$B,"平均")</f>
        <v>9</v>
      </c>
      <c r="J20" s="97">
        <f>SUMIFS('0811 4度C'!$AC:$AC,'0811 4度C'!$A:$A,"新豐10線",'0811 4度C'!$B:$B,"平均")</f>
        <v>4</v>
      </c>
      <c r="K20" s="98">
        <f>SUMIFS('0811 4度C'!$AC:$AC,'0811 4度C'!$A:$A,"新豐8線",'0811 4度C'!$B:$B,"平均")</f>
        <v>7</v>
      </c>
      <c r="L20" s="96">
        <f>SUMIFS('0811 4度C'!$AC:$AC,'0811 4度C'!$A:$A,"新豐9線",'0811 4度C'!$B:$B,"平均")</f>
        <v>8</v>
      </c>
      <c r="M20" s="97">
        <f>SUMIFS('0811 4度C'!$AC:$AC,'0811 4度C'!$A:$A,"新豐4線",'0811 4度C'!$B:$B,"平均")</f>
        <v>8</v>
      </c>
    </row>
    <row r="21" spans="2:13" ht="17.25" customHeight="1">
      <c r="B21" s="565"/>
      <c r="C21" s="94" t="s">
        <v>1125</v>
      </c>
      <c r="D21" s="95">
        <f>SUMIFS('0811 4度C'!$AD:$AD,'0811 4度C'!$A:$A,"新豐6線",'0811 4度C'!$B:$B,"平均")</f>
        <v>0</v>
      </c>
      <c r="E21" s="96">
        <f>SUMIFS('0811 4度C'!$AD:$AD,'0811 4度C'!$A:$A,"新豐2線",'0811 4度C'!$B:$B,"平均")</f>
        <v>0</v>
      </c>
      <c r="F21" s="96">
        <f>SUMIFS('0811 4度C'!$AD:$AD,'0811 4度C'!$A:$A,"新豐5線",'0811 4度C'!$B:$B,"平均")</f>
        <v>0</v>
      </c>
      <c r="G21" s="96">
        <f>SUMIFS('0811 4度C'!$AD:$AD,'0811 4度C'!$A:$A,"新豐7線",'0811 4度C'!$B:$B,"平均")</f>
        <v>0</v>
      </c>
      <c r="H21" s="96">
        <f>SUMIFS('0811 4度C'!$AD:$AD,'0811 4度C'!$A:$A,"新豐3線",'0811 4度C'!$B:$B,"平均")</f>
        <v>0</v>
      </c>
      <c r="I21" s="96">
        <f>SUMIFS('0811 4度C'!$AD:$AD,'0811 4度C'!$A:$A,"新豐1線",'0811 4度C'!$B:$B,"平均")</f>
        <v>0</v>
      </c>
      <c r="J21" s="97">
        <f>SUMIFS('0811 4度C'!$AD:$AD,'0811 4度C'!$A:$A,"新豐10線",'0811 4度C'!$B:$B,"平均")</f>
        <v>0</v>
      </c>
      <c r="K21" s="98">
        <f>SUMIFS('0811 4度C'!$AD:$AD,'0811 4度C'!$A:$A,"新豐8線",'0811 4度C'!$B:$B,"平均")</f>
        <v>0</v>
      </c>
      <c r="L21" s="96">
        <f>SUMIFS('0811 4度C'!$AD:$AD,'0811 4度C'!$A:$A,"新豐9線",'0811 4度C'!$B:$B,"平均")</f>
        <v>0</v>
      </c>
      <c r="M21" s="97">
        <f>SUMIFS('0811 4度C'!$AD:$AD,'0811 4度C'!$A:$A,"新豐4線",'0811 4度C'!$B:$B,"平均")</f>
        <v>0</v>
      </c>
    </row>
    <row r="22" spans="2:13" ht="17.25" customHeight="1">
      <c r="B22" s="566" t="s">
        <v>1126</v>
      </c>
      <c r="C22" s="567"/>
      <c r="D22" s="99">
        <f>SUMIFS('0811 4度C'!$I:$I,'0811 4度C'!$A:$A,"新豐6線",'0811 4度C'!$B:$B,"平均")</f>
        <v>15.5</v>
      </c>
      <c r="E22" s="100">
        <f>SUMIFS('0811 4度C'!$I:$I,'0811 4度C'!$A:$A,"新豐2線",'0811 4度C'!$B:$B,"平均")</f>
        <v>17.399999999999999</v>
      </c>
      <c r="F22" s="100">
        <f>SUMIFS('0811 4度C'!$I:$I,'0811 4度C'!$A:$A,"新豐5線",'0811 4度C'!$B:$B,"平均")</f>
        <v>19.142857142857142</v>
      </c>
      <c r="G22" s="100">
        <f>SUMIFS('0811 4度C'!$I:$I,'0811 4度C'!$A:$A,"新豐7線",'0811 4度C'!$B:$B,"平均")</f>
        <v>14.571428571428571</v>
      </c>
      <c r="H22" s="100">
        <f>SUMIFS('0811 4度C'!$I:$I,'0811 4度C'!$A:$A,"新豐3線",'0811 4度C'!$B:$B,"平均")</f>
        <v>9.25</v>
      </c>
      <c r="I22" s="100">
        <f>SUMIFS('0811 4度C'!$I:$I,'0811 4度C'!$A:$A,"新豐1線",'0811 4度C'!$B:$B,"平均")</f>
        <v>17.333333333333332</v>
      </c>
      <c r="J22" s="101">
        <f>SUMIFS('0811 4度C'!$I:$I,'0811 4度C'!$A:$A,"新豐10線",'0811 4度C'!$B:$B,"平均")</f>
        <v>10.25</v>
      </c>
      <c r="K22" s="99">
        <f>SUMIFS('0811 4度C'!$I:$I,'0811 4度C'!$A:$A,"新豐8線",'0811 4度C'!$B:$B,"平均")</f>
        <v>16.714285714285715</v>
      </c>
      <c r="L22" s="100">
        <f>SUMIFS('0811 4度C'!$I:$I,'0811 4度C'!$A:$A,"新豐9線",'0811 4度C'!$B:$B,"平均")</f>
        <v>18</v>
      </c>
      <c r="M22" s="101">
        <f>SUMIFS('0811 4度C'!$I:$I,'0811 4度C'!$A:$A,"新豐4線",'0811 4度C'!$B:$B,"平均")</f>
        <v>16.25</v>
      </c>
    </row>
    <row r="23" spans="2:13" ht="17.25" customHeight="1">
      <c r="B23" s="566" t="s">
        <v>1127</v>
      </c>
      <c r="C23" s="567"/>
      <c r="D23" s="102" t="s">
        <v>202</v>
      </c>
      <c r="E23" s="103" t="s">
        <v>203</v>
      </c>
      <c r="F23" s="103" t="s">
        <v>1128</v>
      </c>
      <c r="G23" s="103" t="s">
        <v>1129</v>
      </c>
      <c r="H23" s="103" t="s">
        <v>205</v>
      </c>
      <c r="I23" s="103" t="s">
        <v>202</v>
      </c>
      <c r="J23" s="104" t="s">
        <v>205</v>
      </c>
      <c r="K23" s="102" t="s">
        <v>1130</v>
      </c>
      <c r="L23" s="103" t="s">
        <v>1130</v>
      </c>
      <c r="M23" s="104" t="s">
        <v>1130</v>
      </c>
    </row>
    <row r="24" spans="2:13" ht="17.25" customHeight="1">
      <c r="B24" s="566" t="s">
        <v>1131</v>
      </c>
      <c r="C24" s="567"/>
      <c r="D24" s="102"/>
      <c r="E24" s="103"/>
      <c r="F24" s="103" t="s">
        <v>1132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68" t="s">
        <v>1133</v>
      </c>
      <c r="C25" s="569"/>
      <c r="D25" s="105"/>
      <c r="E25" s="106" t="s">
        <v>1134</v>
      </c>
      <c r="F25" s="562" t="s">
        <v>1135</v>
      </c>
      <c r="G25" s="563"/>
      <c r="H25" s="106" t="s">
        <v>1136</v>
      </c>
      <c r="I25" s="106" t="s">
        <v>1137</v>
      </c>
      <c r="J25" s="107" t="s">
        <v>1136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93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8"/>
  <sheetViews>
    <sheetView zoomScale="80" zoomScaleNormal="80" workbookViewId="0">
      <pane ySplit="4" topLeftCell="A5" activePane="bottomLeft" state="frozen"/>
      <selection activeCell="A9" sqref="A9"/>
      <selection pane="bottomLeft" activeCell="L6" sqref="L6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41" customWidth="1"/>
    <col min="20" max="20" width="7.625" style="41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1138</v>
      </c>
      <c r="B1" s="1"/>
      <c r="C1" s="2" t="s">
        <v>1139</v>
      </c>
      <c r="D1" s="3">
        <f>SUM(F5:F77)</f>
        <v>178164</v>
      </c>
      <c r="E1" s="252" t="s">
        <v>1140</v>
      </c>
      <c r="F1" s="1">
        <f>SUM(G5:G77)</f>
        <v>6233541.3100000005</v>
      </c>
      <c r="G1" s="1" t="s">
        <v>1141</v>
      </c>
      <c r="H1" s="5">
        <f>L9+L15+L53+L63+L23+L68+L39+L48+L31+L77</f>
        <v>154.41190476190476</v>
      </c>
      <c r="I1" s="676" t="s">
        <v>1142</v>
      </c>
      <c r="J1" s="676"/>
      <c r="K1" s="676"/>
      <c r="L1" s="676" t="s">
        <v>1143</v>
      </c>
      <c r="M1" s="676"/>
      <c r="N1" s="676"/>
      <c r="O1" s="676" t="s">
        <v>1144</v>
      </c>
      <c r="P1" s="676"/>
      <c r="Q1" s="676"/>
      <c r="R1" s="676"/>
      <c r="S1" s="676" t="s">
        <v>1145</v>
      </c>
      <c r="T1" s="676"/>
      <c r="U1" s="676"/>
      <c r="V1" s="676"/>
      <c r="W1" s="676"/>
      <c r="X1" s="676"/>
      <c r="Y1" s="6" t="s">
        <v>1146</v>
      </c>
      <c r="Z1" s="7" t="s">
        <v>1147</v>
      </c>
      <c r="AA1" s="677" t="s">
        <v>1148</v>
      </c>
      <c r="AB1" s="677"/>
      <c r="AC1" s="8" t="s">
        <v>1146</v>
      </c>
      <c r="AD1" s="7" t="s">
        <v>1149</v>
      </c>
      <c r="AE1" s="676" t="s">
        <v>1150</v>
      </c>
      <c r="AF1" s="678"/>
      <c r="AG1" s="678"/>
    </row>
    <row r="2" spans="1:33" ht="26.25" customHeight="1">
      <c r="A2" s="35">
        <v>46245</v>
      </c>
      <c r="B2" s="36" t="s">
        <v>422</v>
      </c>
      <c r="C2" s="2" t="s">
        <v>1151</v>
      </c>
      <c r="D2" s="10">
        <f>AVERAGE(N9,N15,N53,N63,N23,N68,N31,N39,N48,N77)</f>
        <v>152.56609374710914</v>
      </c>
      <c r="E2" s="11" t="s">
        <v>14</v>
      </c>
      <c r="F2" s="12">
        <f>F1/D1</f>
        <v>34.987659179183225</v>
      </c>
      <c r="G2" s="1" t="s">
        <v>1152</v>
      </c>
      <c r="H2" s="260">
        <f>COUNT(H5:H77)</f>
        <v>12</v>
      </c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14">
        <f>SUM(Y9+Y15+Y23+Y31+Y39+Y48+Y53+Y63+Y68+Y77)</f>
        <v>0</v>
      </c>
      <c r="Z2" s="14">
        <f>SUM(Z9+Z15+Z23+Z31+Z39+Z48+Z53+Z63+Z68+Z77)</f>
        <v>0</v>
      </c>
      <c r="AA2" s="677"/>
      <c r="AB2" s="677"/>
      <c r="AC2" s="14">
        <v>63</v>
      </c>
      <c r="AD2" s="14">
        <f>SUM(AD9+AD15+AD23+AD31+AD39+AD48+AD53+AD63+AD68+AD77)</f>
        <v>0</v>
      </c>
      <c r="AE2" s="678"/>
      <c r="AF2" s="678"/>
      <c r="AG2" s="678"/>
    </row>
    <row r="3" spans="1:33" ht="40.5" customHeight="1">
      <c r="A3" s="632" t="s">
        <v>1153</v>
      </c>
      <c r="B3" s="632" t="s">
        <v>1154</v>
      </c>
      <c r="C3" s="632" t="s">
        <v>1155</v>
      </c>
      <c r="D3" s="632"/>
      <c r="E3" s="674" t="s">
        <v>1156</v>
      </c>
      <c r="F3" s="632" t="s">
        <v>1157</v>
      </c>
      <c r="G3" s="674" t="s">
        <v>1158</v>
      </c>
      <c r="H3" s="667" t="s">
        <v>1159</v>
      </c>
      <c r="I3" s="665" t="s">
        <v>1160</v>
      </c>
      <c r="J3" s="662" t="s">
        <v>1161</v>
      </c>
      <c r="K3" s="672" t="s">
        <v>1151</v>
      </c>
      <c r="L3" s="665" t="s">
        <v>1160</v>
      </c>
      <c r="M3" s="662" t="s">
        <v>1161</v>
      </c>
      <c r="N3" s="672" t="s">
        <v>1151</v>
      </c>
      <c r="O3" s="665" t="s">
        <v>1160</v>
      </c>
      <c r="P3" s="672" t="s">
        <v>1151</v>
      </c>
      <c r="Q3" s="663" t="s">
        <v>1162</v>
      </c>
      <c r="R3" s="641" t="s">
        <v>1163</v>
      </c>
      <c r="S3" s="673" t="s">
        <v>29</v>
      </c>
      <c r="T3" s="673"/>
      <c r="U3" s="667" t="s">
        <v>30</v>
      </c>
      <c r="V3" s="667" t="s">
        <v>1164</v>
      </c>
      <c r="W3" s="632" t="s">
        <v>1165</v>
      </c>
      <c r="X3" s="632"/>
      <c r="Y3" s="668" t="s">
        <v>1166</v>
      </c>
      <c r="Z3" s="631"/>
      <c r="AA3" s="669" t="s">
        <v>1167</v>
      </c>
      <c r="AB3" s="670"/>
      <c r="AC3" s="668" t="s">
        <v>1168</v>
      </c>
      <c r="AD3" s="631"/>
      <c r="AE3" s="662" t="s">
        <v>1169</v>
      </c>
      <c r="AF3" s="663" t="s">
        <v>1162</v>
      </c>
      <c r="AG3" s="641" t="s">
        <v>1170</v>
      </c>
    </row>
    <row r="4" spans="1:33" ht="15.75" customHeight="1">
      <c r="A4" s="632"/>
      <c r="B4" s="632"/>
      <c r="C4" s="632"/>
      <c r="D4" s="632"/>
      <c r="E4" s="675"/>
      <c r="F4" s="632"/>
      <c r="G4" s="675"/>
      <c r="H4" s="667"/>
      <c r="I4" s="665"/>
      <c r="J4" s="662"/>
      <c r="K4" s="672"/>
      <c r="L4" s="665"/>
      <c r="M4" s="662"/>
      <c r="N4" s="672"/>
      <c r="O4" s="665"/>
      <c r="P4" s="672"/>
      <c r="Q4" s="663"/>
      <c r="R4" s="641"/>
      <c r="S4" s="259" t="s">
        <v>39</v>
      </c>
      <c r="T4" s="259" t="s">
        <v>40</v>
      </c>
      <c r="U4" s="667"/>
      <c r="V4" s="667"/>
      <c r="W4" s="252" t="s">
        <v>1171</v>
      </c>
      <c r="X4" s="252" t="s">
        <v>1172</v>
      </c>
      <c r="Y4" s="251" t="s">
        <v>1173</v>
      </c>
      <c r="Z4" s="251" t="s">
        <v>1174</v>
      </c>
      <c r="AA4" s="671"/>
      <c r="AB4" s="670"/>
      <c r="AC4" s="251" t="s">
        <v>1175</v>
      </c>
      <c r="AD4" s="251" t="s">
        <v>1176</v>
      </c>
      <c r="AE4" s="662"/>
      <c r="AF4" s="663"/>
      <c r="AG4" s="641"/>
    </row>
    <row r="5" spans="1:33">
      <c r="A5" s="664" t="s">
        <v>1177</v>
      </c>
      <c r="B5" s="42" t="s">
        <v>92</v>
      </c>
      <c r="C5" s="666" t="s">
        <v>93</v>
      </c>
      <c r="D5" s="666"/>
      <c r="E5" s="42">
        <v>50.92</v>
      </c>
      <c r="F5" s="259">
        <v>2485</v>
      </c>
      <c r="G5" s="252">
        <f t="shared" ref="G5:G8" si="0">E5*F5</f>
        <v>126536.2</v>
      </c>
      <c r="H5" s="37" t="s">
        <v>91</v>
      </c>
      <c r="I5" s="257">
        <v>15</v>
      </c>
      <c r="J5" s="39">
        <v>2000</v>
      </c>
      <c r="K5" s="17">
        <f t="shared" ref="K5:K68" si="1">J5/I5</f>
        <v>133.33333333333334</v>
      </c>
      <c r="L5" s="257">
        <v>15</v>
      </c>
      <c r="M5" s="18">
        <f t="shared" ref="M5:M8" si="2">F5/V5*60</f>
        <v>1911.5384615384603</v>
      </c>
      <c r="N5" s="17">
        <f t="shared" ref="N5:N68" si="3">M5/L5</f>
        <v>127.43589743589736</v>
      </c>
      <c r="O5" s="19">
        <f t="shared" ref="O5:O68" si="4">L5-I5</f>
        <v>0</v>
      </c>
      <c r="P5" s="20">
        <f t="shared" ref="P5:P68" si="5">N5-K5</f>
        <v>-5.8974358974359831</v>
      </c>
      <c r="Q5" s="253">
        <f t="shared" ref="Q5:Q68" si="6">N5/K5</f>
        <v>0.95576923076923015</v>
      </c>
      <c r="R5" s="637">
        <f>Q9</f>
        <v>0.95985120785286815</v>
      </c>
      <c r="S5" s="40">
        <v>0.70833333333333337</v>
      </c>
      <c r="T5" s="40">
        <v>0.76250000000000007</v>
      </c>
      <c r="U5" s="252"/>
      <c r="V5" s="258">
        <f t="shared" ref="V5:V8" si="7">(T5-S5)*24*60</f>
        <v>78.000000000000043</v>
      </c>
      <c r="W5" s="23"/>
      <c r="X5" s="23"/>
      <c r="Y5" s="24"/>
      <c r="Z5" s="24"/>
      <c r="AA5" s="632"/>
      <c r="AB5" s="632"/>
      <c r="AC5" s="25">
        <v>4</v>
      </c>
      <c r="AD5" s="25"/>
      <c r="AE5" s="19">
        <f t="shared" ref="AE5:AE62" si="8">M5-J5</f>
        <v>-88.461538461539703</v>
      </c>
      <c r="AF5" s="253">
        <f t="shared" ref="AF5:AF68" si="9">M5/J5</f>
        <v>0.95576923076923015</v>
      </c>
      <c r="AG5" s="637">
        <f>AF9</f>
        <v>0.95985120785286815</v>
      </c>
    </row>
    <row r="6" spans="1:33">
      <c r="A6" s="665" t="s">
        <v>1178</v>
      </c>
      <c r="B6" s="42" t="s">
        <v>92</v>
      </c>
      <c r="C6" s="666" t="s">
        <v>94</v>
      </c>
      <c r="D6" s="666"/>
      <c r="E6" s="42">
        <v>50.98</v>
      </c>
      <c r="F6" s="259">
        <v>1000</v>
      </c>
      <c r="G6" s="252">
        <f t="shared" si="0"/>
        <v>50980</v>
      </c>
      <c r="H6" s="37">
        <v>2</v>
      </c>
      <c r="I6" s="257">
        <v>16</v>
      </c>
      <c r="J6" s="39">
        <v>2000</v>
      </c>
      <c r="K6" s="17">
        <f t="shared" si="1"/>
        <v>125</v>
      </c>
      <c r="L6" s="257">
        <v>16</v>
      </c>
      <c r="M6" s="18">
        <f t="shared" si="2"/>
        <v>1935.483870967739</v>
      </c>
      <c r="N6" s="17">
        <f t="shared" si="3"/>
        <v>120.96774193548369</v>
      </c>
      <c r="O6" s="19">
        <f t="shared" si="4"/>
        <v>0</v>
      </c>
      <c r="P6" s="20">
        <f t="shared" si="5"/>
        <v>-4.0322580645163129</v>
      </c>
      <c r="Q6" s="253">
        <f t="shared" si="6"/>
        <v>0.96774193548386944</v>
      </c>
      <c r="R6" s="637"/>
      <c r="S6" s="40">
        <v>0.7680555555555556</v>
      </c>
      <c r="T6" s="40">
        <v>0.78958333333333341</v>
      </c>
      <c r="U6" s="252">
        <f t="shared" ref="U6:U8" si="10">IF(S6=TIME(17,0,0),"",(S6-T5)*24*60)</f>
        <v>7.9999999999999716</v>
      </c>
      <c r="V6" s="258">
        <f t="shared" si="7"/>
        <v>31.00000000000005</v>
      </c>
      <c r="W6" s="23"/>
      <c r="X6" s="23"/>
      <c r="Y6" s="23"/>
      <c r="Z6" s="23"/>
      <c r="AA6" s="632"/>
      <c r="AB6" s="632"/>
      <c r="AC6" s="25"/>
      <c r="AD6" s="25"/>
      <c r="AE6" s="19">
        <f t="shared" si="8"/>
        <v>-64.516129032261006</v>
      </c>
      <c r="AF6" s="253">
        <f t="shared" si="9"/>
        <v>0.96774193548386944</v>
      </c>
      <c r="AG6" s="637"/>
    </row>
    <row r="7" spans="1:33">
      <c r="A7" s="665" t="s">
        <v>1177</v>
      </c>
      <c r="B7" s="42" t="s">
        <v>92</v>
      </c>
      <c r="C7" s="660" t="s">
        <v>109</v>
      </c>
      <c r="D7" s="661"/>
      <c r="E7" s="42">
        <v>50.49</v>
      </c>
      <c r="F7" s="259">
        <v>2185</v>
      </c>
      <c r="G7" s="252">
        <f t="shared" si="0"/>
        <v>110320.65000000001</v>
      </c>
      <c r="H7" s="37" t="s">
        <v>91</v>
      </c>
      <c r="I7" s="257">
        <v>15</v>
      </c>
      <c r="J7" s="39">
        <v>2000</v>
      </c>
      <c r="K7" s="17">
        <f t="shared" si="1"/>
        <v>133.33333333333334</v>
      </c>
      <c r="L7" s="257">
        <v>15</v>
      </c>
      <c r="M7" s="18">
        <f t="shared" si="2"/>
        <v>1927.9411764705908</v>
      </c>
      <c r="N7" s="17">
        <f t="shared" si="3"/>
        <v>128.52941176470605</v>
      </c>
      <c r="O7" s="19">
        <f t="shared" si="4"/>
        <v>0</v>
      </c>
      <c r="P7" s="20">
        <f t="shared" si="5"/>
        <v>-4.8039215686272883</v>
      </c>
      <c r="Q7" s="253">
        <f t="shared" si="6"/>
        <v>0.96397058823529536</v>
      </c>
      <c r="R7" s="637"/>
      <c r="S7" s="40">
        <v>0.79375000000000007</v>
      </c>
      <c r="T7" s="40">
        <v>0.84097222222222223</v>
      </c>
      <c r="U7" s="252">
        <f t="shared" si="10"/>
        <v>5.9999999999999787</v>
      </c>
      <c r="V7" s="258">
        <f t="shared" si="7"/>
        <v>67.999999999999915</v>
      </c>
      <c r="W7" s="23">
        <f>T7</f>
        <v>0.84097222222222223</v>
      </c>
      <c r="X7" s="23">
        <f>S8</f>
        <v>0.88194444444444442</v>
      </c>
      <c r="Y7" s="26"/>
      <c r="Z7" s="26"/>
      <c r="AA7" s="627"/>
      <c r="AB7" s="628"/>
      <c r="AC7" s="27"/>
      <c r="AD7" s="27"/>
      <c r="AE7" s="19">
        <f t="shared" si="8"/>
        <v>-72.05882352940921</v>
      </c>
      <c r="AF7" s="253">
        <f t="shared" si="9"/>
        <v>0.96397058823529536</v>
      </c>
      <c r="AG7" s="637"/>
    </row>
    <row r="8" spans="1:33">
      <c r="A8" s="665" t="s">
        <v>1178</v>
      </c>
      <c r="B8" s="42" t="s">
        <v>92</v>
      </c>
      <c r="C8" s="660" t="s">
        <v>94</v>
      </c>
      <c r="D8" s="661"/>
      <c r="E8" s="42">
        <v>50.98</v>
      </c>
      <c r="F8" s="259">
        <v>1650</v>
      </c>
      <c r="G8" s="252">
        <f t="shared" si="0"/>
        <v>84117</v>
      </c>
      <c r="H8" s="37" t="s">
        <v>91</v>
      </c>
      <c r="I8" s="257">
        <v>16</v>
      </c>
      <c r="J8" s="39">
        <v>2000</v>
      </c>
      <c r="K8" s="17">
        <f t="shared" si="1"/>
        <v>125</v>
      </c>
      <c r="L8" s="257">
        <v>16</v>
      </c>
      <c r="M8" s="18">
        <f t="shared" si="2"/>
        <v>1903.8461538461549</v>
      </c>
      <c r="N8" s="17">
        <f t="shared" si="3"/>
        <v>118.99038461538468</v>
      </c>
      <c r="O8" s="19">
        <f t="shared" si="4"/>
        <v>0</v>
      </c>
      <c r="P8" s="20">
        <f t="shared" si="5"/>
        <v>-6.0096153846153157</v>
      </c>
      <c r="Q8" s="253">
        <f t="shared" si="6"/>
        <v>0.95192307692307743</v>
      </c>
      <c r="R8" s="637"/>
      <c r="S8" s="40">
        <v>0.88194444444444442</v>
      </c>
      <c r="T8" s="40">
        <v>0.91805555555555551</v>
      </c>
      <c r="U8" s="252">
        <f t="shared" si="10"/>
        <v>58.99999999999995</v>
      </c>
      <c r="V8" s="258">
        <f t="shared" si="7"/>
        <v>51.999999999999972</v>
      </c>
      <c r="W8" s="28"/>
      <c r="X8" s="28"/>
      <c r="Y8" s="136"/>
      <c r="Z8" s="136"/>
      <c r="AA8" s="627"/>
      <c r="AB8" s="628"/>
      <c r="AC8" s="27"/>
      <c r="AD8" s="27"/>
      <c r="AE8" s="19">
        <f t="shared" si="8"/>
        <v>-96.153846153845052</v>
      </c>
      <c r="AF8" s="253">
        <f t="shared" si="9"/>
        <v>0.95192307692307743</v>
      </c>
      <c r="AG8" s="637"/>
    </row>
    <row r="9" spans="1:33">
      <c r="A9" s="665" t="s">
        <v>1177</v>
      </c>
      <c r="B9" s="42" t="s">
        <v>1179</v>
      </c>
      <c r="C9" s="638"/>
      <c r="D9" s="638"/>
      <c r="E9" s="254"/>
      <c r="F9" s="44"/>
      <c r="G9" s="17"/>
      <c r="H9" s="259"/>
      <c r="I9" s="29">
        <v>15.5</v>
      </c>
      <c r="J9" s="39">
        <v>2000</v>
      </c>
      <c r="K9" s="17">
        <f t="shared" si="1"/>
        <v>129.03225806451613</v>
      </c>
      <c r="L9" s="29">
        <v>15.5</v>
      </c>
      <c r="M9" s="18">
        <f>AVERAGE(M5:M8)</f>
        <v>1919.7024157057363</v>
      </c>
      <c r="N9" s="17">
        <f t="shared" si="3"/>
        <v>123.85176875520879</v>
      </c>
      <c r="O9" s="19">
        <f t="shared" si="4"/>
        <v>0</v>
      </c>
      <c r="P9" s="20">
        <f t="shared" si="5"/>
        <v>-5.1804893093073332</v>
      </c>
      <c r="Q9" s="253">
        <f t="shared" si="6"/>
        <v>0.95985120785286815</v>
      </c>
      <c r="R9" s="637"/>
      <c r="S9" s="40"/>
      <c r="T9" s="40"/>
      <c r="U9" s="252"/>
      <c r="V9" s="258"/>
      <c r="W9" s="17"/>
      <c r="X9" s="17"/>
      <c r="Y9" s="30">
        <f>SUM(Y5:Y8)</f>
        <v>0</v>
      </c>
      <c r="Z9" s="30">
        <f>SUM(Z5:Z8)</f>
        <v>0</v>
      </c>
      <c r="AA9" s="631"/>
      <c r="AB9" s="631"/>
      <c r="AC9" s="30">
        <v>4</v>
      </c>
      <c r="AD9" s="30">
        <f>SUM(AD5:AD8)</f>
        <v>0</v>
      </c>
      <c r="AE9" s="19">
        <f t="shared" si="8"/>
        <v>-80.297584294263743</v>
      </c>
      <c r="AF9" s="253">
        <f t="shared" si="9"/>
        <v>0.95985120785286815</v>
      </c>
      <c r="AG9" s="637"/>
    </row>
    <row r="10" spans="1:33" ht="15.75" customHeight="1">
      <c r="A10" s="659" t="s">
        <v>1180</v>
      </c>
      <c r="B10" s="42" t="s">
        <v>96</v>
      </c>
      <c r="C10" s="660" t="s">
        <v>97</v>
      </c>
      <c r="D10" s="661"/>
      <c r="E10" s="42">
        <v>39.799999999999997</v>
      </c>
      <c r="F10" s="259">
        <v>4100</v>
      </c>
      <c r="G10" s="252">
        <f t="shared" ref="G10:G14" si="11">E10*F10</f>
        <v>163180</v>
      </c>
      <c r="H10" s="37">
        <v>2</v>
      </c>
      <c r="I10" s="257">
        <v>17</v>
      </c>
      <c r="J10" s="39">
        <v>1500</v>
      </c>
      <c r="K10" s="17">
        <f t="shared" si="1"/>
        <v>88.235294117647058</v>
      </c>
      <c r="L10" s="257">
        <v>17</v>
      </c>
      <c r="M10" s="18">
        <f t="shared" ref="M10:M14" si="12">F10/V10*60</f>
        <v>1430.2325581395351</v>
      </c>
      <c r="N10" s="17">
        <f t="shared" si="3"/>
        <v>84.131326949384416</v>
      </c>
      <c r="O10" s="19">
        <f t="shared" si="4"/>
        <v>0</v>
      </c>
      <c r="P10" s="20">
        <f t="shared" si="5"/>
        <v>-4.103967168262642</v>
      </c>
      <c r="Q10" s="253">
        <f t="shared" si="6"/>
        <v>0.9534883720930234</v>
      </c>
      <c r="R10" s="637">
        <f>Q15</f>
        <v>0.95461807690954004</v>
      </c>
      <c r="S10" s="40">
        <v>8.3333333333333329E-2</v>
      </c>
      <c r="T10" s="40">
        <v>0.20277777777777778</v>
      </c>
      <c r="U10" s="252"/>
      <c r="V10" s="258">
        <f t="shared" ref="V10:V14" si="13">(T10-S10)*24*60</f>
        <v>172</v>
      </c>
      <c r="W10" s="23">
        <f>T10</f>
        <v>0.20277777777777778</v>
      </c>
      <c r="X10" s="23">
        <f>S11</f>
        <v>0.22013888888888886</v>
      </c>
      <c r="Y10" s="23"/>
      <c r="Z10" s="23"/>
      <c r="AA10" s="632"/>
      <c r="AB10" s="632"/>
      <c r="AC10" s="25">
        <v>5</v>
      </c>
      <c r="AD10" s="25"/>
      <c r="AE10" s="19">
        <f t="shared" si="8"/>
        <v>-69.767441860464942</v>
      </c>
      <c r="AF10" s="253">
        <f t="shared" si="9"/>
        <v>0.9534883720930234</v>
      </c>
      <c r="AG10" s="637">
        <f>AF15</f>
        <v>0.95461807690953993</v>
      </c>
    </row>
    <row r="11" spans="1:33" ht="15.75" customHeight="1">
      <c r="A11" s="659" t="s">
        <v>1181</v>
      </c>
      <c r="B11" s="42" t="s">
        <v>96</v>
      </c>
      <c r="C11" s="660" t="s">
        <v>98</v>
      </c>
      <c r="D11" s="661"/>
      <c r="E11" s="42">
        <v>39.46</v>
      </c>
      <c r="F11" s="259">
        <v>2482</v>
      </c>
      <c r="G11" s="252">
        <f t="shared" si="11"/>
        <v>97939.72</v>
      </c>
      <c r="H11" s="37" t="s">
        <v>91</v>
      </c>
      <c r="I11" s="257">
        <v>15</v>
      </c>
      <c r="J11" s="39">
        <v>1500</v>
      </c>
      <c r="K11" s="17">
        <f t="shared" si="1"/>
        <v>100</v>
      </c>
      <c r="L11" s="257">
        <v>15</v>
      </c>
      <c r="M11" s="18">
        <f t="shared" si="12"/>
        <v>1431.9230769230771</v>
      </c>
      <c r="N11" s="17">
        <f t="shared" si="3"/>
        <v>95.461538461538481</v>
      </c>
      <c r="O11" s="19">
        <f t="shared" si="4"/>
        <v>0</v>
      </c>
      <c r="P11" s="20">
        <f t="shared" si="5"/>
        <v>-4.5384615384615188</v>
      </c>
      <c r="Q11" s="253">
        <f t="shared" si="6"/>
        <v>0.95461538461538487</v>
      </c>
      <c r="R11" s="637"/>
      <c r="S11" s="40">
        <v>0.22013888888888886</v>
      </c>
      <c r="T11" s="40">
        <v>0.29236111111111107</v>
      </c>
      <c r="U11" s="252">
        <f t="shared" ref="U11:U14" si="14">IF(S11=TIME(17,0,0),"",(S11-T10)*24*60)</f>
        <v>24.99999999999995</v>
      </c>
      <c r="V11" s="258">
        <f t="shared" si="13"/>
        <v>103.99999999999999</v>
      </c>
      <c r="W11" s="23"/>
      <c r="X11" s="23"/>
      <c r="Y11" s="23"/>
      <c r="Z11" s="23"/>
      <c r="AA11" s="632"/>
      <c r="AB11" s="632"/>
      <c r="AC11" s="25"/>
      <c r="AD11" s="25"/>
      <c r="AE11" s="19">
        <f t="shared" si="8"/>
        <v>-68.076923076922867</v>
      </c>
      <c r="AF11" s="253">
        <f t="shared" si="9"/>
        <v>0.95461538461538475</v>
      </c>
      <c r="AG11" s="637"/>
    </row>
    <row r="12" spans="1:33" ht="15.75" customHeight="1">
      <c r="A12" s="659" t="s">
        <v>1181</v>
      </c>
      <c r="B12" s="42" t="s">
        <v>96</v>
      </c>
      <c r="C12" s="660" t="s">
        <v>99</v>
      </c>
      <c r="D12" s="661"/>
      <c r="E12" s="42">
        <v>39.520000000000003</v>
      </c>
      <c r="F12" s="259">
        <v>2188</v>
      </c>
      <c r="G12" s="252">
        <f t="shared" si="11"/>
        <v>86469.760000000009</v>
      </c>
      <c r="H12" s="37" t="s">
        <v>91</v>
      </c>
      <c r="I12" s="257">
        <v>19</v>
      </c>
      <c r="J12" s="39">
        <v>1500</v>
      </c>
      <c r="K12" s="17">
        <f t="shared" si="1"/>
        <v>78.94736842105263</v>
      </c>
      <c r="L12" s="257">
        <v>19</v>
      </c>
      <c r="M12" s="18">
        <f t="shared" si="12"/>
        <v>1426.9565217391305</v>
      </c>
      <c r="N12" s="17">
        <f t="shared" si="3"/>
        <v>75.102974828375295</v>
      </c>
      <c r="O12" s="19">
        <f t="shared" si="4"/>
        <v>0</v>
      </c>
      <c r="P12" s="20">
        <f t="shared" si="5"/>
        <v>-3.8443935926773349</v>
      </c>
      <c r="Q12" s="253">
        <f t="shared" si="6"/>
        <v>0.95130434782608708</v>
      </c>
      <c r="R12" s="637"/>
      <c r="S12" s="40">
        <v>0.29791666666666661</v>
      </c>
      <c r="T12" s="40">
        <v>0.36180555555555549</v>
      </c>
      <c r="U12" s="252">
        <f t="shared" si="14"/>
        <v>7.9999999999999716</v>
      </c>
      <c r="V12" s="258">
        <f t="shared" si="13"/>
        <v>92</v>
      </c>
      <c r="W12" s="23"/>
      <c r="X12" s="23"/>
      <c r="Y12" s="23"/>
      <c r="Z12" s="23"/>
      <c r="AA12" s="632"/>
      <c r="AB12" s="632"/>
      <c r="AC12" s="25"/>
      <c r="AD12" s="25"/>
      <c r="AE12" s="19">
        <f t="shared" si="8"/>
        <v>-73.043478260869506</v>
      </c>
      <c r="AF12" s="253">
        <f t="shared" si="9"/>
        <v>0.95130434782608697</v>
      </c>
      <c r="AG12" s="637"/>
    </row>
    <row r="13" spans="1:33" ht="15.75" customHeight="1">
      <c r="A13" s="659" t="s">
        <v>1181</v>
      </c>
      <c r="B13" s="42" t="s">
        <v>96</v>
      </c>
      <c r="C13" s="660" t="s">
        <v>100</v>
      </c>
      <c r="D13" s="661"/>
      <c r="E13" s="42">
        <v>39.619999999999997</v>
      </c>
      <c r="F13" s="259">
        <v>4762</v>
      </c>
      <c r="G13" s="252">
        <f t="shared" si="11"/>
        <v>188670.44</v>
      </c>
      <c r="H13" s="37" t="s">
        <v>91</v>
      </c>
      <c r="I13" s="257">
        <v>19</v>
      </c>
      <c r="J13" s="39">
        <v>1500</v>
      </c>
      <c r="K13" s="17">
        <f t="shared" si="1"/>
        <v>78.94736842105263</v>
      </c>
      <c r="L13" s="257">
        <v>19</v>
      </c>
      <c r="M13" s="18">
        <f t="shared" si="12"/>
        <v>1435.7788944723623</v>
      </c>
      <c r="N13" s="17">
        <f t="shared" si="3"/>
        <v>75.567310235387481</v>
      </c>
      <c r="O13" s="19">
        <f t="shared" si="4"/>
        <v>0</v>
      </c>
      <c r="P13" s="20">
        <f t="shared" si="5"/>
        <v>-3.380058185665149</v>
      </c>
      <c r="Q13" s="253">
        <f t="shared" si="6"/>
        <v>0.95718592964824145</v>
      </c>
      <c r="R13" s="637"/>
      <c r="S13" s="40">
        <v>0.3652777777777777</v>
      </c>
      <c r="T13" s="40">
        <v>0.5034722222222221</v>
      </c>
      <c r="U13" s="252">
        <f t="shared" si="14"/>
        <v>4.9999999999999822</v>
      </c>
      <c r="V13" s="258">
        <f t="shared" si="13"/>
        <v>198.99999999999994</v>
      </c>
      <c r="W13" s="23">
        <f>T13</f>
        <v>0.5034722222222221</v>
      </c>
      <c r="X13" s="23">
        <f>S14</f>
        <v>0.54513888888888873</v>
      </c>
      <c r="Y13" s="23"/>
      <c r="Z13" s="23"/>
      <c r="AA13" s="627"/>
      <c r="AB13" s="628"/>
      <c r="AC13" s="25"/>
      <c r="AD13" s="25"/>
      <c r="AE13" s="19">
        <f t="shared" si="8"/>
        <v>-64.221105527637746</v>
      </c>
      <c r="AF13" s="253">
        <f t="shared" si="9"/>
        <v>0.95718592964824145</v>
      </c>
      <c r="AG13" s="637"/>
    </row>
    <row r="14" spans="1:33" ht="15.75" customHeight="1">
      <c r="A14" s="659" t="s">
        <v>1181</v>
      </c>
      <c r="B14" s="42" t="s">
        <v>96</v>
      </c>
      <c r="C14" s="660" t="s">
        <v>97</v>
      </c>
      <c r="D14" s="661"/>
      <c r="E14" s="42">
        <v>39.799999999999997</v>
      </c>
      <c r="F14" s="259">
        <v>3276</v>
      </c>
      <c r="G14" s="252">
        <f t="shared" si="11"/>
        <v>130384.79999999999</v>
      </c>
      <c r="H14" s="37" t="s">
        <v>91</v>
      </c>
      <c r="I14" s="257">
        <v>17</v>
      </c>
      <c r="J14" s="39">
        <v>1500</v>
      </c>
      <c r="K14" s="17">
        <f t="shared" si="1"/>
        <v>88.235294117647058</v>
      </c>
      <c r="L14" s="257">
        <v>17</v>
      </c>
      <c r="M14" s="18">
        <f t="shared" si="12"/>
        <v>1434.7445255474452</v>
      </c>
      <c r="N14" s="17">
        <f t="shared" si="3"/>
        <v>84.396736796908542</v>
      </c>
      <c r="O14" s="19">
        <f t="shared" si="4"/>
        <v>0</v>
      </c>
      <c r="P14" s="20">
        <f t="shared" si="5"/>
        <v>-3.8385573207385164</v>
      </c>
      <c r="Q14" s="253">
        <f t="shared" si="6"/>
        <v>0.9564963503649635</v>
      </c>
      <c r="R14" s="637"/>
      <c r="S14" s="40">
        <v>0.54513888888888873</v>
      </c>
      <c r="T14" s="40">
        <v>0.64027777777777761</v>
      </c>
      <c r="U14" s="252">
        <f t="shared" si="14"/>
        <v>59.999999999999943</v>
      </c>
      <c r="V14" s="258">
        <f t="shared" si="13"/>
        <v>137</v>
      </c>
      <c r="W14" s="23"/>
      <c r="X14" s="23"/>
      <c r="Y14" s="26"/>
      <c r="Z14" s="26"/>
      <c r="AA14" s="627"/>
      <c r="AB14" s="628"/>
      <c r="AC14" s="25"/>
      <c r="AD14" s="25"/>
      <c r="AE14" s="19">
        <f t="shared" si="8"/>
        <v>-65.255474452554836</v>
      </c>
      <c r="AF14" s="253">
        <f t="shared" si="9"/>
        <v>0.95649635036496339</v>
      </c>
      <c r="AG14" s="637"/>
    </row>
    <row r="15" spans="1:33" ht="16.5" customHeight="1">
      <c r="A15" s="659" t="s">
        <v>1181</v>
      </c>
      <c r="B15" s="42" t="s">
        <v>1182</v>
      </c>
      <c r="C15" s="638"/>
      <c r="D15" s="638"/>
      <c r="E15" s="254"/>
      <c r="F15" s="39"/>
      <c r="G15" s="18"/>
      <c r="H15" s="259"/>
      <c r="I15" s="29">
        <v>17.399999999999999</v>
      </c>
      <c r="J15" s="39">
        <v>1500</v>
      </c>
      <c r="K15" s="17">
        <f t="shared" si="1"/>
        <v>86.206896551724142</v>
      </c>
      <c r="L15" s="29">
        <v>17.399999999999999</v>
      </c>
      <c r="M15" s="18">
        <f>AVERAGE(M10:M14)</f>
        <v>1431.9271153643099</v>
      </c>
      <c r="N15" s="17">
        <f t="shared" si="3"/>
        <v>82.294661802546557</v>
      </c>
      <c r="O15" s="19">
        <f t="shared" si="4"/>
        <v>0</v>
      </c>
      <c r="P15" s="20">
        <f t="shared" si="5"/>
        <v>-3.9122347491775855</v>
      </c>
      <c r="Q15" s="253">
        <f t="shared" si="6"/>
        <v>0.95461807690954004</v>
      </c>
      <c r="R15" s="637"/>
      <c r="S15" s="40"/>
      <c r="T15" s="40"/>
      <c r="U15" s="17"/>
      <c r="V15" s="258"/>
      <c r="W15" s="17"/>
      <c r="X15" s="17"/>
      <c r="Y15" s="30">
        <f>SUM(Y10:Y14)</f>
        <v>0</v>
      </c>
      <c r="Z15" s="30">
        <f>SUM(Z10:Z14)</f>
        <v>0</v>
      </c>
      <c r="AA15" s="631"/>
      <c r="AB15" s="631"/>
      <c r="AC15" s="30">
        <v>5</v>
      </c>
      <c r="AD15" s="30">
        <f>SUM(AD10:AD14)</f>
        <v>0</v>
      </c>
      <c r="AE15" s="19">
        <f t="shared" si="8"/>
        <v>-68.072884635690116</v>
      </c>
      <c r="AF15" s="253">
        <f t="shared" si="9"/>
        <v>0.95461807690953993</v>
      </c>
      <c r="AG15" s="637"/>
    </row>
    <row r="16" spans="1:33" ht="16.5" customHeight="1">
      <c r="A16" s="657" t="s">
        <v>55</v>
      </c>
      <c r="B16" s="259" t="s">
        <v>101</v>
      </c>
      <c r="C16" s="653" t="s">
        <v>102</v>
      </c>
      <c r="D16" s="653"/>
      <c r="E16" s="42">
        <v>31.11</v>
      </c>
      <c r="F16" s="259">
        <v>2697</v>
      </c>
      <c r="G16" s="252">
        <f t="shared" ref="G16:G22" si="15">E16*F16</f>
        <v>83903.67</v>
      </c>
      <c r="H16" s="37" t="s">
        <v>91</v>
      </c>
      <c r="I16" s="257">
        <v>14</v>
      </c>
      <c r="J16" s="39">
        <v>2000</v>
      </c>
      <c r="K16" s="17">
        <f t="shared" si="1"/>
        <v>142.85714285714286</v>
      </c>
      <c r="L16" s="257">
        <v>14</v>
      </c>
      <c r="M16" s="18">
        <f t="shared" ref="M16:M22" si="16">F16/V16*60</f>
        <v>1903.7647058823536</v>
      </c>
      <c r="N16" s="17">
        <f t="shared" si="3"/>
        <v>135.98319327731096</v>
      </c>
      <c r="O16" s="19">
        <f t="shared" si="4"/>
        <v>0</v>
      </c>
      <c r="P16" s="20">
        <f t="shared" si="5"/>
        <v>-6.8739495798319012</v>
      </c>
      <c r="Q16" s="253">
        <f t="shared" si="6"/>
        <v>0.95188235294117673</v>
      </c>
      <c r="R16" s="637">
        <f>Q23</f>
        <v>0.95539205042754927</v>
      </c>
      <c r="S16" s="40">
        <v>0.20833333333333334</v>
      </c>
      <c r="T16" s="40">
        <v>0.2673611111111111</v>
      </c>
      <c r="U16" s="252"/>
      <c r="V16" s="258">
        <f t="shared" ref="V16:V22" si="17">(T16-S16)*24*60</f>
        <v>84.999999999999972</v>
      </c>
      <c r="W16" s="23"/>
      <c r="X16" s="23"/>
      <c r="Y16" s="28"/>
      <c r="Z16" s="28"/>
      <c r="AA16" s="632"/>
      <c r="AB16" s="632"/>
      <c r="AC16" s="25">
        <v>7</v>
      </c>
      <c r="AD16" s="25"/>
      <c r="AE16" s="19">
        <f t="shared" si="8"/>
        <v>-96.23529411764639</v>
      </c>
      <c r="AF16" s="253">
        <f t="shared" si="9"/>
        <v>0.95188235294117685</v>
      </c>
      <c r="AG16" s="637">
        <f>AF23</f>
        <v>0.95539205042754927</v>
      </c>
    </row>
    <row r="17" spans="1:33" ht="16.5" customHeight="1">
      <c r="A17" s="658" t="s">
        <v>55</v>
      </c>
      <c r="B17" s="259" t="s">
        <v>103</v>
      </c>
      <c r="C17" s="653" t="s">
        <v>104</v>
      </c>
      <c r="D17" s="653"/>
      <c r="E17" s="42">
        <v>38.619999999999997</v>
      </c>
      <c r="F17" s="259">
        <v>2587</v>
      </c>
      <c r="G17" s="252">
        <f t="shared" si="15"/>
        <v>99909.939999999988</v>
      </c>
      <c r="H17" s="37" t="s">
        <v>91</v>
      </c>
      <c r="I17" s="257">
        <v>24</v>
      </c>
      <c r="J17" s="39">
        <v>1500</v>
      </c>
      <c r="K17" s="17">
        <f t="shared" si="1"/>
        <v>62.5</v>
      </c>
      <c r="L17" s="257">
        <v>24</v>
      </c>
      <c r="M17" s="18">
        <f t="shared" si="16"/>
        <v>1437.2222222222219</v>
      </c>
      <c r="N17" s="17">
        <f t="shared" si="3"/>
        <v>59.884259259259245</v>
      </c>
      <c r="O17" s="19">
        <f t="shared" si="4"/>
        <v>0</v>
      </c>
      <c r="P17" s="20">
        <f t="shared" si="5"/>
        <v>-2.6157407407407547</v>
      </c>
      <c r="Q17" s="253">
        <f t="shared" si="6"/>
        <v>0.95814814814814797</v>
      </c>
      <c r="R17" s="637"/>
      <c r="S17" s="40">
        <v>0.2722222222222222</v>
      </c>
      <c r="T17" s="40">
        <v>0.34722222222222221</v>
      </c>
      <c r="U17" s="252">
        <f t="shared" ref="U17:U22" si="18">IF(S17=TIME(17,0,0),"",(S17-T16)*24*60)</f>
        <v>6.9999999999999751</v>
      </c>
      <c r="V17" s="258">
        <f t="shared" si="17"/>
        <v>108.00000000000001</v>
      </c>
      <c r="W17" s="23"/>
      <c r="X17" s="23"/>
      <c r="Y17" s="23"/>
      <c r="Z17" s="23"/>
      <c r="AA17" s="632"/>
      <c r="AB17" s="632"/>
      <c r="AC17" s="25"/>
      <c r="AD17" s="25"/>
      <c r="AE17" s="19">
        <f t="shared" si="8"/>
        <v>-62.777777777778056</v>
      </c>
      <c r="AF17" s="253">
        <f t="shared" si="9"/>
        <v>0.95814814814814797</v>
      </c>
      <c r="AG17" s="637"/>
    </row>
    <row r="18" spans="1:33" ht="16.5" customHeight="1">
      <c r="A18" s="658" t="s">
        <v>1183</v>
      </c>
      <c r="B18" s="259" t="s">
        <v>103</v>
      </c>
      <c r="C18" s="653" t="s">
        <v>105</v>
      </c>
      <c r="D18" s="653"/>
      <c r="E18" s="42">
        <v>41</v>
      </c>
      <c r="F18" s="259">
        <v>2152</v>
      </c>
      <c r="G18" s="252">
        <f t="shared" si="15"/>
        <v>88232</v>
      </c>
      <c r="H18" s="37" t="s">
        <v>91</v>
      </c>
      <c r="I18" s="257">
        <v>26</v>
      </c>
      <c r="J18" s="39">
        <v>1500</v>
      </c>
      <c r="K18" s="17">
        <f t="shared" si="1"/>
        <v>57.692307692307693</v>
      </c>
      <c r="L18" s="257">
        <v>26</v>
      </c>
      <c r="M18" s="18">
        <f t="shared" si="16"/>
        <v>1434.6666666666667</v>
      </c>
      <c r="N18" s="17">
        <f t="shared" si="3"/>
        <v>55.179487179487182</v>
      </c>
      <c r="O18" s="19">
        <f t="shared" si="4"/>
        <v>0</v>
      </c>
      <c r="P18" s="20">
        <f t="shared" si="5"/>
        <v>-2.512820512820511</v>
      </c>
      <c r="Q18" s="253">
        <f t="shared" si="6"/>
        <v>0.95644444444444443</v>
      </c>
      <c r="R18" s="637"/>
      <c r="S18" s="40">
        <v>0.35069444444444442</v>
      </c>
      <c r="T18" s="40">
        <v>0.41319444444444442</v>
      </c>
      <c r="U18" s="252">
        <f t="shared" si="18"/>
        <v>4.9999999999999822</v>
      </c>
      <c r="V18" s="258">
        <f t="shared" si="17"/>
        <v>90</v>
      </c>
      <c r="W18" s="23"/>
      <c r="X18" s="23"/>
      <c r="Y18" s="23"/>
      <c r="Z18" s="23"/>
      <c r="AA18" s="632"/>
      <c r="AB18" s="632"/>
      <c r="AC18" s="25"/>
      <c r="AD18" s="25"/>
      <c r="AE18" s="19">
        <f t="shared" si="8"/>
        <v>-65.333333333333258</v>
      </c>
      <c r="AF18" s="253">
        <f t="shared" si="9"/>
        <v>0.95644444444444454</v>
      </c>
      <c r="AG18" s="637"/>
    </row>
    <row r="19" spans="1:33" ht="16.5" customHeight="1">
      <c r="A19" s="658" t="s">
        <v>1183</v>
      </c>
      <c r="B19" s="259" t="s">
        <v>92</v>
      </c>
      <c r="C19" s="653" t="s">
        <v>108</v>
      </c>
      <c r="D19" s="653"/>
      <c r="E19" s="42">
        <v>54.5</v>
      </c>
      <c r="F19" s="259">
        <v>1649</v>
      </c>
      <c r="G19" s="252">
        <f t="shared" si="15"/>
        <v>89870.5</v>
      </c>
      <c r="H19" s="37" t="s">
        <v>91</v>
      </c>
      <c r="I19" s="257">
        <v>20</v>
      </c>
      <c r="J19" s="39">
        <v>1500</v>
      </c>
      <c r="K19" s="17">
        <f t="shared" si="1"/>
        <v>75</v>
      </c>
      <c r="L19" s="257">
        <v>20</v>
      </c>
      <c r="M19" s="18">
        <f t="shared" si="16"/>
        <v>1433.9130434782594</v>
      </c>
      <c r="N19" s="17">
        <f t="shared" si="3"/>
        <v>71.695652173912976</v>
      </c>
      <c r="O19" s="19">
        <f t="shared" si="4"/>
        <v>0</v>
      </c>
      <c r="P19" s="20">
        <f t="shared" si="5"/>
        <v>-3.3043478260870245</v>
      </c>
      <c r="Q19" s="253">
        <f t="shared" si="6"/>
        <v>0.95594202898550629</v>
      </c>
      <c r="R19" s="637"/>
      <c r="S19" s="40">
        <v>0.70833333333333337</v>
      </c>
      <c r="T19" s="40">
        <v>0.75625000000000009</v>
      </c>
      <c r="U19" s="252" t="str">
        <f t="shared" si="18"/>
        <v/>
      </c>
      <c r="V19" s="258">
        <f t="shared" si="17"/>
        <v>69.000000000000071</v>
      </c>
      <c r="W19" s="23"/>
      <c r="X19" s="23"/>
      <c r="Y19" s="23"/>
      <c r="Z19" s="23"/>
      <c r="AA19" s="632"/>
      <c r="AB19" s="632"/>
      <c r="AC19" s="25"/>
      <c r="AD19" s="25"/>
      <c r="AE19" s="19">
        <f t="shared" si="8"/>
        <v>-66.086956521740603</v>
      </c>
      <c r="AF19" s="253">
        <f t="shared" si="9"/>
        <v>0.95594202898550629</v>
      </c>
      <c r="AG19" s="637"/>
    </row>
    <row r="20" spans="1:33" ht="16.5" customHeight="1">
      <c r="A20" s="658" t="s">
        <v>55</v>
      </c>
      <c r="B20" s="259" t="s">
        <v>92</v>
      </c>
      <c r="C20" s="653" t="s">
        <v>107</v>
      </c>
      <c r="D20" s="653"/>
      <c r="E20" s="42">
        <v>50.67</v>
      </c>
      <c r="F20" s="259">
        <v>1762</v>
      </c>
      <c r="G20" s="252">
        <f t="shared" si="15"/>
        <v>89280.540000000008</v>
      </c>
      <c r="H20" s="37" t="s">
        <v>91</v>
      </c>
      <c r="I20" s="257">
        <v>17</v>
      </c>
      <c r="J20" s="39">
        <v>2000</v>
      </c>
      <c r="K20" s="17">
        <f t="shared" si="1"/>
        <v>117.64705882352941</v>
      </c>
      <c r="L20" s="257">
        <v>17</v>
      </c>
      <c r="M20" s="18">
        <f t="shared" si="16"/>
        <v>1922.1818181818196</v>
      </c>
      <c r="N20" s="17">
        <f t="shared" si="3"/>
        <v>113.06951871657762</v>
      </c>
      <c r="O20" s="19">
        <f t="shared" si="4"/>
        <v>0</v>
      </c>
      <c r="P20" s="20">
        <f t="shared" si="5"/>
        <v>-4.5775401069517869</v>
      </c>
      <c r="Q20" s="253">
        <f t="shared" si="6"/>
        <v>0.96109090909090977</v>
      </c>
      <c r="R20" s="637"/>
      <c r="S20" s="40">
        <v>0.76180555555555562</v>
      </c>
      <c r="T20" s="40">
        <v>0.8</v>
      </c>
      <c r="U20" s="252">
        <f t="shared" si="18"/>
        <v>7.9999999999999716</v>
      </c>
      <c r="V20" s="258">
        <f t="shared" si="17"/>
        <v>54.999999999999964</v>
      </c>
      <c r="W20" s="23"/>
      <c r="X20" s="23"/>
      <c r="Y20" s="23"/>
      <c r="Z20" s="23"/>
      <c r="AA20" s="632"/>
      <c r="AB20" s="632"/>
      <c r="AC20" s="25"/>
      <c r="AD20" s="25"/>
      <c r="AE20" s="19">
        <f t="shared" si="8"/>
        <v>-77.818181818180392</v>
      </c>
      <c r="AF20" s="253">
        <f t="shared" si="9"/>
        <v>0.96109090909090977</v>
      </c>
      <c r="AG20" s="637"/>
    </row>
    <row r="21" spans="1:33" ht="16.5" customHeight="1">
      <c r="A21" s="658" t="s">
        <v>55</v>
      </c>
      <c r="B21" s="259" t="s">
        <v>92</v>
      </c>
      <c r="C21" s="255" t="s">
        <v>95</v>
      </c>
      <c r="D21" s="256"/>
      <c r="E21" s="42">
        <v>50.67</v>
      </c>
      <c r="F21" s="259">
        <v>1524</v>
      </c>
      <c r="G21" s="252">
        <f t="shared" si="15"/>
        <v>77221.08</v>
      </c>
      <c r="H21" s="37" t="s">
        <v>91</v>
      </c>
      <c r="I21" s="257">
        <v>15</v>
      </c>
      <c r="J21" s="39">
        <v>2000</v>
      </c>
      <c r="K21" s="17">
        <f t="shared" si="1"/>
        <v>133.33333333333334</v>
      </c>
      <c r="L21" s="257">
        <v>15</v>
      </c>
      <c r="M21" s="18">
        <f t="shared" si="16"/>
        <v>1905.0000000000007</v>
      </c>
      <c r="N21" s="17">
        <f t="shared" si="3"/>
        <v>127.00000000000004</v>
      </c>
      <c r="O21" s="19">
        <f t="shared" si="4"/>
        <v>0</v>
      </c>
      <c r="P21" s="20">
        <f t="shared" si="5"/>
        <v>-6.3333333333333002</v>
      </c>
      <c r="Q21" s="253">
        <f t="shared" si="6"/>
        <v>0.95250000000000024</v>
      </c>
      <c r="R21" s="637"/>
      <c r="S21" s="40">
        <v>0.80555555555555558</v>
      </c>
      <c r="T21" s="40">
        <v>0.83888888888888891</v>
      </c>
      <c r="U21" s="252">
        <f t="shared" si="18"/>
        <v>7.9999999999999716</v>
      </c>
      <c r="V21" s="258">
        <f t="shared" si="17"/>
        <v>47.999999999999986</v>
      </c>
      <c r="W21" s="23">
        <f>T21</f>
        <v>0.83888888888888891</v>
      </c>
      <c r="X21" s="23">
        <f>S22</f>
        <v>0.87916666666666665</v>
      </c>
      <c r="Y21" s="26"/>
      <c r="Z21" s="26"/>
      <c r="AA21" s="248"/>
      <c r="AB21" s="249"/>
      <c r="AC21" s="25"/>
      <c r="AD21" s="25"/>
      <c r="AE21" s="19">
        <f t="shared" si="8"/>
        <v>-94.999999999999318</v>
      </c>
      <c r="AF21" s="253">
        <f t="shared" si="9"/>
        <v>0.95250000000000035</v>
      </c>
      <c r="AG21" s="637"/>
    </row>
    <row r="22" spans="1:33" ht="16.5" customHeight="1">
      <c r="A22" s="658" t="s">
        <v>55</v>
      </c>
      <c r="B22" s="259" t="s">
        <v>92</v>
      </c>
      <c r="C22" s="255" t="s">
        <v>114</v>
      </c>
      <c r="D22" s="256"/>
      <c r="E22" s="42">
        <v>54.09</v>
      </c>
      <c r="F22" s="259">
        <v>1461</v>
      </c>
      <c r="G22" s="252">
        <f t="shared" si="15"/>
        <v>79025.490000000005</v>
      </c>
      <c r="H22" s="37" t="s">
        <v>91</v>
      </c>
      <c r="I22" s="257">
        <v>18</v>
      </c>
      <c r="J22" s="39">
        <v>2000</v>
      </c>
      <c r="K22" s="17">
        <f t="shared" si="1"/>
        <v>111.11111111111111</v>
      </c>
      <c r="L22" s="257">
        <v>18</v>
      </c>
      <c r="M22" s="18">
        <f t="shared" si="16"/>
        <v>1905.6521739130435</v>
      </c>
      <c r="N22" s="17">
        <f t="shared" si="3"/>
        <v>105.86956521739131</v>
      </c>
      <c r="O22" s="19">
        <f t="shared" si="4"/>
        <v>0</v>
      </c>
      <c r="P22" s="20">
        <f t="shared" si="5"/>
        <v>-5.2415458937198025</v>
      </c>
      <c r="Q22" s="253">
        <f t="shared" si="6"/>
        <v>0.95282608695652182</v>
      </c>
      <c r="R22" s="637"/>
      <c r="S22" s="40">
        <v>0.87916666666666665</v>
      </c>
      <c r="T22" s="40">
        <v>0.91111111111111109</v>
      </c>
      <c r="U22" s="252">
        <f t="shared" si="18"/>
        <v>57.999999999999957</v>
      </c>
      <c r="V22" s="258">
        <f t="shared" si="17"/>
        <v>46</v>
      </c>
      <c r="W22" s="23"/>
      <c r="X22" s="23"/>
      <c r="Y22" s="26"/>
      <c r="Z22" s="26"/>
      <c r="AA22" s="248"/>
      <c r="AB22" s="249"/>
      <c r="AC22" s="25"/>
      <c r="AD22" s="25"/>
      <c r="AE22" s="19">
        <f t="shared" si="8"/>
        <v>-94.347826086956502</v>
      </c>
      <c r="AF22" s="253">
        <f t="shared" si="9"/>
        <v>0.95282608695652171</v>
      </c>
      <c r="AG22" s="637"/>
    </row>
    <row r="23" spans="1:33" ht="16.5" customHeight="1">
      <c r="A23" s="658" t="s">
        <v>1183</v>
      </c>
      <c r="B23" s="42" t="s">
        <v>1182</v>
      </c>
      <c r="C23" s="638"/>
      <c r="D23" s="638"/>
      <c r="E23" s="254"/>
      <c r="F23" s="44"/>
      <c r="G23" s="17"/>
      <c r="H23" s="259"/>
      <c r="I23" s="29">
        <v>19.142857142857142</v>
      </c>
      <c r="J23" s="39">
        <v>1785.7142857142858</v>
      </c>
      <c r="K23" s="17">
        <f t="shared" si="1"/>
        <v>93.28358208955224</v>
      </c>
      <c r="L23" s="29">
        <v>19.142857142857142</v>
      </c>
      <c r="M23" s="18">
        <f>AVERAGE(M16:M22)</f>
        <v>1706.057232906338</v>
      </c>
      <c r="N23" s="17">
        <f t="shared" si="3"/>
        <v>89.122392763763926</v>
      </c>
      <c r="O23" s="19">
        <f t="shared" si="4"/>
        <v>0</v>
      </c>
      <c r="P23" s="20">
        <f t="shared" si="5"/>
        <v>-4.1611893257883139</v>
      </c>
      <c r="Q23" s="253">
        <f t="shared" si="6"/>
        <v>0.95539205042754927</v>
      </c>
      <c r="R23" s="637"/>
      <c r="S23" s="40"/>
      <c r="T23" s="40"/>
      <c r="U23" s="252"/>
      <c r="V23" s="258"/>
      <c r="W23" s="17"/>
      <c r="X23" s="17"/>
      <c r="Y23" s="30">
        <f>SUM(Y16:Y22)</f>
        <v>0</v>
      </c>
      <c r="Z23" s="30">
        <f>SUM(Z16:Z22)</f>
        <v>0</v>
      </c>
      <c r="AA23" s="631"/>
      <c r="AB23" s="631"/>
      <c r="AC23" s="30">
        <v>7</v>
      </c>
      <c r="AD23" s="30">
        <f>SUM(AD16:AD22)</f>
        <v>0</v>
      </c>
      <c r="AE23" s="19">
        <f t="shared" si="8"/>
        <v>-79.657052807947821</v>
      </c>
      <c r="AF23" s="253">
        <f t="shared" si="9"/>
        <v>0.95539205042754927</v>
      </c>
      <c r="AG23" s="637"/>
    </row>
    <row r="24" spans="1:33" ht="15.75" customHeight="1">
      <c r="A24" s="655" t="s">
        <v>412</v>
      </c>
      <c r="B24" s="42" t="s">
        <v>92</v>
      </c>
      <c r="C24" s="653" t="s">
        <v>110</v>
      </c>
      <c r="D24" s="653"/>
      <c r="E24" s="42">
        <v>50.67</v>
      </c>
      <c r="F24" s="259">
        <v>1880</v>
      </c>
      <c r="G24" s="252">
        <f t="shared" ref="G24:G30" si="19">E24*F24</f>
        <v>95259.6</v>
      </c>
      <c r="H24" s="37" t="s">
        <v>91</v>
      </c>
      <c r="I24" s="257">
        <v>17</v>
      </c>
      <c r="J24" s="39">
        <v>2000</v>
      </c>
      <c r="K24" s="17">
        <f t="shared" si="1"/>
        <v>117.64705882352941</v>
      </c>
      <c r="L24" s="257">
        <v>17</v>
      </c>
      <c r="M24" s="18">
        <f t="shared" ref="M24:M30" si="20">F24/V24*60</f>
        <v>1911.8644067796613</v>
      </c>
      <c r="N24" s="17">
        <f t="shared" si="3"/>
        <v>112.46261216350949</v>
      </c>
      <c r="O24" s="19">
        <f t="shared" si="4"/>
        <v>0</v>
      </c>
      <c r="P24" s="20">
        <f t="shared" si="5"/>
        <v>-5.1844466600199155</v>
      </c>
      <c r="Q24" s="253">
        <f t="shared" si="6"/>
        <v>0.95593220338983076</v>
      </c>
      <c r="R24" s="637">
        <f>Q31</f>
        <v>0.96246041230719859</v>
      </c>
      <c r="S24" s="40">
        <v>0.20833333333333334</v>
      </c>
      <c r="T24" s="40">
        <v>0.24930555555555556</v>
      </c>
      <c r="U24" s="252"/>
      <c r="V24" s="258">
        <f t="shared" ref="V24:V30" si="21">(T24-S24)*24*60</f>
        <v>58.999999999999993</v>
      </c>
      <c r="W24" s="23"/>
      <c r="X24" s="23"/>
      <c r="Y24" s="28"/>
      <c r="Z24" s="28"/>
      <c r="AA24" s="632"/>
      <c r="AB24" s="632"/>
      <c r="AC24" s="25">
        <v>7</v>
      </c>
      <c r="AD24" s="25"/>
      <c r="AE24" s="19">
        <f t="shared" si="8"/>
        <v>-88.135593220338706</v>
      </c>
      <c r="AF24" s="253">
        <f t="shared" si="9"/>
        <v>0.95593220338983065</v>
      </c>
      <c r="AG24" s="637">
        <f>AF31</f>
        <v>0.96246041230719848</v>
      </c>
    </row>
    <row r="25" spans="1:33" ht="15.75" customHeight="1">
      <c r="A25" s="656" t="s">
        <v>412</v>
      </c>
      <c r="B25" s="42" t="s">
        <v>92</v>
      </c>
      <c r="C25" s="653" t="s">
        <v>111</v>
      </c>
      <c r="D25" s="653"/>
      <c r="E25" s="42">
        <v>57.73</v>
      </c>
      <c r="F25" s="259">
        <v>2711</v>
      </c>
      <c r="G25" s="252">
        <f t="shared" si="19"/>
        <v>156506.03</v>
      </c>
      <c r="H25" s="37" t="s">
        <v>91</v>
      </c>
      <c r="I25" s="257">
        <v>14</v>
      </c>
      <c r="J25" s="39">
        <v>2000</v>
      </c>
      <c r="K25" s="17">
        <f t="shared" si="1"/>
        <v>142.85714285714286</v>
      </c>
      <c r="L25" s="257">
        <v>14</v>
      </c>
      <c r="M25" s="18">
        <f t="shared" si="20"/>
        <v>1913.6470588235291</v>
      </c>
      <c r="N25" s="17">
        <f t="shared" si="3"/>
        <v>136.68907563025206</v>
      </c>
      <c r="O25" s="19">
        <f t="shared" si="4"/>
        <v>0</v>
      </c>
      <c r="P25" s="20">
        <f t="shared" si="5"/>
        <v>-6.1680672268907983</v>
      </c>
      <c r="Q25" s="253">
        <f t="shared" si="6"/>
        <v>0.95682352941176441</v>
      </c>
      <c r="R25" s="637"/>
      <c r="S25" s="40">
        <v>0.25347222222222221</v>
      </c>
      <c r="T25" s="40">
        <v>0.3125</v>
      </c>
      <c r="U25" s="252">
        <f t="shared" ref="U25:U30" si="22">IF(S25=TIME(17,0,0),"",(S25-T24)*24*60)</f>
        <v>5.9999999999999787</v>
      </c>
      <c r="V25" s="258">
        <f t="shared" si="21"/>
        <v>85.000000000000014</v>
      </c>
      <c r="W25" s="23"/>
      <c r="X25" s="252"/>
      <c r="Y25" s="252"/>
      <c r="Z25" s="252"/>
      <c r="AA25" s="632"/>
      <c r="AB25" s="632"/>
      <c r="AC25" s="25"/>
      <c r="AD25" s="25"/>
      <c r="AE25" s="19">
        <f t="shared" si="8"/>
        <v>-86.352941176470949</v>
      </c>
      <c r="AF25" s="253">
        <f t="shared" si="9"/>
        <v>0.95682352941176452</v>
      </c>
      <c r="AG25" s="637"/>
    </row>
    <row r="26" spans="1:33" ht="15.75" customHeight="1">
      <c r="A26" s="656" t="s">
        <v>412</v>
      </c>
      <c r="B26" s="42" t="s">
        <v>92</v>
      </c>
      <c r="C26" s="653" t="s">
        <v>112</v>
      </c>
      <c r="D26" s="653"/>
      <c r="E26" s="42">
        <v>53.27</v>
      </c>
      <c r="F26" s="259">
        <v>1546</v>
      </c>
      <c r="G26" s="252">
        <f t="shared" si="19"/>
        <v>82355.42</v>
      </c>
      <c r="H26" s="37" t="s">
        <v>91</v>
      </c>
      <c r="I26" s="257">
        <v>16</v>
      </c>
      <c r="J26" s="39">
        <v>2000</v>
      </c>
      <c r="K26" s="17">
        <f t="shared" si="1"/>
        <v>125</v>
      </c>
      <c r="L26" s="257">
        <v>16</v>
      </c>
      <c r="M26" s="18">
        <f t="shared" si="20"/>
        <v>1932.5000000000005</v>
      </c>
      <c r="N26" s="17">
        <f t="shared" si="3"/>
        <v>120.78125000000003</v>
      </c>
      <c r="O26" s="19">
        <f t="shared" si="4"/>
        <v>0</v>
      </c>
      <c r="P26" s="20">
        <f t="shared" si="5"/>
        <v>-4.2187499999999716</v>
      </c>
      <c r="Q26" s="253">
        <f t="shared" si="6"/>
        <v>0.96625000000000028</v>
      </c>
      <c r="R26" s="637"/>
      <c r="S26" s="40">
        <v>0.31736111111111109</v>
      </c>
      <c r="T26" s="40">
        <v>0.35069444444444442</v>
      </c>
      <c r="U26" s="252">
        <f t="shared" si="22"/>
        <v>6.9999999999999751</v>
      </c>
      <c r="V26" s="258">
        <f t="shared" si="21"/>
        <v>47.999999999999986</v>
      </c>
      <c r="W26" s="23"/>
      <c r="X26" s="252"/>
      <c r="Y26" s="252"/>
      <c r="Z26" s="252"/>
      <c r="AA26" s="632"/>
      <c r="AB26" s="632"/>
      <c r="AC26" s="25"/>
      <c r="AD26" s="25"/>
      <c r="AE26" s="19">
        <f t="shared" si="8"/>
        <v>-67.499999999999545</v>
      </c>
      <c r="AF26" s="253">
        <f t="shared" si="9"/>
        <v>0.96625000000000028</v>
      </c>
      <c r="AG26" s="637"/>
    </row>
    <row r="27" spans="1:33" ht="15.75" customHeight="1">
      <c r="A27" s="656" t="s">
        <v>412</v>
      </c>
      <c r="B27" s="42" t="s">
        <v>92</v>
      </c>
      <c r="C27" s="653" t="s">
        <v>113</v>
      </c>
      <c r="D27" s="653"/>
      <c r="E27" s="42">
        <v>56.43</v>
      </c>
      <c r="F27" s="259">
        <v>1543</v>
      </c>
      <c r="G27" s="252">
        <f t="shared" si="19"/>
        <v>87071.49</v>
      </c>
      <c r="H27" s="37" t="s">
        <v>91</v>
      </c>
      <c r="I27" s="257">
        <v>13</v>
      </c>
      <c r="J27" s="39">
        <v>2000</v>
      </c>
      <c r="K27" s="17">
        <f t="shared" si="1"/>
        <v>153.84615384615384</v>
      </c>
      <c r="L27" s="257">
        <v>13</v>
      </c>
      <c r="M27" s="18">
        <f t="shared" si="20"/>
        <v>1928.7500000000005</v>
      </c>
      <c r="N27" s="17">
        <f t="shared" si="3"/>
        <v>148.36538461538464</v>
      </c>
      <c r="O27" s="19">
        <f t="shared" si="4"/>
        <v>0</v>
      </c>
      <c r="P27" s="20">
        <f t="shared" si="5"/>
        <v>-5.480769230769198</v>
      </c>
      <c r="Q27" s="253">
        <f t="shared" si="6"/>
        <v>0.9643750000000002</v>
      </c>
      <c r="R27" s="637"/>
      <c r="S27" s="40">
        <v>0.70833333333333337</v>
      </c>
      <c r="T27" s="40">
        <v>0.7416666666666667</v>
      </c>
      <c r="U27" s="252" t="str">
        <f t="shared" si="22"/>
        <v/>
      </c>
      <c r="V27" s="258">
        <f t="shared" si="21"/>
        <v>47.999999999999986</v>
      </c>
      <c r="W27" s="23"/>
      <c r="X27" s="252"/>
      <c r="Y27" s="252"/>
      <c r="Z27" s="252"/>
      <c r="AA27" s="632"/>
      <c r="AB27" s="632"/>
      <c r="AC27" s="25"/>
      <c r="AD27" s="25"/>
      <c r="AE27" s="19">
        <f t="shared" si="8"/>
        <v>-71.249999999999545</v>
      </c>
      <c r="AF27" s="253">
        <f t="shared" si="9"/>
        <v>0.9643750000000002</v>
      </c>
      <c r="AG27" s="637"/>
    </row>
    <row r="28" spans="1:33" ht="15.75" customHeight="1">
      <c r="A28" s="656" t="s">
        <v>412</v>
      </c>
      <c r="B28" s="42" t="s">
        <v>92</v>
      </c>
      <c r="C28" s="653" t="s">
        <v>115</v>
      </c>
      <c r="D28" s="653"/>
      <c r="E28" s="42">
        <v>57.3</v>
      </c>
      <c r="F28" s="259">
        <v>1643</v>
      </c>
      <c r="G28" s="252">
        <f t="shared" si="19"/>
        <v>94143.9</v>
      </c>
      <c r="H28" s="37" t="s">
        <v>91</v>
      </c>
      <c r="I28" s="257">
        <v>16</v>
      </c>
      <c r="J28" s="39">
        <v>2000</v>
      </c>
      <c r="K28" s="17">
        <f t="shared" si="1"/>
        <v>125</v>
      </c>
      <c r="L28" s="257">
        <v>16</v>
      </c>
      <c r="M28" s="18">
        <f t="shared" si="20"/>
        <v>1932.9411764705892</v>
      </c>
      <c r="N28" s="17">
        <f t="shared" si="3"/>
        <v>120.80882352941182</v>
      </c>
      <c r="O28" s="19">
        <f t="shared" si="4"/>
        <v>0</v>
      </c>
      <c r="P28" s="20">
        <f t="shared" si="5"/>
        <v>-4.1911764705881751</v>
      </c>
      <c r="Q28" s="253">
        <f t="shared" si="6"/>
        <v>0.96647058823529464</v>
      </c>
      <c r="R28" s="637"/>
      <c r="S28" s="40">
        <v>0.74652777777777779</v>
      </c>
      <c r="T28" s="40">
        <v>0.78194444444444444</v>
      </c>
      <c r="U28" s="252">
        <f t="shared" si="22"/>
        <v>6.9999999999999751</v>
      </c>
      <c r="V28" s="258">
        <f t="shared" si="21"/>
        <v>50.999999999999979</v>
      </c>
      <c r="W28" s="23"/>
      <c r="X28" s="23"/>
      <c r="Y28" s="252"/>
      <c r="Z28" s="252"/>
      <c r="AA28" s="632"/>
      <c r="AB28" s="632"/>
      <c r="AC28" s="25"/>
      <c r="AD28" s="25"/>
      <c r="AE28" s="19">
        <f t="shared" si="8"/>
        <v>-67.058823529410802</v>
      </c>
      <c r="AF28" s="253">
        <f t="shared" si="9"/>
        <v>0.96647058823529464</v>
      </c>
      <c r="AG28" s="637"/>
    </row>
    <row r="29" spans="1:33" ht="15.75" customHeight="1">
      <c r="A29" s="656" t="s">
        <v>412</v>
      </c>
      <c r="B29" s="42" t="s">
        <v>92</v>
      </c>
      <c r="C29" s="653" t="s">
        <v>140</v>
      </c>
      <c r="D29" s="653"/>
      <c r="E29" s="42">
        <v>51.06</v>
      </c>
      <c r="F29" s="259">
        <v>1000</v>
      </c>
      <c r="G29" s="252">
        <f t="shared" si="19"/>
        <v>51060</v>
      </c>
      <c r="H29" s="37">
        <v>2</v>
      </c>
      <c r="I29" s="257">
        <v>13</v>
      </c>
      <c r="J29" s="39">
        <v>2000</v>
      </c>
      <c r="K29" s="17">
        <f t="shared" si="1"/>
        <v>153.84615384615384</v>
      </c>
      <c r="L29" s="257">
        <v>13</v>
      </c>
      <c r="M29" s="18">
        <f t="shared" si="20"/>
        <v>1935.483870967739</v>
      </c>
      <c r="N29" s="17">
        <f t="shared" si="3"/>
        <v>148.88337468982607</v>
      </c>
      <c r="O29" s="19">
        <f t="shared" si="4"/>
        <v>0</v>
      </c>
      <c r="P29" s="20">
        <f t="shared" si="5"/>
        <v>-4.9627791563277697</v>
      </c>
      <c r="Q29" s="253">
        <f t="shared" si="6"/>
        <v>0.96774193548386944</v>
      </c>
      <c r="R29" s="637"/>
      <c r="S29" s="40">
        <v>0.78749999999999998</v>
      </c>
      <c r="T29" s="40">
        <v>0.80902777777777779</v>
      </c>
      <c r="U29" s="252">
        <f t="shared" si="22"/>
        <v>7.9999999999999716</v>
      </c>
      <c r="V29" s="258">
        <f t="shared" si="21"/>
        <v>31.00000000000005</v>
      </c>
      <c r="W29" s="23">
        <f>T29</f>
        <v>0.80902777777777779</v>
      </c>
      <c r="X29" s="23">
        <f>S30</f>
        <v>0.84930555555555554</v>
      </c>
      <c r="Y29" s="28"/>
      <c r="Z29" s="28"/>
      <c r="AA29" s="632"/>
      <c r="AB29" s="632"/>
      <c r="AC29" s="25"/>
      <c r="AD29" s="25"/>
      <c r="AE29" s="19">
        <f t="shared" si="8"/>
        <v>-64.516129032261006</v>
      </c>
      <c r="AF29" s="253">
        <f t="shared" si="9"/>
        <v>0.96774193548386944</v>
      </c>
      <c r="AG29" s="637"/>
    </row>
    <row r="30" spans="1:33" ht="15.75" customHeight="1">
      <c r="A30" s="656" t="s">
        <v>1184</v>
      </c>
      <c r="B30" s="42" t="s">
        <v>92</v>
      </c>
      <c r="C30" s="679" t="s">
        <v>140</v>
      </c>
      <c r="D30" s="680"/>
      <c r="E30" s="42">
        <v>51.06</v>
      </c>
      <c r="F30" s="259">
        <v>2591</v>
      </c>
      <c r="G30" s="252">
        <f t="shared" si="19"/>
        <v>132296.46</v>
      </c>
      <c r="H30" s="37" t="s">
        <v>91</v>
      </c>
      <c r="I30" s="257">
        <v>13</v>
      </c>
      <c r="J30" s="39">
        <v>2000</v>
      </c>
      <c r="K30" s="17">
        <f t="shared" si="1"/>
        <v>153.84615384615384</v>
      </c>
      <c r="L30" s="257">
        <v>13</v>
      </c>
      <c r="M30" s="18">
        <f t="shared" si="20"/>
        <v>1919.2592592592587</v>
      </c>
      <c r="N30" s="17">
        <f t="shared" si="3"/>
        <v>147.6353276353276</v>
      </c>
      <c r="O30" s="19">
        <f t="shared" si="4"/>
        <v>0</v>
      </c>
      <c r="P30" s="20">
        <f t="shared" si="5"/>
        <v>-6.2108262108262409</v>
      </c>
      <c r="Q30" s="253">
        <f t="shared" si="6"/>
        <v>0.95962962962962939</v>
      </c>
      <c r="R30" s="637"/>
      <c r="S30" s="40">
        <v>0.84930555555555554</v>
      </c>
      <c r="T30" s="40">
        <v>0.90555555555555556</v>
      </c>
      <c r="U30" s="252">
        <f t="shared" si="22"/>
        <v>57.999999999999957</v>
      </c>
      <c r="V30" s="258">
        <f t="shared" si="21"/>
        <v>81.000000000000028</v>
      </c>
      <c r="W30" s="23"/>
      <c r="X30" s="28"/>
      <c r="Y30" s="136"/>
      <c r="Z30" s="136"/>
      <c r="AA30" s="627"/>
      <c r="AB30" s="628"/>
      <c r="AC30" s="25"/>
      <c r="AD30" s="25"/>
      <c r="AE30" s="19">
        <f t="shared" si="8"/>
        <v>-80.74074074074133</v>
      </c>
      <c r="AF30" s="253">
        <f t="shared" si="9"/>
        <v>0.95962962962962939</v>
      </c>
      <c r="AG30" s="637"/>
    </row>
    <row r="31" spans="1:33" ht="15.75" customHeight="1">
      <c r="A31" s="656" t="s">
        <v>412</v>
      </c>
      <c r="B31" s="42" t="s">
        <v>1182</v>
      </c>
      <c r="C31" s="638"/>
      <c r="D31" s="638"/>
      <c r="E31" s="254"/>
      <c r="F31" s="259"/>
      <c r="G31" s="252"/>
      <c r="H31" s="259"/>
      <c r="I31" s="29">
        <v>14.571428571428571</v>
      </c>
      <c r="J31" s="39">
        <v>2000</v>
      </c>
      <c r="K31" s="17">
        <f t="shared" si="1"/>
        <v>137.25490196078431</v>
      </c>
      <c r="L31" s="29">
        <v>14.571428571428571</v>
      </c>
      <c r="M31" s="18">
        <f>AVERAGE(M24:M30)</f>
        <v>1924.9208246143969</v>
      </c>
      <c r="N31" s="17">
        <f t="shared" si="3"/>
        <v>132.10240953236058</v>
      </c>
      <c r="O31" s="19">
        <f t="shared" si="4"/>
        <v>0</v>
      </c>
      <c r="P31" s="20">
        <f t="shared" si="5"/>
        <v>-5.1524924284237272</v>
      </c>
      <c r="Q31" s="253">
        <f t="shared" si="6"/>
        <v>0.96246041230719859</v>
      </c>
      <c r="R31" s="637"/>
      <c r="S31" s="40"/>
      <c r="T31" s="40"/>
      <c r="U31" s="17"/>
      <c r="V31" s="258"/>
      <c r="W31" s="17"/>
      <c r="X31" s="17"/>
      <c r="Y31" s="30">
        <f>SUM(Y24:Y30)</f>
        <v>0</v>
      </c>
      <c r="Z31" s="30">
        <f>SUM(Z24:Z30)</f>
        <v>0</v>
      </c>
      <c r="AA31" s="631"/>
      <c r="AB31" s="631"/>
      <c r="AC31" s="30">
        <v>7</v>
      </c>
      <c r="AD31" s="30">
        <f>SUM(AD24:AD30)</f>
        <v>0</v>
      </c>
      <c r="AE31" s="19">
        <f t="shared" si="8"/>
        <v>-75.079175385603094</v>
      </c>
      <c r="AF31" s="253">
        <f t="shared" si="9"/>
        <v>0.96246041230719848</v>
      </c>
      <c r="AG31" s="637"/>
    </row>
    <row r="32" spans="1:33" ht="15.75" customHeight="1">
      <c r="A32" s="654" t="s">
        <v>1185</v>
      </c>
      <c r="B32" s="42" t="s">
        <v>116</v>
      </c>
      <c r="C32" s="653" t="s">
        <v>117</v>
      </c>
      <c r="D32" s="653"/>
      <c r="E32" s="42">
        <v>31.29</v>
      </c>
      <c r="F32" s="259">
        <v>5500</v>
      </c>
      <c r="G32" s="252">
        <f t="shared" ref="G32:G38" si="23">E32*F32</f>
        <v>172095</v>
      </c>
      <c r="H32" s="37">
        <v>2</v>
      </c>
      <c r="I32" s="257">
        <v>18</v>
      </c>
      <c r="J32" s="39">
        <v>2400</v>
      </c>
      <c r="K32" s="17">
        <f t="shared" si="1"/>
        <v>133.33333333333334</v>
      </c>
      <c r="L32" s="257">
        <v>18</v>
      </c>
      <c r="M32" s="18">
        <f t="shared" ref="M32:M38" si="24">F32/V32*60</f>
        <v>2291.6666666666665</v>
      </c>
      <c r="N32" s="17">
        <f t="shared" si="3"/>
        <v>127.31481481481481</v>
      </c>
      <c r="O32" s="19">
        <f t="shared" si="4"/>
        <v>0</v>
      </c>
      <c r="P32" s="20">
        <f t="shared" si="5"/>
        <v>-6.0185185185185333</v>
      </c>
      <c r="Q32" s="253">
        <f t="shared" si="6"/>
        <v>0.95486111111111105</v>
      </c>
      <c r="R32" s="637">
        <f>Q39</f>
        <v>0.95715939181034893</v>
      </c>
      <c r="S32" s="40">
        <v>8.3333333333333329E-2</v>
      </c>
      <c r="T32" s="40">
        <v>0.18333333333333332</v>
      </c>
      <c r="U32" s="252"/>
      <c r="V32" s="258">
        <f t="shared" ref="V32:V38" si="25">(T32-S32)*24*60</f>
        <v>144</v>
      </c>
      <c r="W32" s="23">
        <f>T32</f>
        <v>0.18333333333333332</v>
      </c>
      <c r="X32" s="23">
        <f>S33</f>
        <v>0.2048611111111111</v>
      </c>
      <c r="Y32" s="23"/>
      <c r="Z32" s="23"/>
      <c r="AA32" s="632"/>
      <c r="AB32" s="632"/>
      <c r="AC32" s="25">
        <v>7</v>
      </c>
      <c r="AD32" s="25"/>
      <c r="AE32" s="19">
        <f t="shared" si="8"/>
        <v>-108.33333333333348</v>
      </c>
      <c r="AF32" s="253">
        <f t="shared" si="9"/>
        <v>0.95486111111111105</v>
      </c>
      <c r="AG32" s="637">
        <f>AF39</f>
        <v>0.95715939181034893</v>
      </c>
    </row>
    <row r="33" spans="1:33" ht="15.75" customHeight="1">
      <c r="A33" s="654" t="s">
        <v>62</v>
      </c>
      <c r="B33" s="42" t="s">
        <v>116</v>
      </c>
      <c r="C33" s="653" t="s">
        <v>118</v>
      </c>
      <c r="D33" s="653"/>
      <c r="E33" s="42">
        <v>26.37</v>
      </c>
      <c r="F33" s="259">
        <v>6530</v>
      </c>
      <c r="G33" s="252">
        <f t="shared" si="23"/>
        <v>172196.1</v>
      </c>
      <c r="H33" s="37" t="s">
        <v>91</v>
      </c>
      <c r="I33" s="257">
        <v>18</v>
      </c>
      <c r="J33" s="39">
        <v>2400</v>
      </c>
      <c r="K33" s="17">
        <f t="shared" si="1"/>
        <v>133.33333333333334</v>
      </c>
      <c r="L33" s="257">
        <v>18</v>
      </c>
      <c r="M33" s="18">
        <f t="shared" si="24"/>
        <v>2291.228070175438</v>
      </c>
      <c r="N33" s="17">
        <f t="shared" si="3"/>
        <v>127.29044834307989</v>
      </c>
      <c r="O33" s="19">
        <f t="shared" si="4"/>
        <v>0</v>
      </c>
      <c r="P33" s="20">
        <f t="shared" si="5"/>
        <v>-6.0428849902534552</v>
      </c>
      <c r="Q33" s="253">
        <f t="shared" si="6"/>
        <v>0.95467836257309913</v>
      </c>
      <c r="R33" s="637"/>
      <c r="S33" s="40">
        <v>0.2048611111111111</v>
      </c>
      <c r="T33" s="40">
        <v>0.32361111111111113</v>
      </c>
      <c r="U33" s="252">
        <f t="shared" ref="U33:U38" si="26">(S33-T32)*24*60</f>
        <v>31.000000000000011</v>
      </c>
      <c r="V33" s="258">
        <f t="shared" si="25"/>
        <v>171.00000000000003</v>
      </c>
      <c r="W33" s="23"/>
      <c r="X33" s="23"/>
      <c r="Y33" s="23"/>
      <c r="Z33" s="23"/>
      <c r="AA33" s="632"/>
      <c r="AB33" s="632"/>
      <c r="AC33" s="25"/>
      <c r="AD33" s="25"/>
      <c r="AE33" s="19">
        <f t="shared" si="8"/>
        <v>-108.77192982456199</v>
      </c>
      <c r="AF33" s="253">
        <f t="shared" si="9"/>
        <v>0.95467836257309913</v>
      </c>
      <c r="AG33" s="637"/>
    </row>
    <row r="34" spans="1:33" ht="15.75" customHeight="1">
      <c r="A34" s="654" t="s">
        <v>1185</v>
      </c>
      <c r="B34" s="42" t="s">
        <v>116</v>
      </c>
      <c r="C34" s="653" t="s">
        <v>124</v>
      </c>
      <c r="D34" s="653"/>
      <c r="E34" s="42">
        <v>24.43</v>
      </c>
      <c r="F34" s="259">
        <v>4000</v>
      </c>
      <c r="G34" s="252">
        <f t="shared" si="23"/>
        <v>97720</v>
      </c>
      <c r="H34" s="37">
        <v>2</v>
      </c>
      <c r="I34" s="257">
        <v>14</v>
      </c>
      <c r="J34" s="39">
        <v>2400</v>
      </c>
      <c r="K34" s="17">
        <f t="shared" si="1"/>
        <v>171.42857142857142</v>
      </c>
      <c r="L34" s="257">
        <v>14</v>
      </c>
      <c r="M34" s="18">
        <f t="shared" si="24"/>
        <v>2285.7142857142853</v>
      </c>
      <c r="N34" s="17">
        <f t="shared" si="3"/>
        <v>163.26530612244895</v>
      </c>
      <c r="O34" s="19">
        <f t="shared" si="4"/>
        <v>0</v>
      </c>
      <c r="P34" s="20">
        <f t="shared" si="5"/>
        <v>-8.1632653061224687</v>
      </c>
      <c r="Q34" s="253">
        <f t="shared" si="6"/>
        <v>0.95238095238095222</v>
      </c>
      <c r="R34" s="637"/>
      <c r="S34" s="40">
        <v>0.32708333333333334</v>
      </c>
      <c r="T34" s="40">
        <v>0.4</v>
      </c>
      <c r="U34" s="252">
        <f t="shared" si="26"/>
        <v>4.9999999999999822</v>
      </c>
      <c r="V34" s="258">
        <f t="shared" si="25"/>
        <v>105.00000000000003</v>
      </c>
      <c r="W34" s="23"/>
      <c r="X34" s="23"/>
      <c r="Y34" s="23"/>
      <c r="Z34" s="23"/>
      <c r="AA34" s="632"/>
      <c r="AB34" s="632"/>
      <c r="AC34" s="25"/>
      <c r="AD34" s="25"/>
      <c r="AE34" s="19">
        <f t="shared" si="8"/>
        <v>-114.28571428571468</v>
      </c>
      <c r="AF34" s="253">
        <f t="shared" si="9"/>
        <v>0.95238095238095222</v>
      </c>
      <c r="AG34" s="637"/>
    </row>
    <row r="35" spans="1:33" ht="15.75" customHeight="1">
      <c r="A35" s="654" t="s">
        <v>62</v>
      </c>
      <c r="B35" s="42" t="s">
        <v>116</v>
      </c>
      <c r="C35" s="653" t="s">
        <v>147</v>
      </c>
      <c r="D35" s="653"/>
      <c r="E35" s="42">
        <v>25.98</v>
      </c>
      <c r="F35" s="259">
        <v>2751</v>
      </c>
      <c r="G35" s="252">
        <f t="shared" si="23"/>
        <v>71470.98</v>
      </c>
      <c r="H35" s="37" t="s">
        <v>91</v>
      </c>
      <c r="I35" s="257">
        <v>17</v>
      </c>
      <c r="J35" s="39">
        <v>2400</v>
      </c>
      <c r="K35" s="17">
        <f t="shared" si="1"/>
        <v>141.1764705882353</v>
      </c>
      <c r="L35" s="257">
        <v>17</v>
      </c>
      <c r="M35" s="18">
        <f t="shared" si="24"/>
        <v>2292.5000000000005</v>
      </c>
      <c r="N35" s="17">
        <f t="shared" si="3"/>
        <v>134.85294117647061</v>
      </c>
      <c r="O35" s="19">
        <f t="shared" si="4"/>
        <v>0</v>
      </c>
      <c r="P35" s="20">
        <f t="shared" si="5"/>
        <v>-6.3235294117646959</v>
      </c>
      <c r="Q35" s="253">
        <f t="shared" si="6"/>
        <v>0.95520833333333344</v>
      </c>
      <c r="R35" s="637"/>
      <c r="S35" s="40">
        <v>0.40416666666666667</v>
      </c>
      <c r="T35" s="40">
        <v>0.45416666666666666</v>
      </c>
      <c r="U35" s="252">
        <f t="shared" si="26"/>
        <v>5.9999999999999787</v>
      </c>
      <c r="V35" s="258">
        <f t="shared" si="25"/>
        <v>71.999999999999986</v>
      </c>
      <c r="W35" s="23"/>
      <c r="X35" s="23"/>
      <c r="Y35" s="23"/>
      <c r="Z35" s="23"/>
      <c r="AA35" s="632"/>
      <c r="AB35" s="632"/>
      <c r="AC35" s="25"/>
      <c r="AD35" s="25"/>
      <c r="AE35" s="19">
        <f t="shared" si="8"/>
        <v>-107.49999999999955</v>
      </c>
      <c r="AF35" s="253">
        <f t="shared" si="9"/>
        <v>0.95520833333333355</v>
      </c>
      <c r="AG35" s="637"/>
    </row>
    <row r="36" spans="1:33" ht="15.75" customHeight="1">
      <c r="A36" s="654" t="s">
        <v>62</v>
      </c>
      <c r="B36" s="42" t="s">
        <v>116</v>
      </c>
      <c r="C36" s="653" t="s">
        <v>122</v>
      </c>
      <c r="D36" s="653"/>
      <c r="E36" s="42">
        <v>20.21</v>
      </c>
      <c r="F36" s="259">
        <v>2039</v>
      </c>
      <c r="G36" s="252">
        <f t="shared" si="23"/>
        <v>41208.19</v>
      </c>
      <c r="H36" s="37" t="s">
        <v>91</v>
      </c>
      <c r="I36" s="257">
        <v>18</v>
      </c>
      <c r="J36" s="39">
        <v>2400</v>
      </c>
      <c r="K36" s="17">
        <f t="shared" si="1"/>
        <v>133.33333333333334</v>
      </c>
      <c r="L36" s="257">
        <v>18</v>
      </c>
      <c r="M36" s="18">
        <f t="shared" si="24"/>
        <v>2308.3018867924538</v>
      </c>
      <c r="N36" s="17">
        <f t="shared" si="3"/>
        <v>128.23899371069189</v>
      </c>
      <c r="O36" s="19">
        <f t="shared" si="4"/>
        <v>0</v>
      </c>
      <c r="P36" s="20">
        <f t="shared" si="5"/>
        <v>-5.0943396226414563</v>
      </c>
      <c r="Q36" s="253">
        <f t="shared" si="6"/>
        <v>0.9617924528301891</v>
      </c>
      <c r="R36" s="637"/>
      <c r="S36" s="40">
        <v>0.4597222222222222</v>
      </c>
      <c r="T36" s="40">
        <v>0.49652777777777773</v>
      </c>
      <c r="U36" s="252">
        <f t="shared" si="26"/>
        <v>7.9999999999999716</v>
      </c>
      <c r="V36" s="258">
        <f t="shared" si="25"/>
        <v>52.999999999999972</v>
      </c>
      <c r="W36" s="23">
        <f>T36</f>
        <v>0.49652777777777773</v>
      </c>
      <c r="X36" s="23">
        <f>S37</f>
        <v>0.53819444444444442</v>
      </c>
      <c r="Y36" s="23"/>
      <c r="Z36" s="23"/>
      <c r="AA36" s="632"/>
      <c r="AB36" s="632"/>
      <c r="AC36" s="25"/>
      <c r="AD36" s="25"/>
      <c r="AE36" s="19">
        <f t="shared" si="8"/>
        <v>-91.698113207546157</v>
      </c>
      <c r="AF36" s="253">
        <f t="shared" si="9"/>
        <v>0.9617924528301891</v>
      </c>
      <c r="AG36" s="637"/>
    </row>
    <row r="37" spans="1:33" ht="15.75" customHeight="1">
      <c r="A37" s="654" t="s">
        <v>62</v>
      </c>
      <c r="B37" s="42" t="s">
        <v>116</v>
      </c>
      <c r="C37" s="653" t="s">
        <v>117</v>
      </c>
      <c r="D37" s="653"/>
      <c r="E37" s="42">
        <v>31.29</v>
      </c>
      <c r="F37" s="259">
        <v>4375</v>
      </c>
      <c r="G37" s="252">
        <f t="shared" si="23"/>
        <v>136893.75</v>
      </c>
      <c r="H37" s="37" t="s">
        <v>91</v>
      </c>
      <c r="I37" s="257">
        <v>18</v>
      </c>
      <c r="J37" s="39">
        <v>2400</v>
      </c>
      <c r="K37" s="17">
        <f t="shared" si="1"/>
        <v>133.33333333333334</v>
      </c>
      <c r="L37" s="257">
        <v>18</v>
      </c>
      <c r="M37" s="18">
        <f t="shared" si="24"/>
        <v>2302.6315789473701</v>
      </c>
      <c r="N37" s="17">
        <f t="shared" si="3"/>
        <v>127.92397660818723</v>
      </c>
      <c r="O37" s="19">
        <f t="shared" si="4"/>
        <v>0</v>
      </c>
      <c r="P37" s="20">
        <f t="shared" si="5"/>
        <v>-5.409356725146111</v>
      </c>
      <c r="Q37" s="253">
        <f t="shared" si="6"/>
        <v>0.95942982456140413</v>
      </c>
      <c r="R37" s="637"/>
      <c r="S37" s="40">
        <v>0.53819444444444442</v>
      </c>
      <c r="T37" s="40">
        <v>0.61736111111111103</v>
      </c>
      <c r="U37" s="252">
        <f t="shared" si="26"/>
        <v>60.000000000000028</v>
      </c>
      <c r="V37" s="258">
        <f t="shared" si="25"/>
        <v>113.99999999999991</v>
      </c>
      <c r="W37" s="23"/>
      <c r="X37" s="23"/>
      <c r="Y37" s="23"/>
      <c r="Z37" s="23"/>
      <c r="AA37" s="632"/>
      <c r="AB37" s="632"/>
      <c r="AC37" s="25"/>
      <c r="AD37" s="25"/>
      <c r="AE37" s="19">
        <f t="shared" si="8"/>
        <v>-97.368421052629856</v>
      </c>
      <c r="AF37" s="253">
        <f t="shared" si="9"/>
        <v>0.95942982456140424</v>
      </c>
      <c r="AG37" s="637"/>
    </row>
    <row r="38" spans="1:33" ht="15.75" customHeight="1">
      <c r="A38" s="654" t="s">
        <v>1185</v>
      </c>
      <c r="B38" s="42" t="s">
        <v>116</v>
      </c>
      <c r="C38" s="653" t="s">
        <v>124</v>
      </c>
      <c r="D38" s="653"/>
      <c r="E38" s="42">
        <v>24.43</v>
      </c>
      <c r="F38" s="259">
        <v>3270</v>
      </c>
      <c r="G38" s="252">
        <f t="shared" si="23"/>
        <v>79886.100000000006</v>
      </c>
      <c r="H38" s="37" t="s">
        <v>91</v>
      </c>
      <c r="I38" s="257">
        <v>14</v>
      </c>
      <c r="J38" s="39">
        <v>2400</v>
      </c>
      <c r="K38" s="17">
        <f t="shared" si="1"/>
        <v>171.42857142857142</v>
      </c>
      <c r="L38" s="257">
        <v>14</v>
      </c>
      <c r="M38" s="18">
        <f t="shared" si="24"/>
        <v>2308.2352941176464</v>
      </c>
      <c r="N38" s="17">
        <f t="shared" si="3"/>
        <v>164.87394957983187</v>
      </c>
      <c r="O38" s="19">
        <f t="shared" si="4"/>
        <v>0</v>
      </c>
      <c r="P38" s="20">
        <f t="shared" si="5"/>
        <v>-6.5546218487395436</v>
      </c>
      <c r="Q38" s="253">
        <f t="shared" si="6"/>
        <v>0.96176470588235263</v>
      </c>
      <c r="R38" s="637"/>
      <c r="S38" s="40">
        <v>0.62291666666666656</v>
      </c>
      <c r="T38" s="40">
        <v>0.68194444444444435</v>
      </c>
      <c r="U38" s="252">
        <f t="shared" si="26"/>
        <v>7.9999999999999716</v>
      </c>
      <c r="V38" s="258">
        <f t="shared" si="25"/>
        <v>85.000000000000014</v>
      </c>
      <c r="W38" s="23"/>
      <c r="X38" s="23"/>
      <c r="Y38" s="23"/>
      <c r="Z38" s="23"/>
      <c r="AA38" s="632"/>
      <c r="AB38" s="632"/>
      <c r="AC38" s="25"/>
      <c r="AD38" s="25"/>
      <c r="AE38" s="19">
        <f t="shared" si="8"/>
        <v>-91.76470588235361</v>
      </c>
      <c r="AF38" s="253">
        <f t="shared" si="9"/>
        <v>0.96176470588235263</v>
      </c>
      <c r="AG38" s="637"/>
    </row>
    <row r="39" spans="1:33" ht="15.75" customHeight="1">
      <c r="A39" s="654" t="s">
        <v>1185</v>
      </c>
      <c r="B39" s="42" t="s">
        <v>52</v>
      </c>
      <c r="C39" s="638"/>
      <c r="D39" s="638"/>
      <c r="E39" s="254"/>
      <c r="F39" s="259"/>
      <c r="G39" s="252"/>
      <c r="H39" s="259"/>
      <c r="I39" s="29">
        <v>16.714285714285715</v>
      </c>
      <c r="J39" s="39">
        <v>2400</v>
      </c>
      <c r="K39" s="17">
        <f t="shared" si="1"/>
        <v>143.58974358974359</v>
      </c>
      <c r="L39" s="29">
        <v>16.714285714285715</v>
      </c>
      <c r="M39" s="18">
        <f>AVERAGE(M32:M38)</f>
        <v>2297.1825403448374</v>
      </c>
      <c r="N39" s="17">
        <f t="shared" si="3"/>
        <v>137.43827164456292</v>
      </c>
      <c r="O39" s="19">
        <f t="shared" si="4"/>
        <v>0</v>
      </c>
      <c r="P39" s="20">
        <f t="shared" si="5"/>
        <v>-6.1514719451806741</v>
      </c>
      <c r="Q39" s="253">
        <f t="shared" si="6"/>
        <v>0.95715939181034893</v>
      </c>
      <c r="R39" s="637"/>
      <c r="S39" s="40"/>
      <c r="T39" s="40"/>
      <c r="U39" s="252"/>
      <c r="V39" s="258"/>
      <c r="W39" s="252"/>
      <c r="X39" s="252"/>
      <c r="Y39" s="30">
        <f>SUM(Y32:Y38)</f>
        <v>0</v>
      </c>
      <c r="Z39" s="30">
        <f>SUM(Z32:Z38)</f>
        <v>0</v>
      </c>
      <c r="AA39" s="631"/>
      <c r="AB39" s="631"/>
      <c r="AC39" s="30">
        <v>7</v>
      </c>
      <c r="AD39" s="30">
        <f>SUM(AD32:AD38)</f>
        <v>0</v>
      </c>
      <c r="AE39" s="19">
        <f t="shared" si="8"/>
        <v>-102.81745965516257</v>
      </c>
      <c r="AF39" s="253">
        <f t="shared" si="9"/>
        <v>0.95715939181034893</v>
      </c>
      <c r="AG39" s="637"/>
    </row>
    <row r="40" spans="1:33" ht="15.75" customHeight="1">
      <c r="A40" s="651" t="s">
        <v>1186</v>
      </c>
      <c r="B40" s="42" t="s">
        <v>116</v>
      </c>
      <c r="C40" s="633" t="s">
        <v>123</v>
      </c>
      <c r="D40" s="633"/>
      <c r="E40" s="42">
        <v>26.18</v>
      </c>
      <c r="F40" s="259">
        <v>3600</v>
      </c>
      <c r="G40" s="252">
        <f t="shared" ref="G40:G47" si="27">E40*F40</f>
        <v>94248</v>
      </c>
      <c r="H40" s="37">
        <v>2</v>
      </c>
      <c r="I40" s="257">
        <v>20</v>
      </c>
      <c r="J40" s="39">
        <v>2400</v>
      </c>
      <c r="K40" s="17">
        <f t="shared" si="1"/>
        <v>120</v>
      </c>
      <c r="L40" s="257">
        <v>20</v>
      </c>
      <c r="M40" s="18">
        <f t="shared" ref="M40:M47" si="28">F40/V40*60</f>
        <v>2297.8723404255315</v>
      </c>
      <c r="N40" s="17">
        <f t="shared" si="3"/>
        <v>114.89361702127658</v>
      </c>
      <c r="O40" s="19">
        <f t="shared" si="4"/>
        <v>0</v>
      </c>
      <c r="P40" s="20">
        <f t="shared" si="5"/>
        <v>-5.106382978723417</v>
      </c>
      <c r="Q40" s="253">
        <f t="shared" si="6"/>
        <v>0.95744680851063824</v>
      </c>
      <c r="R40" s="637">
        <f>Q48</f>
        <v>0.95692423014553718</v>
      </c>
      <c r="S40" s="40">
        <v>8.3333333333333329E-2</v>
      </c>
      <c r="T40" s="40">
        <v>0.14861111111111111</v>
      </c>
      <c r="U40" s="252"/>
      <c r="V40" s="258">
        <f t="shared" ref="V40:V47" si="29">(T40-S40)*24*60</f>
        <v>94.000000000000014</v>
      </c>
      <c r="W40" s="28">
        <f>T40</f>
        <v>0.14861111111111111</v>
      </c>
      <c r="X40" s="28">
        <f>S41</f>
        <v>0.16875000000000001</v>
      </c>
      <c r="Y40" s="28"/>
      <c r="Z40" s="28"/>
      <c r="AA40" s="632"/>
      <c r="AB40" s="632"/>
      <c r="AC40" s="25">
        <v>8</v>
      </c>
      <c r="AD40" s="25"/>
      <c r="AE40" s="19">
        <f t="shared" si="8"/>
        <v>-102.12765957446845</v>
      </c>
      <c r="AF40" s="253">
        <f t="shared" si="9"/>
        <v>0.95744680851063813</v>
      </c>
      <c r="AG40" s="637">
        <f>AF48</f>
        <v>0.95692423014553718</v>
      </c>
    </row>
    <row r="41" spans="1:33" ht="15.75" customHeight="1">
      <c r="A41" s="651" t="s">
        <v>1186</v>
      </c>
      <c r="B41" s="42" t="s">
        <v>116</v>
      </c>
      <c r="C41" s="633" t="s">
        <v>125</v>
      </c>
      <c r="D41" s="633"/>
      <c r="E41" s="42">
        <v>25.98</v>
      </c>
      <c r="F41" s="259">
        <v>3280</v>
      </c>
      <c r="G41" s="252">
        <f t="shared" si="27"/>
        <v>85214.399999999994</v>
      </c>
      <c r="H41" s="37" t="s">
        <v>91</v>
      </c>
      <c r="I41" s="257">
        <v>20</v>
      </c>
      <c r="J41" s="39">
        <v>2400</v>
      </c>
      <c r="K41" s="17">
        <f t="shared" si="1"/>
        <v>120</v>
      </c>
      <c r="L41" s="257">
        <v>20</v>
      </c>
      <c r="M41" s="18">
        <f t="shared" si="28"/>
        <v>2288.3720930232557</v>
      </c>
      <c r="N41" s="17">
        <f t="shared" si="3"/>
        <v>114.41860465116278</v>
      </c>
      <c r="O41" s="19">
        <f t="shared" si="4"/>
        <v>0</v>
      </c>
      <c r="P41" s="20">
        <f t="shared" si="5"/>
        <v>-5.5813953488372192</v>
      </c>
      <c r="Q41" s="253">
        <f t="shared" si="6"/>
        <v>0.95348837209302317</v>
      </c>
      <c r="R41" s="637"/>
      <c r="S41" s="40">
        <v>0.16875000000000001</v>
      </c>
      <c r="T41" s="40">
        <v>0.22847222222222224</v>
      </c>
      <c r="U41" s="252">
        <f t="shared" ref="U41:U47" si="30">(S41-T40)*24*60</f>
        <v>29.000000000000018</v>
      </c>
      <c r="V41" s="258">
        <f t="shared" si="29"/>
        <v>86.000000000000014</v>
      </c>
      <c r="W41" s="252"/>
      <c r="X41" s="252"/>
      <c r="Y41" s="252"/>
      <c r="Z41" s="252"/>
      <c r="AA41" s="632"/>
      <c r="AB41" s="632"/>
      <c r="AC41" s="25"/>
      <c r="AD41" s="25"/>
      <c r="AE41" s="19">
        <f t="shared" si="8"/>
        <v>-111.62790697674427</v>
      </c>
      <c r="AF41" s="253">
        <f t="shared" si="9"/>
        <v>0.95348837209302317</v>
      </c>
      <c r="AG41" s="637"/>
    </row>
    <row r="42" spans="1:33">
      <c r="A42" s="652" t="s">
        <v>1186</v>
      </c>
      <c r="B42" s="42" t="s">
        <v>116</v>
      </c>
      <c r="C42" s="633" t="s">
        <v>119</v>
      </c>
      <c r="D42" s="633"/>
      <c r="E42" s="42">
        <v>26.18</v>
      </c>
      <c r="F42" s="259">
        <v>4700</v>
      </c>
      <c r="G42" s="252">
        <f t="shared" si="27"/>
        <v>123046</v>
      </c>
      <c r="H42" s="37">
        <v>2</v>
      </c>
      <c r="I42" s="257">
        <v>18</v>
      </c>
      <c r="J42" s="39">
        <v>2400</v>
      </c>
      <c r="K42" s="17">
        <f t="shared" si="1"/>
        <v>133.33333333333334</v>
      </c>
      <c r="L42" s="257">
        <v>18</v>
      </c>
      <c r="M42" s="18">
        <f t="shared" si="28"/>
        <v>2292.682926829269</v>
      </c>
      <c r="N42" s="17">
        <f t="shared" si="3"/>
        <v>127.37127371273716</v>
      </c>
      <c r="O42" s="19">
        <f t="shared" si="4"/>
        <v>0</v>
      </c>
      <c r="P42" s="20">
        <f t="shared" si="5"/>
        <v>-5.9620596205961789</v>
      </c>
      <c r="Q42" s="253">
        <f t="shared" si="6"/>
        <v>0.95528455284552871</v>
      </c>
      <c r="R42" s="637"/>
      <c r="S42" s="40">
        <v>0.23194444444444445</v>
      </c>
      <c r="T42" s="40">
        <v>0.31736111111111109</v>
      </c>
      <c r="U42" s="252">
        <f t="shared" si="30"/>
        <v>4.9999999999999822</v>
      </c>
      <c r="V42" s="258">
        <f t="shared" si="29"/>
        <v>122.99999999999996</v>
      </c>
      <c r="W42" s="252"/>
      <c r="X42" s="252"/>
      <c r="Y42" s="252"/>
      <c r="Z42" s="252"/>
      <c r="AA42" s="632"/>
      <c r="AB42" s="632"/>
      <c r="AC42" s="25"/>
      <c r="AD42" s="25"/>
      <c r="AE42" s="19">
        <f t="shared" si="8"/>
        <v>-107.31707317073096</v>
      </c>
      <c r="AF42" s="253">
        <f t="shared" si="9"/>
        <v>0.95528455284552871</v>
      </c>
      <c r="AG42" s="637"/>
    </row>
    <row r="43" spans="1:33">
      <c r="A43" s="652" t="s">
        <v>1186</v>
      </c>
      <c r="B43" s="42" t="s">
        <v>116</v>
      </c>
      <c r="C43" s="633" t="s">
        <v>121</v>
      </c>
      <c r="D43" s="633"/>
      <c r="E43" s="42">
        <v>25.99</v>
      </c>
      <c r="F43" s="259">
        <v>3952</v>
      </c>
      <c r="G43" s="252">
        <f t="shared" si="27"/>
        <v>102712.48</v>
      </c>
      <c r="H43" s="37" t="s">
        <v>91</v>
      </c>
      <c r="I43" s="257">
        <v>14</v>
      </c>
      <c r="J43" s="39">
        <v>2400</v>
      </c>
      <c r="K43" s="17">
        <f t="shared" si="1"/>
        <v>171.42857142857142</v>
      </c>
      <c r="L43" s="257">
        <v>14</v>
      </c>
      <c r="M43" s="18">
        <f t="shared" si="28"/>
        <v>2302.1359223300983</v>
      </c>
      <c r="N43" s="17">
        <f t="shared" si="3"/>
        <v>164.43828016643559</v>
      </c>
      <c r="O43" s="19">
        <f t="shared" si="4"/>
        <v>0</v>
      </c>
      <c r="P43" s="20">
        <f t="shared" si="5"/>
        <v>-6.9902912621358269</v>
      </c>
      <c r="Q43" s="253">
        <f t="shared" si="6"/>
        <v>0.95922330097087438</v>
      </c>
      <c r="R43" s="637"/>
      <c r="S43" s="40">
        <v>0.3208333333333333</v>
      </c>
      <c r="T43" s="40">
        <v>0.39236111111111105</v>
      </c>
      <c r="U43" s="252">
        <f t="shared" si="30"/>
        <v>4.9999999999999822</v>
      </c>
      <c r="V43" s="258">
        <f t="shared" si="29"/>
        <v>102.99999999999996</v>
      </c>
      <c r="W43" s="23"/>
      <c r="X43" s="23"/>
      <c r="Y43" s="23"/>
      <c r="Z43" s="23"/>
      <c r="AA43" s="632"/>
      <c r="AB43" s="632"/>
      <c r="AC43" s="25"/>
      <c r="AD43" s="25"/>
      <c r="AE43" s="19">
        <f t="shared" si="8"/>
        <v>-97.86407766990169</v>
      </c>
      <c r="AF43" s="253">
        <f t="shared" si="9"/>
        <v>0.95922330097087427</v>
      </c>
      <c r="AG43" s="637"/>
    </row>
    <row r="44" spans="1:33">
      <c r="A44" s="652" t="s">
        <v>67</v>
      </c>
      <c r="B44" s="42" t="s">
        <v>116</v>
      </c>
      <c r="C44" s="633" t="s">
        <v>126</v>
      </c>
      <c r="D44" s="633"/>
      <c r="E44" s="42">
        <v>34.1</v>
      </c>
      <c r="F44" s="259">
        <v>3600</v>
      </c>
      <c r="G44" s="252">
        <f t="shared" si="27"/>
        <v>122760</v>
      </c>
      <c r="H44" s="37">
        <v>2</v>
      </c>
      <c r="I44" s="257">
        <v>17</v>
      </c>
      <c r="J44" s="39">
        <v>1600</v>
      </c>
      <c r="K44" s="17">
        <f t="shared" si="1"/>
        <v>94.117647058823536</v>
      </c>
      <c r="L44" s="257">
        <v>17</v>
      </c>
      <c r="M44" s="18">
        <f t="shared" si="28"/>
        <v>1531.9148936170218</v>
      </c>
      <c r="N44" s="17">
        <f t="shared" si="3"/>
        <v>90.112640801001277</v>
      </c>
      <c r="O44" s="19">
        <f t="shared" si="4"/>
        <v>0</v>
      </c>
      <c r="P44" s="20">
        <f t="shared" si="5"/>
        <v>-4.0050062578222594</v>
      </c>
      <c r="Q44" s="253">
        <f t="shared" si="6"/>
        <v>0.95744680851063846</v>
      </c>
      <c r="R44" s="637"/>
      <c r="S44" s="40">
        <v>0.39583333333333326</v>
      </c>
      <c r="T44" s="40">
        <v>0.49374999999999991</v>
      </c>
      <c r="U44" s="252">
        <f t="shared" si="30"/>
        <v>4.9999999999999822</v>
      </c>
      <c r="V44" s="258">
        <f t="shared" si="29"/>
        <v>140.99999999999997</v>
      </c>
      <c r="W44" s="23">
        <f>T44</f>
        <v>0.49374999999999991</v>
      </c>
      <c r="X44" s="23">
        <f>S45</f>
        <v>0.53333333333333321</v>
      </c>
      <c r="Y44" s="23"/>
      <c r="Z44" s="23"/>
      <c r="AA44" s="632"/>
      <c r="AB44" s="632"/>
      <c r="AC44" s="25"/>
      <c r="AD44" s="25"/>
      <c r="AE44" s="19">
        <f t="shared" si="8"/>
        <v>-68.085106382978211</v>
      </c>
      <c r="AF44" s="253">
        <f t="shared" si="9"/>
        <v>0.95744680851063857</v>
      </c>
      <c r="AG44" s="637"/>
    </row>
    <row r="45" spans="1:33">
      <c r="A45" s="652" t="s">
        <v>67</v>
      </c>
      <c r="B45" s="42" t="s">
        <v>116</v>
      </c>
      <c r="C45" s="633" t="s">
        <v>123</v>
      </c>
      <c r="D45" s="633"/>
      <c r="E45" s="42">
        <v>26.18</v>
      </c>
      <c r="F45" s="259">
        <v>2695</v>
      </c>
      <c r="G45" s="252">
        <f t="shared" si="27"/>
        <v>70555.100000000006</v>
      </c>
      <c r="H45" s="37" t="s">
        <v>91</v>
      </c>
      <c r="I45" s="257">
        <v>20</v>
      </c>
      <c r="J45" s="39">
        <v>2400</v>
      </c>
      <c r="K45" s="17">
        <f t="shared" si="1"/>
        <v>120</v>
      </c>
      <c r="L45" s="257">
        <v>20</v>
      </c>
      <c r="M45" s="18">
        <f t="shared" si="28"/>
        <v>2309.9999999999973</v>
      </c>
      <c r="N45" s="17">
        <f t="shared" si="3"/>
        <v>115.49999999999986</v>
      </c>
      <c r="O45" s="19">
        <f t="shared" si="4"/>
        <v>0</v>
      </c>
      <c r="P45" s="20">
        <f t="shared" si="5"/>
        <v>-4.5000000000001421</v>
      </c>
      <c r="Q45" s="253">
        <f t="shared" si="6"/>
        <v>0.9624999999999988</v>
      </c>
      <c r="R45" s="637"/>
      <c r="S45" s="40">
        <v>0.53333333333333321</v>
      </c>
      <c r="T45" s="40">
        <v>0.58194444444444438</v>
      </c>
      <c r="U45" s="252">
        <f t="shared" si="30"/>
        <v>56.999999999999957</v>
      </c>
      <c r="V45" s="258">
        <f t="shared" si="29"/>
        <v>70.000000000000071</v>
      </c>
      <c r="W45" s="23"/>
      <c r="X45" s="23"/>
      <c r="Y45" s="23"/>
      <c r="Z45" s="23"/>
      <c r="AA45" s="632"/>
      <c r="AB45" s="632"/>
      <c r="AC45" s="25"/>
      <c r="AD45" s="25"/>
      <c r="AE45" s="19">
        <f t="shared" si="8"/>
        <v>-90.000000000002728</v>
      </c>
      <c r="AF45" s="253">
        <f t="shared" si="9"/>
        <v>0.96249999999999891</v>
      </c>
      <c r="AG45" s="637"/>
    </row>
    <row r="46" spans="1:33">
      <c r="A46" s="652" t="s">
        <v>67</v>
      </c>
      <c r="B46" s="42" t="s">
        <v>116</v>
      </c>
      <c r="C46" s="633" t="s">
        <v>119</v>
      </c>
      <c r="D46" s="633"/>
      <c r="E46" s="42">
        <v>26.18</v>
      </c>
      <c r="F46" s="259">
        <v>3655</v>
      </c>
      <c r="G46" s="252">
        <f t="shared" si="27"/>
        <v>95687.9</v>
      </c>
      <c r="H46" s="37" t="s">
        <v>91</v>
      </c>
      <c r="I46" s="257">
        <v>18</v>
      </c>
      <c r="J46" s="39">
        <v>2400</v>
      </c>
      <c r="K46" s="17">
        <f t="shared" si="1"/>
        <v>133.33333333333334</v>
      </c>
      <c r="L46" s="257">
        <v>18</v>
      </c>
      <c r="M46" s="18">
        <f t="shared" si="28"/>
        <v>2284.3750000000009</v>
      </c>
      <c r="N46" s="17">
        <f t="shared" si="3"/>
        <v>126.90972222222227</v>
      </c>
      <c r="O46" s="19">
        <f t="shared" si="4"/>
        <v>0</v>
      </c>
      <c r="P46" s="20">
        <f t="shared" si="5"/>
        <v>-6.4236111111110716</v>
      </c>
      <c r="Q46" s="253">
        <f t="shared" si="6"/>
        <v>0.95182291666666696</v>
      </c>
      <c r="R46" s="637"/>
      <c r="S46" s="40">
        <v>0.58680555555555547</v>
      </c>
      <c r="T46" s="40">
        <v>0.65347222222222212</v>
      </c>
      <c r="U46" s="252">
        <f t="shared" si="30"/>
        <v>6.9999999999999751</v>
      </c>
      <c r="V46" s="258">
        <f t="shared" si="29"/>
        <v>95.999999999999972</v>
      </c>
      <c r="W46" s="23"/>
      <c r="X46" s="23"/>
      <c r="Y46" s="26"/>
      <c r="Z46" s="26"/>
      <c r="AA46" s="627"/>
      <c r="AB46" s="628"/>
      <c r="AC46" s="25"/>
      <c r="AD46" s="25"/>
      <c r="AE46" s="19">
        <f t="shared" si="8"/>
        <v>-115.62499999999909</v>
      </c>
      <c r="AF46" s="253">
        <f t="shared" si="9"/>
        <v>0.95182291666666707</v>
      </c>
      <c r="AG46" s="637"/>
    </row>
    <row r="47" spans="1:33">
      <c r="A47" s="652" t="s">
        <v>1186</v>
      </c>
      <c r="B47" s="42" t="s">
        <v>116</v>
      </c>
      <c r="C47" s="633" t="s">
        <v>126</v>
      </c>
      <c r="D47" s="633"/>
      <c r="E47" s="42">
        <v>34.1</v>
      </c>
      <c r="F47" s="259">
        <v>2890</v>
      </c>
      <c r="G47" s="252">
        <f t="shared" si="27"/>
        <v>98549</v>
      </c>
      <c r="H47" s="37" t="s">
        <v>91</v>
      </c>
      <c r="I47" s="257">
        <v>17</v>
      </c>
      <c r="J47" s="39">
        <v>1600</v>
      </c>
      <c r="K47" s="17">
        <f t="shared" si="1"/>
        <v>94.117647058823536</v>
      </c>
      <c r="L47" s="257">
        <v>17</v>
      </c>
      <c r="M47" s="18">
        <f t="shared" si="28"/>
        <v>1534.5132743362822</v>
      </c>
      <c r="N47" s="17">
        <f t="shared" si="3"/>
        <v>90.265486725663663</v>
      </c>
      <c r="O47" s="19">
        <f t="shared" si="4"/>
        <v>0</v>
      </c>
      <c r="P47" s="20">
        <f t="shared" si="5"/>
        <v>-3.8521603331598726</v>
      </c>
      <c r="Q47" s="253">
        <f t="shared" si="6"/>
        <v>0.95907079646017634</v>
      </c>
      <c r="R47" s="637"/>
      <c r="S47" s="40">
        <v>0.65694444444444433</v>
      </c>
      <c r="T47" s="40">
        <v>0.73541666666666661</v>
      </c>
      <c r="U47" s="252">
        <f t="shared" si="30"/>
        <v>4.9999999999999822</v>
      </c>
      <c r="V47" s="258">
        <f t="shared" si="29"/>
        <v>113.00000000000009</v>
      </c>
      <c r="W47" s="23"/>
      <c r="X47" s="23"/>
      <c r="Y47" s="26"/>
      <c r="Z47" s="26"/>
      <c r="AA47" s="627"/>
      <c r="AB47" s="628"/>
      <c r="AC47" s="25"/>
      <c r="AD47" s="25"/>
      <c r="AE47" s="19">
        <f t="shared" si="8"/>
        <v>-65.486725663717834</v>
      </c>
      <c r="AF47" s="253">
        <f t="shared" si="9"/>
        <v>0.95907079646017634</v>
      </c>
      <c r="AG47" s="637"/>
    </row>
    <row r="48" spans="1:33">
      <c r="A48" s="652" t="s">
        <v>67</v>
      </c>
      <c r="B48" s="44" t="s">
        <v>52</v>
      </c>
      <c r="C48" s="638"/>
      <c r="D48" s="638"/>
      <c r="E48" s="254"/>
      <c r="F48" s="44"/>
      <c r="G48" s="17"/>
      <c r="H48" s="259"/>
      <c r="I48" s="29">
        <v>18</v>
      </c>
      <c r="J48" s="39">
        <v>2200</v>
      </c>
      <c r="K48" s="17">
        <f t="shared" si="1"/>
        <v>122.22222222222223</v>
      </c>
      <c r="L48" s="29">
        <v>18</v>
      </c>
      <c r="M48" s="18">
        <f>AVERAGE(M40:M47)</f>
        <v>2105.2333063201818</v>
      </c>
      <c r="N48" s="17">
        <f t="shared" si="3"/>
        <v>116.95740590667677</v>
      </c>
      <c r="O48" s="19">
        <f t="shared" si="4"/>
        <v>0</v>
      </c>
      <c r="P48" s="20">
        <f t="shared" si="5"/>
        <v>-5.2648163155454597</v>
      </c>
      <c r="Q48" s="253">
        <f t="shared" si="6"/>
        <v>0.95692423014553718</v>
      </c>
      <c r="R48" s="637"/>
      <c r="S48" s="40"/>
      <c r="T48" s="40"/>
      <c r="U48" s="17"/>
      <c r="V48" s="258"/>
      <c r="W48" s="17"/>
      <c r="X48" s="17"/>
      <c r="Y48" s="30">
        <f>SUM(Y40:Y47)</f>
        <v>0</v>
      </c>
      <c r="Z48" s="30">
        <f>SUM(Z40:Z47)</f>
        <v>0</v>
      </c>
      <c r="AA48" s="631"/>
      <c r="AB48" s="631"/>
      <c r="AC48" s="30">
        <v>8</v>
      </c>
      <c r="AD48" s="30">
        <f>SUM(AD40:AD47)</f>
        <v>0</v>
      </c>
      <c r="AE48" s="19">
        <f t="shared" si="8"/>
        <v>-94.766693679818218</v>
      </c>
      <c r="AF48" s="253">
        <f t="shared" si="9"/>
        <v>0.95692423014553718</v>
      </c>
      <c r="AG48" s="637"/>
    </row>
    <row r="49" spans="1:33" ht="15.75" customHeight="1">
      <c r="A49" s="648" t="s">
        <v>416</v>
      </c>
      <c r="B49" s="42" t="s">
        <v>127</v>
      </c>
      <c r="C49" s="625" t="s">
        <v>128</v>
      </c>
      <c r="D49" s="626"/>
      <c r="E49" s="42">
        <v>21.13</v>
      </c>
      <c r="F49" s="259">
        <v>5878</v>
      </c>
      <c r="G49" s="252">
        <f t="shared" ref="G49:G52" si="31">E49*F49</f>
        <v>124202.14</v>
      </c>
      <c r="H49" s="37" t="s">
        <v>91</v>
      </c>
      <c r="I49" s="257">
        <v>10</v>
      </c>
      <c r="J49" s="39">
        <v>3000</v>
      </c>
      <c r="K49" s="17">
        <f t="shared" si="1"/>
        <v>300</v>
      </c>
      <c r="L49" s="257">
        <v>10</v>
      </c>
      <c r="M49" s="18">
        <f t="shared" ref="M49:M52" si="32">F49/V49*60</f>
        <v>2867.3170731707323</v>
      </c>
      <c r="N49" s="18">
        <f t="shared" si="3"/>
        <v>286.73170731707324</v>
      </c>
      <c r="O49" s="19">
        <f t="shared" si="4"/>
        <v>0</v>
      </c>
      <c r="P49" s="20">
        <f t="shared" si="5"/>
        <v>-13.268292682926756</v>
      </c>
      <c r="Q49" s="253">
        <f t="shared" si="6"/>
        <v>0.95577235772357749</v>
      </c>
      <c r="R49" s="643">
        <f>Q53</f>
        <v>0.95645854863966329</v>
      </c>
      <c r="S49" s="40">
        <v>0.20833333333333334</v>
      </c>
      <c r="T49" s="40">
        <v>0.29375000000000001</v>
      </c>
      <c r="U49" s="28"/>
      <c r="V49" s="258">
        <f t="shared" ref="V49:V52" si="33">(T49-S49)*24*60</f>
        <v>122.99999999999999</v>
      </c>
      <c r="W49" s="23"/>
      <c r="X49" s="23"/>
      <c r="Y49" s="26"/>
      <c r="Z49" s="26"/>
      <c r="AA49" s="627"/>
      <c r="AB49" s="628"/>
      <c r="AC49" s="25">
        <v>4</v>
      </c>
      <c r="AD49" s="25"/>
      <c r="AE49" s="19">
        <f t="shared" si="8"/>
        <v>-132.68292682926767</v>
      </c>
      <c r="AF49" s="253">
        <f t="shared" si="9"/>
        <v>0.95577235772357749</v>
      </c>
      <c r="AG49" s="643">
        <f>AF53</f>
        <v>0.95645854863966318</v>
      </c>
    </row>
    <row r="50" spans="1:33" ht="15.75" customHeight="1">
      <c r="A50" s="649" t="s">
        <v>416</v>
      </c>
      <c r="B50" s="42" t="s">
        <v>127</v>
      </c>
      <c r="C50" s="625" t="s">
        <v>129</v>
      </c>
      <c r="D50" s="626"/>
      <c r="E50" s="42">
        <v>27.17</v>
      </c>
      <c r="F50" s="259">
        <v>5113</v>
      </c>
      <c r="G50" s="252">
        <f t="shared" si="31"/>
        <v>138920.21000000002</v>
      </c>
      <c r="H50" s="37" t="s">
        <v>91</v>
      </c>
      <c r="I50" s="257">
        <v>10</v>
      </c>
      <c r="J50" s="39">
        <v>3000</v>
      </c>
      <c r="K50" s="17">
        <f t="shared" si="1"/>
        <v>300</v>
      </c>
      <c r="L50" s="257">
        <v>10</v>
      </c>
      <c r="M50" s="18">
        <f t="shared" si="32"/>
        <v>2867.1028037383176</v>
      </c>
      <c r="N50" s="18">
        <f t="shared" si="3"/>
        <v>286.71028037383178</v>
      </c>
      <c r="O50" s="19">
        <f t="shared" si="4"/>
        <v>0</v>
      </c>
      <c r="P50" s="20">
        <f t="shared" si="5"/>
        <v>-13.289719626168221</v>
      </c>
      <c r="Q50" s="253">
        <f t="shared" si="6"/>
        <v>0.95570093457943928</v>
      </c>
      <c r="R50" s="644"/>
      <c r="S50" s="40">
        <v>0.2986111111111111</v>
      </c>
      <c r="T50" s="40">
        <v>0.37291666666666667</v>
      </c>
      <c r="U50" s="252">
        <f t="shared" ref="U50:U52" si="34">(S50-T49)*24*60</f>
        <v>6.9999999999999751</v>
      </c>
      <c r="V50" s="258">
        <f t="shared" si="33"/>
        <v>107.00000000000001</v>
      </c>
      <c r="W50" s="23"/>
      <c r="X50" s="23"/>
      <c r="Y50" s="26"/>
      <c r="Z50" s="26"/>
      <c r="AA50" s="627"/>
      <c r="AB50" s="628"/>
      <c r="AC50" s="25"/>
      <c r="AD50" s="25"/>
      <c r="AE50" s="19">
        <f t="shared" si="8"/>
        <v>-132.89719626168244</v>
      </c>
      <c r="AF50" s="253">
        <f t="shared" si="9"/>
        <v>0.95570093457943917</v>
      </c>
      <c r="AG50" s="644"/>
    </row>
    <row r="51" spans="1:33" ht="15.75" customHeight="1">
      <c r="A51" s="649" t="s">
        <v>416</v>
      </c>
      <c r="B51" s="42" t="s">
        <v>127</v>
      </c>
      <c r="C51" s="625" t="s">
        <v>130</v>
      </c>
      <c r="D51" s="626"/>
      <c r="E51" s="42">
        <v>35.869999999999997</v>
      </c>
      <c r="F51" s="259">
        <v>1816</v>
      </c>
      <c r="G51" s="252">
        <f t="shared" si="31"/>
        <v>65139.92</v>
      </c>
      <c r="H51" s="37" t="s">
        <v>91</v>
      </c>
      <c r="I51" s="257">
        <v>9</v>
      </c>
      <c r="J51" s="39">
        <v>3000</v>
      </c>
      <c r="K51" s="17">
        <f t="shared" si="1"/>
        <v>333.33333333333331</v>
      </c>
      <c r="L51" s="257">
        <v>9</v>
      </c>
      <c r="M51" s="18">
        <f t="shared" si="32"/>
        <v>2867.3684210526294</v>
      </c>
      <c r="N51" s="18">
        <f t="shared" si="3"/>
        <v>318.59649122806991</v>
      </c>
      <c r="O51" s="19">
        <f t="shared" si="4"/>
        <v>0</v>
      </c>
      <c r="P51" s="20">
        <f t="shared" si="5"/>
        <v>-14.736842105263406</v>
      </c>
      <c r="Q51" s="253">
        <f t="shared" si="6"/>
        <v>0.95578947368420974</v>
      </c>
      <c r="R51" s="644"/>
      <c r="S51" s="40">
        <v>0.37777777777777777</v>
      </c>
      <c r="T51" s="40">
        <v>0.40416666666666667</v>
      </c>
      <c r="U51" s="252">
        <f t="shared" si="34"/>
        <v>6.9999999999999751</v>
      </c>
      <c r="V51" s="258">
        <f t="shared" si="33"/>
        <v>38.000000000000028</v>
      </c>
      <c r="W51" s="23"/>
      <c r="X51" s="23"/>
      <c r="Y51" s="26"/>
      <c r="Z51" s="26"/>
      <c r="AA51" s="627"/>
      <c r="AB51" s="628"/>
      <c r="AC51" s="25"/>
      <c r="AD51" s="25"/>
      <c r="AE51" s="19">
        <f t="shared" si="8"/>
        <v>-132.6315789473706</v>
      </c>
      <c r="AF51" s="253">
        <f t="shared" si="9"/>
        <v>0.95578947368420974</v>
      </c>
      <c r="AG51" s="644"/>
    </row>
    <row r="52" spans="1:33" ht="15.75" customHeight="1">
      <c r="A52" s="649" t="s">
        <v>416</v>
      </c>
      <c r="B52" s="42" t="s">
        <v>127</v>
      </c>
      <c r="C52" s="625" t="s">
        <v>131</v>
      </c>
      <c r="D52" s="626"/>
      <c r="E52" s="42">
        <v>34.35</v>
      </c>
      <c r="F52" s="259">
        <v>671</v>
      </c>
      <c r="G52" s="252">
        <f t="shared" si="31"/>
        <v>23048.850000000002</v>
      </c>
      <c r="H52" s="37" t="s">
        <v>91</v>
      </c>
      <c r="I52" s="257">
        <v>8</v>
      </c>
      <c r="J52" s="39">
        <v>3000</v>
      </c>
      <c r="K52" s="17">
        <f t="shared" si="1"/>
        <v>375</v>
      </c>
      <c r="L52" s="257">
        <v>8</v>
      </c>
      <c r="M52" s="18">
        <f t="shared" si="32"/>
        <v>2875.7142857142794</v>
      </c>
      <c r="N52" s="18">
        <f t="shared" si="3"/>
        <v>359.46428571428493</v>
      </c>
      <c r="O52" s="19">
        <f t="shared" si="4"/>
        <v>0</v>
      </c>
      <c r="P52" s="20">
        <f t="shared" si="5"/>
        <v>-15.535714285715073</v>
      </c>
      <c r="Q52" s="253">
        <f t="shared" si="6"/>
        <v>0.95857142857142652</v>
      </c>
      <c r="R52" s="644"/>
      <c r="S52" s="40">
        <v>0.40833333333333333</v>
      </c>
      <c r="T52" s="40">
        <v>0.41805555555555557</v>
      </c>
      <c r="U52" s="252">
        <f t="shared" si="34"/>
        <v>5.9999999999999787</v>
      </c>
      <c r="V52" s="258">
        <f t="shared" si="33"/>
        <v>14.00000000000003</v>
      </c>
      <c r="W52" s="23"/>
      <c r="X52" s="23"/>
      <c r="Y52" s="26"/>
      <c r="Z52" s="26"/>
      <c r="AA52" s="627"/>
      <c r="AB52" s="628"/>
      <c r="AC52" s="25"/>
      <c r="AD52" s="25"/>
      <c r="AE52" s="19">
        <f t="shared" si="8"/>
        <v>-124.28571428572059</v>
      </c>
      <c r="AF52" s="253">
        <f t="shared" si="9"/>
        <v>0.95857142857142652</v>
      </c>
      <c r="AG52" s="644"/>
    </row>
    <row r="53" spans="1:33" ht="15.75" customHeight="1">
      <c r="A53" s="650" t="s">
        <v>1187</v>
      </c>
      <c r="B53" s="42" t="s">
        <v>52</v>
      </c>
      <c r="C53" s="629"/>
      <c r="D53" s="630"/>
      <c r="E53" s="250"/>
      <c r="F53" s="259"/>
      <c r="G53" s="252"/>
      <c r="H53" s="259"/>
      <c r="I53" s="29">
        <v>9.25</v>
      </c>
      <c r="J53" s="39">
        <v>3000</v>
      </c>
      <c r="K53" s="17">
        <f t="shared" si="1"/>
        <v>324.32432432432432</v>
      </c>
      <c r="L53" s="29">
        <v>9.25</v>
      </c>
      <c r="M53" s="18">
        <f>AVERAGE(M49:M52)</f>
        <v>2869.3756459189894</v>
      </c>
      <c r="N53" s="17">
        <f t="shared" si="3"/>
        <v>310.20277253178267</v>
      </c>
      <c r="O53" s="19">
        <f t="shared" si="4"/>
        <v>0</v>
      </c>
      <c r="P53" s="20">
        <f t="shared" si="5"/>
        <v>-14.121551792541652</v>
      </c>
      <c r="Q53" s="253">
        <f t="shared" si="6"/>
        <v>0.95645854863966329</v>
      </c>
      <c r="R53" s="645"/>
      <c r="S53" s="40"/>
      <c r="T53" s="40"/>
      <c r="U53" s="252"/>
      <c r="V53" s="258"/>
      <c r="W53" s="23"/>
      <c r="X53" s="23"/>
      <c r="Y53" s="30">
        <f>SUM(Y49:Y52)</f>
        <v>0</v>
      </c>
      <c r="Z53" s="30">
        <f>SUM(Z49:Z52)</f>
        <v>0</v>
      </c>
      <c r="AA53" s="646"/>
      <c r="AB53" s="647"/>
      <c r="AC53" s="30">
        <v>4</v>
      </c>
      <c r="AD53" s="30">
        <f>SUM(AD49:AD52)</f>
        <v>0</v>
      </c>
      <c r="AE53" s="19">
        <f t="shared" si="8"/>
        <v>-130.62435408101055</v>
      </c>
      <c r="AF53" s="253">
        <f t="shared" si="9"/>
        <v>0.95645854863966318</v>
      </c>
      <c r="AG53" s="645"/>
    </row>
    <row r="54" spans="1:33" ht="15.75" customHeight="1">
      <c r="A54" s="641" t="s">
        <v>76</v>
      </c>
      <c r="B54" s="42" t="s">
        <v>92</v>
      </c>
      <c r="C54" s="633" t="s">
        <v>133</v>
      </c>
      <c r="D54" s="633"/>
      <c r="E54" s="42">
        <v>59.04</v>
      </c>
      <c r="F54" s="48">
        <v>1600</v>
      </c>
      <c r="G54" s="252">
        <f t="shared" ref="G54:G62" si="35">E54*F54</f>
        <v>94464</v>
      </c>
      <c r="H54" s="37" t="s">
        <v>91</v>
      </c>
      <c r="I54" s="257">
        <v>19</v>
      </c>
      <c r="J54" s="39">
        <v>2000</v>
      </c>
      <c r="K54" s="17">
        <f t="shared" si="1"/>
        <v>105.26315789473684</v>
      </c>
      <c r="L54" s="257">
        <v>19</v>
      </c>
      <c r="M54" s="18">
        <f t="shared" ref="M54" si="36">F54/V54*60</f>
        <v>1919.9999999999991</v>
      </c>
      <c r="N54" s="18">
        <f t="shared" si="3"/>
        <v>101.05263157894733</v>
      </c>
      <c r="O54" s="19">
        <f t="shared" si="4"/>
        <v>0</v>
      </c>
      <c r="P54" s="20">
        <f t="shared" si="5"/>
        <v>-4.2105263157895081</v>
      </c>
      <c r="Q54" s="253">
        <f t="shared" si="6"/>
        <v>0.95999999999999963</v>
      </c>
      <c r="R54" s="637">
        <f>Q63</f>
        <v>0.96121317789878358</v>
      </c>
      <c r="S54" s="40">
        <v>0.20833333333333334</v>
      </c>
      <c r="T54" s="40">
        <v>0.24305555555555558</v>
      </c>
      <c r="U54" s="28"/>
      <c r="V54" s="258">
        <f t="shared" ref="V54:V62" si="37">(T54-S54)*24*60</f>
        <v>50.000000000000021</v>
      </c>
      <c r="W54" s="23"/>
      <c r="X54" s="23"/>
      <c r="Y54" s="28"/>
      <c r="Z54" s="28"/>
      <c r="AA54" s="632"/>
      <c r="AB54" s="632"/>
      <c r="AC54" s="25">
        <v>9</v>
      </c>
      <c r="AD54" s="25"/>
      <c r="AE54" s="19">
        <f t="shared" si="8"/>
        <v>-80.000000000000909</v>
      </c>
      <c r="AF54" s="253">
        <f t="shared" si="9"/>
        <v>0.95999999999999952</v>
      </c>
      <c r="AG54" s="637">
        <f>AF63</f>
        <v>0.96121317789878358</v>
      </c>
    </row>
    <row r="55" spans="1:33" ht="15.75" customHeight="1">
      <c r="A55" s="641" t="s">
        <v>1188</v>
      </c>
      <c r="B55" s="42" t="s">
        <v>103</v>
      </c>
      <c r="C55" s="633" t="s">
        <v>132</v>
      </c>
      <c r="D55" s="633"/>
      <c r="E55" s="42">
        <v>51.44</v>
      </c>
      <c r="F55" s="48">
        <v>4726</v>
      </c>
      <c r="G55" s="252">
        <f t="shared" si="35"/>
        <v>243105.44</v>
      </c>
      <c r="H55" s="37" t="s">
        <v>91</v>
      </c>
      <c r="I55" s="257">
        <v>18</v>
      </c>
      <c r="J55" s="39">
        <v>2000</v>
      </c>
      <c r="K55" s="17">
        <f t="shared" si="1"/>
        <v>111.11111111111111</v>
      </c>
      <c r="L55" s="257">
        <v>18</v>
      </c>
      <c r="M55" s="18">
        <f>F55/V55*60</f>
        <v>1903.0872483221476</v>
      </c>
      <c r="N55" s="18">
        <f t="shared" si="3"/>
        <v>105.72706935123043</v>
      </c>
      <c r="O55" s="19">
        <f t="shared" si="4"/>
        <v>0</v>
      </c>
      <c r="P55" s="20">
        <f t="shared" si="5"/>
        <v>-5.384041759880688</v>
      </c>
      <c r="Q55" s="253">
        <f t="shared" si="6"/>
        <v>0.95154362416107385</v>
      </c>
      <c r="R55" s="637"/>
      <c r="S55" s="40">
        <v>0.24722222222222226</v>
      </c>
      <c r="T55" s="40">
        <v>0.35069444444444448</v>
      </c>
      <c r="U55" s="252">
        <f t="shared" ref="U55:U62" si="38">IF(S55=TIME(17,0,0),"",(S55-T54)*24*60)</f>
        <v>6.0000000000000187</v>
      </c>
      <c r="V55" s="258">
        <f t="shared" si="37"/>
        <v>149</v>
      </c>
      <c r="W55" s="23"/>
      <c r="X55" s="23"/>
      <c r="Y55" s="23"/>
      <c r="Z55" s="23"/>
      <c r="AA55" s="632"/>
      <c r="AB55" s="632"/>
      <c r="AC55" s="25"/>
      <c r="AD55" s="25"/>
      <c r="AE55" s="19">
        <f t="shared" si="8"/>
        <v>-96.912751677852384</v>
      </c>
      <c r="AF55" s="253">
        <f t="shared" si="9"/>
        <v>0.95154362416107385</v>
      </c>
      <c r="AG55" s="637"/>
    </row>
    <row r="56" spans="1:33" ht="15.75" customHeight="1">
      <c r="A56" s="641" t="s">
        <v>1188</v>
      </c>
      <c r="B56" s="42" t="s">
        <v>92</v>
      </c>
      <c r="C56" s="625" t="s">
        <v>135</v>
      </c>
      <c r="D56" s="626"/>
      <c r="E56" s="42">
        <v>51.44</v>
      </c>
      <c r="F56" s="48">
        <v>1868</v>
      </c>
      <c r="G56" s="252">
        <f t="shared" si="35"/>
        <v>96089.919999999998</v>
      </c>
      <c r="H56" s="37" t="s">
        <v>91</v>
      </c>
      <c r="I56" s="257">
        <v>25</v>
      </c>
      <c r="J56" s="39">
        <v>2000</v>
      </c>
      <c r="K56" s="17">
        <f t="shared" si="1"/>
        <v>80</v>
      </c>
      <c r="L56" s="257">
        <v>25</v>
      </c>
      <c r="M56" s="18">
        <f t="shared" ref="M56:M62" si="39">F56/V56*60</f>
        <v>1932.4137931034472</v>
      </c>
      <c r="N56" s="18">
        <f t="shared" si="3"/>
        <v>77.296551724137885</v>
      </c>
      <c r="O56" s="19">
        <f t="shared" si="4"/>
        <v>0</v>
      </c>
      <c r="P56" s="20">
        <f t="shared" si="5"/>
        <v>-2.7034482758621152</v>
      </c>
      <c r="Q56" s="253">
        <f t="shared" si="6"/>
        <v>0.96620689655172354</v>
      </c>
      <c r="R56" s="637"/>
      <c r="S56" s="40">
        <v>0.35555555555555557</v>
      </c>
      <c r="T56" s="40">
        <v>0.39583333333333337</v>
      </c>
      <c r="U56" s="252">
        <f t="shared" si="38"/>
        <v>6.9999999999999751</v>
      </c>
      <c r="V56" s="258">
        <f t="shared" si="37"/>
        <v>58.000000000000036</v>
      </c>
      <c r="W56" s="23"/>
      <c r="X56" s="23"/>
      <c r="Y56" s="26"/>
      <c r="Z56" s="26"/>
      <c r="AA56" s="632"/>
      <c r="AB56" s="632"/>
      <c r="AC56" s="25"/>
      <c r="AD56" s="25"/>
      <c r="AE56" s="19">
        <f t="shared" si="8"/>
        <v>-67.586206896552767</v>
      </c>
      <c r="AF56" s="253">
        <f t="shared" si="9"/>
        <v>0.96620689655172365</v>
      </c>
      <c r="AG56" s="637"/>
    </row>
    <row r="57" spans="1:33" ht="15.75" customHeight="1">
      <c r="A57" s="641" t="s">
        <v>1188</v>
      </c>
      <c r="B57" s="42" t="s">
        <v>96</v>
      </c>
      <c r="C57" s="246" t="s">
        <v>136</v>
      </c>
      <c r="D57" s="247"/>
      <c r="E57" s="42">
        <v>46</v>
      </c>
      <c r="F57" s="48">
        <v>1611</v>
      </c>
      <c r="G57" s="252">
        <f t="shared" si="35"/>
        <v>74106</v>
      </c>
      <c r="H57" s="37" t="s">
        <v>91</v>
      </c>
      <c r="I57" s="257">
        <v>16</v>
      </c>
      <c r="J57" s="39">
        <v>2000</v>
      </c>
      <c r="K57" s="17">
        <f t="shared" si="1"/>
        <v>125</v>
      </c>
      <c r="L57" s="257">
        <v>16</v>
      </c>
      <c r="M57" s="18">
        <f t="shared" si="39"/>
        <v>1933.2000000000003</v>
      </c>
      <c r="N57" s="18">
        <f t="shared" si="3"/>
        <v>120.82500000000002</v>
      </c>
      <c r="O57" s="19">
        <f t="shared" si="4"/>
        <v>0</v>
      </c>
      <c r="P57" s="20">
        <f t="shared" si="5"/>
        <v>-4.1749999999999829</v>
      </c>
      <c r="Q57" s="253">
        <f t="shared" si="6"/>
        <v>0.96660000000000013</v>
      </c>
      <c r="R57" s="637"/>
      <c r="S57" s="40">
        <v>0.39930555555555558</v>
      </c>
      <c r="T57" s="40">
        <v>0.43402777777777779</v>
      </c>
      <c r="U57" s="252">
        <f t="shared" si="38"/>
        <v>4.9999999999999822</v>
      </c>
      <c r="V57" s="258">
        <f t="shared" si="37"/>
        <v>49.999999999999986</v>
      </c>
      <c r="W57" s="23"/>
      <c r="X57" s="23"/>
      <c r="Y57" s="26"/>
      <c r="Z57" s="26"/>
      <c r="AA57" s="632"/>
      <c r="AB57" s="632"/>
      <c r="AC57" s="25"/>
      <c r="AD57" s="25"/>
      <c r="AE57" s="19">
        <f t="shared" si="8"/>
        <v>-66.799999999999727</v>
      </c>
      <c r="AF57" s="253">
        <f t="shared" si="9"/>
        <v>0.96660000000000013</v>
      </c>
      <c r="AG57" s="637"/>
    </row>
    <row r="58" spans="1:33" ht="15.75" customHeight="1">
      <c r="A58" s="641" t="s">
        <v>1188</v>
      </c>
      <c r="B58" s="42" t="s">
        <v>96</v>
      </c>
      <c r="C58" s="246" t="s">
        <v>137</v>
      </c>
      <c r="D58" s="247"/>
      <c r="E58" s="42">
        <v>46</v>
      </c>
      <c r="F58" s="48">
        <v>1725</v>
      </c>
      <c r="G58" s="252">
        <f t="shared" si="35"/>
        <v>79350</v>
      </c>
      <c r="H58" s="37" t="s">
        <v>91</v>
      </c>
      <c r="I58" s="257">
        <v>17</v>
      </c>
      <c r="J58" s="39">
        <v>2000</v>
      </c>
      <c r="K58" s="17">
        <f t="shared" si="1"/>
        <v>117.64705882352941</v>
      </c>
      <c r="L58" s="257">
        <v>17</v>
      </c>
      <c r="M58" s="18">
        <f t="shared" si="39"/>
        <v>1916.6666666666677</v>
      </c>
      <c r="N58" s="18">
        <f t="shared" si="3"/>
        <v>112.74509803921575</v>
      </c>
      <c r="O58" s="19">
        <f t="shared" si="4"/>
        <v>0</v>
      </c>
      <c r="P58" s="20">
        <f t="shared" si="5"/>
        <v>-4.9019607843136583</v>
      </c>
      <c r="Q58" s="253">
        <f t="shared" si="6"/>
        <v>0.95833333333333393</v>
      </c>
      <c r="R58" s="637"/>
      <c r="S58" s="40">
        <v>0.43888888888888888</v>
      </c>
      <c r="T58" s="40">
        <v>0.47638888888888886</v>
      </c>
      <c r="U58" s="252">
        <f t="shared" si="38"/>
        <v>6.9999999999999751</v>
      </c>
      <c r="V58" s="258">
        <f t="shared" si="37"/>
        <v>53.999999999999972</v>
      </c>
      <c r="W58" s="23"/>
      <c r="X58" s="23"/>
      <c r="Y58" s="26"/>
      <c r="Z58" s="26"/>
      <c r="AA58" s="632"/>
      <c r="AB58" s="632"/>
      <c r="AC58" s="25"/>
      <c r="AD58" s="25"/>
      <c r="AE58" s="19">
        <f t="shared" si="8"/>
        <v>-83.333333333332348</v>
      </c>
      <c r="AF58" s="253">
        <f t="shared" si="9"/>
        <v>0.95833333333333381</v>
      </c>
      <c r="AG58" s="637"/>
    </row>
    <row r="59" spans="1:33" ht="15.75" customHeight="1">
      <c r="A59" s="641" t="s">
        <v>1188</v>
      </c>
      <c r="B59" s="42" t="s">
        <v>92</v>
      </c>
      <c r="C59" s="625" t="s">
        <v>138</v>
      </c>
      <c r="D59" s="626"/>
      <c r="E59" s="42">
        <v>55.56</v>
      </c>
      <c r="F59" s="48">
        <v>2743</v>
      </c>
      <c r="G59" s="252">
        <f t="shared" si="35"/>
        <v>152401.08000000002</v>
      </c>
      <c r="H59" s="37" t="s">
        <v>91</v>
      </c>
      <c r="I59" s="257">
        <v>17</v>
      </c>
      <c r="J59" s="39">
        <v>2000</v>
      </c>
      <c r="K59" s="17">
        <f t="shared" si="1"/>
        <v>117.64705882352941</v>
      </c>
      <c r="L59" s="257">
        <v>17</v>
      </c>
      <c r="M59" s="18">
        <f t="shared" si="39"/>
        <v>1913.7209302325577</v>
      </c>
      <c r="N59" s="18">
        <f t="shared" si="3"/>
        <v>112.57181942544457</v>
      </c>
      <c r="O59" s="19">
        <f t="shared" si="4"/>
        <v>0</v>
      </c>
      <c r="P59" s="20">
        <f t="shared" si="5"/>
        <v>-5.0752393980848325</v>
      </c>
      <c r="Q59" s="253">
        <f t="shared" si="6"/>
        <v>0.95686046511627887</v>
      </c>
      <c r="R59" s="637"/>
      <c r="S59" s="40">
        <v>0.70833333333333337</v>
      </c>
      <c r="T59" s="40">
        <v>0.7680555555555556</v>
      </c>
      <c r="U59" s="252" t="str">
        <f t="shared" si="38"/>
        <v/>
      </c>
      <c r="V59" s="258">
        <f t="shared" si="37"/>
        <v>86.000000000000014</v>
      </c>
      <c r="W59" s="23"/>
      <c r="X59" s="23"/>
      <c r="Y59" s="26"/>
      <c r="Z59" s="26"/>
      <c r="AA59" s="627"/>
      <c r="AB59" s="628"/>
      <c r="AC59" s="25"/>
      <c r="AD59" s="25"/>
      <c r="AE59" s="19">
        <f t="shared" si="8"/>
        <v>-86.279069767442252</v>
      </c>
      <c r="AF59" s="253">
        <f t="shared" si="9"/>
        <v>0.95686046511627887</v>
      </c>
      <c r="AG59" s="637"/>
    </row>
    <row r="60" spans="1:33" ht="15.75" customHeight="1">
      <c r="A60" s="641" t="s">
        <v>1188</v>
      </c>
      <c r="B60" s="42" t="s">
        <v>92</v>
      </c>
      <c r="C60" s="625" t="s">
        <v>420</v>
      </c>
      <c r="D60" s="626"/>
      <c r="E60" s="42">
        <v>58.17</v>
      </c>
      <c r="F60" s="48">
        <v>1000</v>
      </c>
      <c r="G60" s="252">
        <f t="shared" si="35"/>
        <v>58170</v>
      </c>
      <c r="H60" s="37">
        <v>2</v>
      </c>
      <c r="I60" s="257">
        <v>13</v>
      </c>
      <c r="J60" s="39">
        <v>2000</v>
      </c>
      <c r="K60" s="17">
        <f t="shared" si="1"/>
        <v>153.84615384615384</v>
      </c>
      <c r="L60" s="257">
        <v>13</v>
      </c>
      <c r="M60" s="18">
        <f t="shared" si="39"/>
        <v>1935.483870967739</v>
      </c>
      <c r="N60" s="18">
        <f t="shared" si="3"/>
        <v>148.88337468982607</v>
      </c>
      <c r="O60" s="19">
        <f t="shared" si="4"/>
        <v>0</v>
      </c>
      <c r="P60" s="20">
        <f t="shared" si="5"/>
        <v>-4.9627791563277697</v>
      </c>
      <c r="Q60" s="253">
        <f t="shared" si="6"/>
        <v>0.96774193548386944</v>
      </c>
      <c r="R60" s="637"/>
      <c r="S60" s="40">
        <v>0.77361111111111114</v>
      </c>
      <c r="T60" s="40">
        <v>0.79513888888888895</v>
      </c>
      <c r="U60" s="252">
        <f t="shared" si="38"/>
        <v>7.9999999999999716</v>
      </c>
      <c r="V60" s="258">
        <f t="shared" si="37"/>
        <v>31.00000000000005</v>
      </c>
      <c r="W60" s="23"/>
      <c r="X60" s="23"/>
      <c r="Y60" s="26"/>
      <c r="Z60" s="26"/>
      <c r="AA60" s="627"/>
      <c r="AB60" s="628"/>
      <c r="AC60" s="25"/>
      <c r="AD60" s="25"/>
      <c r="AE60" s="19">
        <f t="shared" si="8"/>
        <v>-64.516129032261006</v>
      </c>
      <c r="AF60" s="253">
        <f t="shared" si="9"/>
        <v>0.96774193548386944</v>
      </c>
      <c r="AG60" s="637"/>
    </row>
    <row r="61" spans="1:33" ht="15.75" customHeight="1">
      <c r="A61" s="641" t="s">
        <v>76</v>
      </c>
      <c r="B61" s="42" t="s">
        <v>92</v>
      </c>
      <c r="C61" s="625" t="s">
        <v>114</v>
      </c>
      <c r="D61" s="626"/>
      <c r="E61" s="42">
        <v>54.09</v>
      </c>
      <c r="F61" s="48">
        <v>1000</v>
      </c>
      <c r="G61" s="252">
        <f t="shared" si="35"/>
        <v>54090</v>
      </c>
      <c r="H61" s="37">
        <v>2</v>
      </c>
      <c r="I61" s="257">
        <v>18</v>
      </c>
      <c r="J61" s="39">
        <v>2000</v>
      </c>
      <c r="K61" s="17">
        <f t="shared" si="1"/>
        <v>111.11111111111111</v>
      </c>
      <c r="L61" s="257">
        <v>18</v>
      </c>
      <c r="M61" s="18">
        <f t="shared" si="39"/>
        <v>1935.483870967739</v>
      </c>
      <c r="N61" s="18">
        <f t="shared" si="3"/>
        <v>107.52688172042994</v>
      </c>
      <c r="O61" s="19">
        <f t="shared" si="4"/>
        <v>0</v>
      </c>
      <c r="P61" s="20">
        <f t="shared" si="5"/>
        <v>-3.5842293906811733</v>
      </c>
      <c r="Q61" s="253">
        <f t="shared" si="6"/>
        <v>0.96774193548386944</v>
      </c>
      <c r="R61" s="637"/>
      <c r="S61" s="40">
        <v>0.8</v>
      </c>
      <c r="T61" s="40">
        <v>0.82152777777777786</v>
      </c>
      <c r="U61" s="252">
        <f t="shared" si="38"/>
        <v>6.9999999999999751</v>
      </c>
      <c r="V61" s="258">
        <f t="shared" si="37"/>
        <v>31.00000000000005</v>
      </c>
      <c r="W61" s="23">
        <f>T61</f>
        <v>0.82152777777777786</v>
      </c>
      <c r="X61" s="23">
        <f>S62</f>
        <v>0.86111111111111116</v>
      </c>
      <c r="Y61" s="26"/>
      <c r="Z61" s="26"/>
      <c r="AA61" s="627"/>
      <c r="AB61" s="628"/>
      <c r="AC61" s="25"/>
      <c r="AD61" s="25"/>
      <c r="AE61" s="19">
        <f t="shared" si="8"/>
        <v>-64.516129032261006</v>
      </c>
      <c r="AF61" s="253">
        <f t="shared" si="9"/>
        <v>0.96774193548386944</v>
      </c>
      <c r="AG61" s="637"/>
    </row>
    <row r="62" spans="1:33">
      <c r="A62" s="641" t="s">
        <v>76</v>
      </c>
      <c r="B62" s="42" t="s">
        <v>92</v>
      </c>
      <c r="C62" s="246" t="s">
        <v>420</v>
      </c>
      <c r="D62" s="247"/>
      <c r="E62" s="42">
        <v>58.17</v>
      </c>
      <c r="F62" s="48">
        <v>2326</v>
      </c>
      <c r="G62" s="252">
        <f t="shared" si="35"/>
        <v>135303.42000000001</v>
      </c>
      <c r="H62" s="37" t="s">
        <v>91</v>
      </c>
      <c r="I62" s="257">
        <v>13</v>
      </c>
      <c r="J62" s="39">
        <v>2000</v>
      </c>
      <c r="K62" s="17">
        <f t="shared" si="1"/>
        <v>153.84615384615384</v>
      </c>
      <c r="L62" s="257">
        <v>13</v>
      </c>
      <c r="M62" s="18">
        <f t="shared" si="39"/>
        <v>1911.7808219178069</v>
      </c>
      <c r="N62" s="18">
        <f t="shared" si="3"/>
        <v>147.06006322444668</v>
      </c>
      <c r="O62" s="19">
        <f t="shared" si="4"/>
        <v>0</v>
      </c>
      <c r="P62" s="20">
        <f t="shared" si="5"/>
        <v>-6.7860906217071602</v>
      </c>
      <c r="Q62" s="253">
        <f t="shared" si="6"/>
        <v>0.95589041095890348</v>
      </c>
      <c r="R62" s="637"/>
      <c r="S62" s="40">
        <v>0.86111111111111116</v>
      </c>
      <c r="T62" s="40">
        <v>0.91180555555555565</v>
      </c>
      <c r="U62" s="252">
        <f t="shared" si="38"/>
        <v>56.999999999999957</v>
      </c>
      <c r="V62" s="258">
        <f t="shared" si="37"/>
        <v>73.000000000000057</v>
      </c>
      <c r="W62" s="23"/>
      <c r="X62" s="23"/>
      <c r="Y62" s="26"/>
      <c r="Z62" s="26"/>
      <c r="AA62" s="248"/>
      <c r="AB62" s="249"/>
      <c r="AC62" s="25"/>
      <c r="AD62" s="25"/>
      <c r="AE62" s="19">
        <f t="shared" si="8"/>
        <v>-88.219178082193139</v>
      </c>
      <c r="AF62" s="253">
        <f t="shared" si="9"/>
        <v>0.95589041095890348</v>
      </c>
      <c r="AG62" s="637"/>
    </row>
    <row r="63" spans="1:33">
      <c r="A63" s="642" t="s">
        <v>76</v>
      </c>
      <c r="B63" s="42" t="s">
        <v>52</v>
      </c>
      <c r="C63" s="638"/>
      <c r="D63" s="638"/>
      <c r="E63" s="254"/>
      <c r="F63" s="44"/>
      <c r="G63" s="17"/>
      <c r="H63" s="259"/>
      <c r="I63" s="29">
        <v>17.333333333333332</v>
      </c>
      <c r="J63" s="39">
        <v>2000</v>
      </c>
      <c r="K63" s="17">
        <f t="shared" si="1"/>
        <v>115.38461538461539</v>
      </c>
      <c r="L63" s="29">
        <v>17.333333333333332</v>
      </c>
      <c r="M63" s="18">
        <f>AVERAGE(M54:M62)</f>
        <v>1922.4263557975671</v>
      </c>
      <c r="N63" s="17">
        <f t="shared" si="3"/>
        <v>110.90921283447503</v>
      </c>
      <c r="O63" s="19">
        <f t="shared" si="4"/>
        <v>0</v>
      </c>
      <c r="P63" s="20">
        <f t="shared" si="5"/>
        <v>-4.4754025501403589</v>
      </c>
      <c r="Q63" s="253">
        <f t="shared" si="6"/>
        <v>0.96121317789878358</v>
      </c>
      <c r="R63" s="637"/>
      <c r="S63" s="40"/>
      <c r="T63" s="40"/>
      <c r="U63" s="252"/>
      <c r="V63" s="258"/>
      <c r="W63" s="17"/>
      <c r="X63" s="17"/>
      <c r="Y63" s="30">
        <f>SUM(Y54:Y62)</f>
        <v>0</v>
      </c>
      <c r="Z63" s="30">
        <f>SUM(Z54:Z62)</f>
        <v>0</v>
      </c>
      <c r="AA63" s="631"/>
      <c r="AB63" s="631"/>
      <c r="AC63" s="30">
        <v>9</v>
      </c>
      <c r="AD63" s="30">
        <f>SUM(AD54:AD62)</f>
        <v>0</v>
      </c>
      <c r="AE63" s="19">
        <f>M63-J63</f>
        <v>-77.573644202432888</v>
      </c>
      <c r="AF63" s="253">
        <f t="shared" si="9"/>
        <v>0.96121317789878358</v>
      </c>
      <c r="AG63" s="637"/>
    </row>
    <row r="64" spans="1:33" ht="15.75" customHeight="1">
      <c r="A64" s="639" t="s">
        <v>1189</v>
      </c>
      <c r="B64" s="259" t="s">
        <v>127</v>
      </c>
      <c r="C64" s="633" t="s">
        <v>141</v>
      </c>
      <c r="D64" s="633"/>
      <c r="E64" s="42">
        <v>35.119999999999997</v>
      </c>
      <c r="F64" s="48">
        <v>4543</v>
      </c>
      <c r="G64" s="252">
        <f t="shared" ref="G64:G67" si="40">E64*F64</f>
        <v>159550.15999999997</v>
      </c>
      <c r="H64" s="37" t="s">
        <v>91</v>
      </c>
      <c r="I64" s="257">
        <v>10</v>
      </c>
      <c r="J64" s="39">
        <v>3000</v>
      </c>
      <c r="K64" s="17">
        <f t="shared" si="1"/>
        <v>300</v>
      </c>
      <c r="L64" s="257">
        <v>10</v>
      </c>
      <c r="M64" s="18">
        <f t="shared" ref="M64:M67" si="41">F64/V64*60</f>
        <v>2869.2631578947362</v>
      </c>
      <c r="N64" s="17">
        <f t="shared" si="3"/>
        <v>286.92631578947362</v>
      </c>
      <c r="O64" s="19">
        <f t="shared" si="4"/>
        <v>0</v>
      </c>
      <c r="P64" s="20">
        <f t="shared" si="5"/>
        <v>-13.07368421052638</v>
      </c>
      <c r="Q64" s="253">
        <f t="shared" si="6"/>
        <v>0.95642105263157873</v>
      </c>
      <c r="R64" s="637">
        <f>Q68</f>
        <v>0.96175169352491352</v>
      </c>
      <c r="S64" s="40">
        <v>0.20833333333333334</v>
      </c>
      <c r="T64" s="40">
        <v>0.27430555555555558</v>
      </c>
      <c r="U64" s="252"/>
      <c r="V64" s="258">
        <f t="shared" ref="V64:V67" si="42">(T64-S64)*24*60</f>
        <v>95.000000000000028</v>
      </c>
      <c r="W64" s="23"/>
      <c r="X64" s="23"/>
      <c r="Y64" s="28"/>
      <c r="Z64" s="28"/>
      <c r="AA64" s="632"/>
      <c r="AB64" s="632"/>
      <c r="AC64" s="25">
        <v>4</v>
      </c>
      <c r="AD64" s="25"/>
      <c r="AE64" s="19">
        <f t="shared" ref="AE64:AE77" si="43">M64-J64</f>
        <v>-130.7368421052638</v>
      </c>
      <c r="AF64" s="253">
        <f t="shared" si="9"/>
        <v>0.95642105263157873</v>
      </c>
      <c r="AG64" s="637">
        <f>AF68</f>
        <v>0.96175169352491352</v>
      </c>
    </row>
    <row r="65" spans="1:33" ht="15.75" customHeight="1">
      <c r="A65" s="639" t="s">
        <v>1189</v>
      </c>
      <c r="B65" s="259" t="s">
        <v>127</v>
      </c>
      <c r="C65" s="633" t="s">
        <v>142</v>
      </c>
      <c r="D65" s="633"/>
      <c r="E65" s="42">
        <v>26.78</v>
      </c>
      <c r="F65" s="48">
        <v>2492</v>
      </c>
      <c r="G65" s="252">
        <f t="shared" si="40"/>
        <v>66735.760000000009</v>
      </c>
      <c r="H65" s="37" t="s">
        <v>91</v>
      </c>
      <c r="I65" s="257">
        <v>10</v>
      </c>
      <c r="J65" s="39">
        <v>3000</v>
      </c>
      <c r="K65" s="17">
        <f t="shared" si="1"/>
        <v>300</v>
      </c>
      <c r="L65" s="257">
        <v>10</v>
      </c>
      <c r="M65" s="18">
        <f t="shared" si="41"/>
        <v>2875.3846153846171</v>
      </c>
      <c r="N65" s="17">
        <f t="shared" si="3"/>
        <v>287.53846153846172</v>
      </c>
      <c r="O65" s="19">
        <f t="shared" si="4"/>
        <v>0</v>
      </c>
      <c r="P65" s="20">
        <f t="shared" si="5"/>
        <v>-12.461538461538282</v>
      </c>
      <c r="Q65" s="253">
        <f t="shared" si="6"/>
        <v>0.95846153846153903</v>
      </c>
      <c r="R65" s="637"/>
      <c r="S65" s="40">
        <v>0.27777777777777779</v>
      </c>
      <c r="T65" s="40">
        <v>0.31388888888888888</v>
      </c>
      <c r="U65" s="252">
        <f t="shared" ref="U65:U67" si="44">(S65-T64)*24*60</f>
        <v>4.9999999999999822</v>
      </c>
      <c r="V65" s="258">
        <f t="shared" si="42"/>
        <v>51.999999999999972</v>
      </c>
      <c r="W65" s="252"/>
      <c r="X65" s="252"/>
      <c r="Y65" s="252"/>
      <c r="Z65" s="252"/>
      <c r="AA65" s="632"/>
      <c r="AB65" s="632"/>
      <c r="AC65" s="25"/>
      <c r="AD65" s="25"/>
      <c r="AE65" s="19">
        <f t="shared" si="43"/>
        <v>-124.61538461538294</v>
      </c>
      <c r="AF65" s="253">
        <f t="shared" si="9"/>
        <v>0.95846153846153903</v>
      </c>
      <c r="AG65" s="637"/>
    </row>
    <row r="66" spans="1:33" ht="15.75" customHeight="1">
      <c r="A66" s="639" t="s">
        <v>1189</v>
      </c>
      <c r="B66" s="259" t="s">
        <v>127</v>
      </c>
      <c r="C66" s="633" t="s">
        <v>143</v>
      </c>
      <c r="D66" s="633"/>
      <c r="E66" s="42">
        <v>36.14</v>
      </c>
      <c r="F66" s="48">
        <v>1308</v>
      </c>
      <c r="G66" s="252">
        <f t="shared" si="40"/>
        <v>47271.12</v>
      </c>
      <c r="H66" s="37" t="s">
        <v>91</v>
      </c>
      <c r="I66" s="257">
        <v>11</v>
      </c>
      <c r="J66" s="39">
        <v>3000</v>
      </c>
      <c r="K66" s="17">
        <f t="shared" si="1"/>
        <v>272.72727272727275</v>
      </c>
      <c r="L66" s="257">
        <v>11</v>
      </c>
      <c r="M66" s="18">
        <f t="shared" si="41"/>
        <v>2906.6666666666683</v>
      </c>
      <c r="N66" s="17">
        <f t="shared" si="3"/>
        <v>264.24242424242442</v>
      </c>
      <c r="O66" s="19">
        <f t="shared" si="4"/>
        <v>0</v>
      </c>
      <c r="P66" s="20">
        <f t="shared" si="5"/>
        <v>-8.4848484848483281</v>
      </c>
      <c r="Q66" s="253">
        <f t="shared" si="6"/>
        <v>0.96888888888888947</v>
      </c>
      <c r="R66" s="637"/>
      <c r="S66" s="40">
        <v>0.31874999999999998</v>
      </c>
      <c r="T66" s="40">
        <v>0.33749999999999997</v>
      </c>
      <c r="U66" s="252">
        <f t="shared" si="44"/>
        <v>6.9999999999999751</v>
      </c>
      <c r="V66" s="258">
        <f t="shared" si="42"/>
        <v>26.999999999999986</v>
      </c>
      <c r="W66" s="252"/>
      <c r="X66" s="252"/>
      <c r="Y66" s="252"/>
      <c r="Z66" s="252"/>
      <c r="AA66" s="632"/>
      <c r="AB66" s="632"/>
      <c r="AC66" s="25"/>
      <c r="AD66" s="25"/>
      <c r="AE66" s="19">
        <f t="shared" si="43"/>
        <v>-93.333333333331666</v>
      </c>
      <c r="AF66" s="253">
        <f t="shared" si="9"/>
        <v>0.96888888888888947</v>
      </c>
      <c r="AG66" s="637"/>
    </row>
    <row r="67" spans="1:33" ht="15.75" customHeight="1">
      <c r="A67" s="639" t="s">
        <v>1189</v>
      </c>
      <c r="B67" s="259" t="s">
        <v>127</v>
      </c>
      <c r="C67" s="633" t="s">
        <v>144</v>
      </c>
      <c r="D67" s="633"/>
      <c r="E67" s="42">
        <v>35.869999999999997</v>
      </c>
      <c r="F67" s="48">
        <v>3275</v>
      </c>
      <c r="G67" s="252">
        <f t="shared" si="40"/>
        <v>117474.24999999999</v>
      </c>
      <c r="H67" s="37" t="s">
        <v>91</v>
      </c>
      <c r="I67" s="257">
        <v>10</v>
      </c>
      <c r="J67" s="39">
        <v>3000</v>
      </c>
      <c r="K67" s="17">
        <f t="shared" si="1"/>
        <v>300</v>
      </c>
      <c r="L67" s="257">
        <v>10</v>
      </c>
      <c r="M67" s="18">
        <f t="shared" si="41"/>
        <v>2889.7058823529414</v>
      </c>
      <c r="N67" s="17">
        <f t="shared" si="3"/>
        <v>288.97058823529414</v>
      </c>
      <c r="O67" s="19">
        <f t="shared" si="4"/>
        <v>0</v>
      </c>
      <c r="P67" s="20">
        <f t="shared" si="5"/>
        <v>-11.029411764705856</v>
      </c>
      <c r="Q67" s="253">
        <f t="shared" si="6"/>
        <v>0.96323529411764719</v>
      </c>
      <c r="R67" s="637"/>
      <c r="S67" s="40">
        <v>0.3430555555555555</v>
      </c>
      <c r="T67" s="40">
        <v>0.39027777777777772</v>
      </c>
      <c r="U67" s="252">
        <f t="shared" si="44"/>
        <v>7.9999999999999716</v>
      </c>
      <c r="V67" s="258">
        <f t="shared" si="42"/>
        <v>68</v>
      </c>
      <c r="W67" s="252"/>
      <c r="X67" s="252"/>
      <c r="Y67" s="252"/>
      <c r="Z67" s="252"/>
      <c r="AA67" s="632"/>
      <c r="AB67" s="632"/>
      <c r="AC67" s="25"/>
      <c r="AD67" s="25"/>
      <c r="AE67" s="19">
        <f t="shared" si="43"/>
        <v>-110.29411764705856</v>
      </c>
      <c r="AF67" s="253">
        <f t="shared" si="9"/>
        <v>0.96323529411764719</v>
      </c>
      <c r="AG67" s="637"/>
    </row>
    <row r="68" spans="1:33">
      <c r="A68" s="640" t="s">
        <v>520</v>
      </c>
      <c r="B68" s="42" t="s">
        <v>52</v>
      </c>
      <c r="C68" s="638"/>
      <c r="D68" s="638"/>
      <c r="E68" s="254"/>
      <c r="F68" s="44"/>
      <c r="G68" s="17"/>
      <c r="H68" s="259"/>
      <c r="I68" s="29">
        <v>10.25</v>
      </c>
      <c r="J68" s="39">
        <v>3000</v>
      </c>
      <c r="K68" s="17">
        <f t="shared" si="1"/>
        <v>292.6829268292683</v>
      </c>
      <c r="L68" s="29">
        <v>10.25</v>
      </c>
      <c r="M68" s="18">
        <f>AVERAGE(M64:M67)</f>
        <v>2885.2550805747405</v>
      </c>
      <c r="N68" s="17">
        <f t="shared" si="3"/>
        <v>281.48830054387713</v>
      </c>
      <c r="O68" s="19">
        <f t="shared" si="4"/>
        <v>0</v>
      </c>
      <c r="P68" s="20">
        <f t="shared" si="5"/>
        <v>-11.194626285391166</v>
      </c>
      <c r="Q68" s="253">
        <f t="shared" si="6"/>
        <v>0.96175169352491352</v>
      </c>
      <c r="R68" s="637"/>
      <c r="S68" s="40"/>
      <c r="T68" s="40"/>
      <c r="U68" s="17"/>
      <c r="V68" s="258"/>
      <c r="W68" s="17"/>
      <c r="X68" s="17"/>
      <c r="Y68" s="30">
        <f>SUM(Y64:Y67)</f>
        <v>0</v>
      </c>
      <c r="Z68" s="30">
        <f>SUM(Z64:Z67)</f>
        <v>0</v>
      </c>
      <c r="AA68" s="631"/>
      <c r="AB68" s="631"/>
      <c r="AC68" s="30">
        <v>4</v>
      </c>
      <c r="AD68" s="30">
        <f>SUM(AD64:AD67)</f>
        <v>0</v>
      </c>
      <c r="AE68" s="19">
        <f t="shared" si="43"/>
        <v>-114.74491942525947</v>
      </c>
      <c r="AF68" s="253">
        <f t="shared" si="9"/>
        <v>0.96175169352491352</v>
      </c>
      <c r="AG68" s="637"/>
    </row>
    <row r="69" spans="1:33" ht="15.75" customHeight="1">
      <c r="A69" s="634" t="s">
        <v>1190</v>
      </c>
      <c r="B69" s="259" t="s">
        <v>116</v>
      </c>
      <c r="C69" s="633" t="s">
        <v>145</v>
      </c>
      <c r="D69" s="633"/>
      <c r="E69" s="42">
        <v>19.02</v>
      </c>
      <c r="F69" s="259">
        <v>5600</v>
      </c>
      <c r="G69" s="252">
        <f t="shared" ref="G69:G76" si="45">E69*F69</f>
        <v>106512</v>
      </c>
      <c r="H69" s="37">
        <v>2</v>
      </c>
      <c r="I69" s="257">
        <v>14</v>
      </c>
      <c r="J69" s="39">
        <v>2400</v>
      </c>
      <c r="K69" s="17">
        <f t="shared" ref="K69:K77" si="46">J69/I69</f>
        <v>171.42857142857142</v>
      </c>
      <c r="L69" s="257">
        <v>14</v>
      </c>
      <c r="M69" s="18">
        <f t="shared" ref="M69:M76" si="47">F69/V69*60</f>
        <v>2285.7142857142858</v>
      </c>
      <c r="N69" s="17">
        <f t="shared" ref="N69:N77" si="48">M69/L69</f>
        <v>163.26530612244898</v>
      </c>
      <c r="O69" s="19">
        <f t="shared" ref="O69:O77" si="49">L69-I69</f>
        <v>0</v>
      </c>
      <c r="P69" s="20">
        <f t="shared" ref="P69:P77" si="50">N69-K69</f>
        <v>-8.1632653061224403</v>
      </c>
      <c r="Q69" s="253">
        <f t="shared" ref="Q69:Q77" si="51">N69/K69</f>
        <v>0.95238095238095244</v>
      </c>
      <c r="R69" s="637">
        <f>Q77</f>
        <v>0.95667637240931203</v>
      </c>
      <c r="S69" s="40">
        <v>8.3333333333333329E-2</v>
      </c>
      <c r="T69" s="40">
        <v>0.18541666666666667</v>
      </c>
      <c r="U69" s="28"/>
      <c r="V69" s="258">
        <f t="shared" ref="V69:V76" si="52">(T69-S69)*24*60</f>
        <v>147</v>
      </c>
      <c r="W69" s="23">
        <f>T69</f>
        <v>0.18541666666666667</v>
      </c>
      <c r="X69" s="23">
        <f>S70</f>
        <v>0.20347222222222222</v>
      </c>
      <c r="Y69" s="23"/>
      <c r="Z69" s="23"/>
      <c r="AA69" s="632"/>
      <c r="AB69" s="632"/>
      <c r="AC69" s="25">
        <v>8</v>
      </c>
      <c r="AD69" s="25"/>
      <c r="AE69" s="19">
        <f t="shared" si="43"/>
        <v>-114.28571428571422</v>
      </c>
      <c r="AF69" s="253">
        <f t="shared" ref="AF69:AF77" si="53">M69/J69</f>
        <v>0.95238095238095244</v>
      </c>
      <c r="AG69" s="637">
        <f>AF77</f>
        <v>0.9566763724093118</v>
      </c>
    </row>
    <row r="70" spans="1:33" ht="15.75" customHeight="1">
      <c r="A70" s="635" t="s">
        <v>1190</v>
      </c>
      <c r="B70" s="259" t="s">
        <v>116</v>
      </c>
      <c r="C70" s="633" t="s">
        <v>146</v>
      </c>
      <c r="D70" s="633"/>
      <c r="E70" s="42">
        <v>20.36</v>
      </c>
      <c r="F70" s="259">
        <v>2400</v>
      </c>
      <c r="G70" s="252">
        <f t="shared" si="45"/>
        <v>48864</v>
      </c>
      <c r="H70" s="37">
        <v>2</v>
      </c>
      <c r="I70" s="257">
        <v>17</v>
      </c>
      <c r="J70" s="39">
        <v>2400</v>
      </c>
      <c r="K70" s="17">
        <f t="shared" si="46"/>
        <v>141.1764705882353</v>
      </c>
      <c r="L70" s="257">
        <v>17</v>
      </c>
      <c r="M70" s="18">
        <f t="shared" si="47"/>
        <v>2285.7142857142853</v>
      </c>
      <c r="N70" s="17">
        <f t="shared" si="48"/>
        <v>134.45378151260502</v>
      </c>
      <c r="O70" s="19">
        <f t="shared" si="49"/>
        <v>0</v>
      </c>
      <c r="P70" s="20">
        <f t="shared" si="50"/>
        <v>-6.7226890756302851</v>
      </c>
      <c r="Q70" s="253">
        <f t="shared" si="51"/>
        <v>0.95238095238095211</v>
      </c>
      <c r="R70" s="637"/>
      <c r="S70" s="40">
        <v>0.20347222222222222</v>
      </c>
      <c r="T70" s="40">
        <v>0.24722222222222223</v>
      </c>
      <c r="U70" s="252">
        <f t="shared" ref="U70:U76" si="54">(S70-T69)*24*60</f>
        <v>25.999999999999986</v>
      </c>
      <c r="V70" s="258">
        <f t="shared" si="52"/>
        <v>63.000000000000014</v>
      </c>
      <c r="W70" s="23"/>
      <c r="X70" s="23"/>
      <c r="Y70" s="23"/>
      <c r="Z70" s="23"/>
      <c r="AA70" s="632"/>
      <c r="AB70" s="632"/>
      <c r="AC70" s="25"/>
      <c r="AD70" s="25"/>
      <c r="AE70" s="19">
        <f t="shared" si="43"/>
        <v>-114.28571428571468</v>
      </c>
      <c r="AF70" s="253">
        <f t="shared" si="53"/>
        <v>0.95238095238095222</v>
      </c>
      <c r="AG70" s="637"/>
    </row>
    <row r="71" spans="1:33" ht="15.75" customHeight="1">
      <c r="A71" s="635" t="s">
        <v>1190</v>
      </c>
      <c r="B71" s="259" t="s">
        <v>116</v>
      </c>
      <c r="C71" s="633" t="s">
        <v>120</v>
      </c>
      <c r="D71" s="633"/>
      <c r="E71" s="42">
        <v>25.99</v>
      </c>
      <c r="F71" s="259">
        <v>1236</v>
      </c>
      <c r="G71" s="252">
        <f t="shared" si="45"/>
        <v>32123.64</v>
      </c>
      <c r="H71" s="37" t="s">
        <v>91</v>
      </c>
      <c r="I71" s="257">
        <v>18</v>
      </c>
      <c r="J71" s="39">
        <v>2400</v>
      </c>
      <c r="K71" s="17">
        <f t="shared" si="46"/>
        <v>133.33333333333334</v>
      </c>
      <c r="L71" s="257">
        <v>18</v>
      </c>
      <c r="M71" s="18">
        <f t="shared" si="47"/>
        <v>2317.5000000000027</v>
      </c>
      <c r="N71" s="17">
        <f t="shared" si="48"/>
        <v>128.75000000000014</v>
      </c>
      <c r="O71" s="19">
        <f t="shared" si="49"/>
        <v>0</v>
      </c>
      <c r="P71" s="20">
        <f t="shared" si="50"/>
        <v>-4.5833333333332007</v>
      </c>
      <c r="Q71" s="253">
        <f t="shared" si="51"/>
        <v>0.96562500000000095</v>
      </c>
      <c r="R71" s="637"/>
      <c r="S71" s="40">
        <v>0.25277777777777777</v>
      </c>
      <c r="T71" s="40">
        <v>0.27499999999999997</v>
      </c>
      <c r="U71" s="252">
        <f t="shared" si="54"/>
        <v>7.9999999999999716</v>
      </c>
      <c r="V71" s="258">
        <f t="shared" si="52"/>
        <v>31.999999999999964</v>
      </c>
      <c r="W71" s="23"/>
      <c r="X71" s="23"/>
      <c r="Y71" s="23"/>
      <c r="Z71" s="23"/>
      <c r="AA71" s="632"/>
      <c r="AB71" s="632"/>
      <c r="AC71" s="25"/>
      <c r="AD71" s="25"/>
      <c r="AE71" s="19">
        <f t="shared" si="43"/>
        <v>-82.499999999997272</v>
      </c>
      <c r="AF71" s="253">
        <f t="shared" si="53"/>
        <v>0.96562500000000118</v>
      </c>
      <c r="AG71" s="637"/>
    </row>
    <row r="72" spans="1:33" ht="15.75" customHeight="1">
      <c r="A72" s="635" t="s">
        <v>1190</v>
      </c>
      <c r="B72" s="259" t="s">
        <v>116</v>
      </c>
      <c r="C72" s="633" t="s">
        <v>148</v>
      </c>
      <c r="D72" s="633"/>
      <c r="E72" s="42">
        <v>28.29</v>
      </c>
      <c r="F72" s="259">
        <v>3928</v>
      </c>
      <c r="G72" s="252">
        <f t="shared" si="45"/>
        <v>111123.12</v>
      </c>
      <c r="H72" s="37" t="s">
        <v>91</v>
      </c>
      <c r="I72" s="257">
        <v>21</v>
      </c>
      <c r="J72" s="39">
        <v>2400</v>
      </c>
      <c r="K72" s="17">
        <f t="shared" si="46"/>
        <v>114.28571428571429</v>
      </c>
      <c r="L72" s="257">
        <v>21</v>
      </c>
      <c r="M72" s="18">
        <f t="shared" si="47"/>
        <v>2288.1553398058245</v>
      </c>
      <c r="N72" s="17">
        <f t="shared" si="48"/>
        <v>108.95977808599164</v>
      </c>
      <c r="O72" s="19">
        <f t="shared" si="49"/>
        <v>0</v>
      </c>
      <c r="P72" s="20">
        <f t="shared" si="50"/>
        <v>-5.3259361997226478</v>
      </c>
      <c r="Q72" s="253">
        <f t="shared" si="51"/>
        <v>0.95339805825242685</v>
      </c>
      <c r="R72" s="637"/>
      <c r="S72" s="40">
        <v>0.27986111111111106</v>
      </c>
      <c r="T72" s="40">
        <v>0.35138888888888886</v>
      </c>
      <c r="U72" s="252">
        <f t="shared" si="54"/>
        <v>6.9999999999999751</v>
      </c>
      <c r="V72" s="258">
        <f t="shared" si="52"/>
        <v>103.00000000000003</v>
      </c>
      <c r="W72" s="23"/>
      <c r="X72" s="23"/>
      <c r="Y72" s="23"/>
      <c r="Z72" s="23"/>
      <c r="AA72" s="632"/>
      <c r="AB72" s="632"/>
      <c r="AC72" s="25"/>
      <c r="AD72" s="25"/>
      <c r="AE72" s="19">
        <f t="shared" si="43"/>
        <v>-111.8446601941755</v>
      </c>
      <c r="AF72" s="253">
        <f t="shared" si="53"/>
        <v>0.95339805825242685</v>
      </c>
      <c r="AG72" s="637"/>
    </row>
    <row r="73" spans="1:33" ht="15.75" customHeight="1">
      <c r="A73" s="635" t="s">
        <v>86</v>
      </c>
      <c r="B73" s="259" t="s">
        <v>116</v>
      </c>
      <c r="C73" s="633" t="s">
        <v>149</v>
      </c>
      <c r="D73" s="633"/>
      <c r="E73" s="42">
        <v>24.25</v>
      </c>
      <c r="F73" s="259">
        <v>3838</v>
      </c>
      <c r="G73" s="252">
        <f t="shared" si="45"/>
        <v>93071.5</v>
      </c>
      <c r="H73" s="37" t="s">
        <v>91</v>
      </c>
      <c r="I73" s="257">
        <v>16</v>
      </c>
      <c r="J73" s="39">
        <v>2400</v>
      </c>
      <c r="K73" s="17">
        <f t="shared" si="46"/>
        <v>150</v>
      </c>
      <c r="L73" s="257">
        <v>16</v>
      </c>
      <c r="M73" s="18">
        <f t="shared" si="47"/>
        <v>2302.8000000000006</v>
      </c>
      <c r="N73" s="17">
        <f t="shared" si="48"/>
        <v>143.92500000000004</v>
      </c>
      <c r="O73" s="19">
        <f t="shared" si="49"/>
        <v>0</v>
      </c>
      <c r="P73" s="20">
        <f t="shared" si="50"/>
        <v>-6.0749999999999602</v>
      </c>
      <c r="Q73" s="253">
        <f t="shared" si="51"/>
        <v>0.95950000000000024</v>
      </c>
      <c r="R73" s="637"/>
      <c r="S73" s="40">
        <v>0.35624999999999996</v>
      </c>
      <c r="T73" s="40">
        <v>0.42569444444444438</v>
      </c>
      <c r="U73" s="252">
        <f t="shared" si="54"/>
        <v>6.9999999999999751</v>
      </c>
      <c r="V73" s="258">
        <f t="shared" si="52"/>
        <v>99.999999999999972</v>
      </c>
      <c r="W73" s="23"/>
      <c r="X73" s="23"/>
      <c r="Y73" s="23"/>
      <c r="Z73" s="23"/>
      <c r="AA73" s="632"/>
      <c r="AB73" s="632"/>
      <c r="AC73" s="25"/>
      <c r="AD73" s="25"/>
      <c r="AE73" s="19">
        <f t="shared" si="43"/>
        <v>-97.199999999999363</v>
      </c>
      <c r="AF73" s="253">
        <f t="shared" si="53"/>
        <v>0.95950000000000024</v>
      </c>
      <c r="AG73" s="637"/>
    </row>
    <row r="74" spans="1:33" ht="15.75" customHeight="1">
      <c r="A74" s="635" t="s">
        <v>1190</v>
      </c>
      <c r="B74" s="259" t="s">
        <v>116</v>
      </c>
      <c r="C74" s="633" t="s">
        <v>150</v>
      </c>
      <c r="D74" s="633"/>
      <c r="E74" s="42">
        <v>23.89</v>
      </c>
      <c r="F74" s="259">
        <v>3147</v>
      </c>
      <c r="G74" s="252">
        <f t="shared" si="45"/>
        <v>75181.83</v>
      </c>
      <c r="H74" s="37" t="s">
        <v>91</v>
      </c>
      <c r="I74" s="257">
        <v>13</v>
      </c>
      <c r="J74" s="39">
        <v>2400</v>
      </c>
      <c r="K74" s="17">
        <f t="shared" si="46"/>
        <v>184.61538461538461</v>
      </c>
      <c r="L74" s="257">
        <v>13</v>
      </c>
      <c r="M74" s="18">
        <f t="shared" si="47"/>
        <v>2302.6829268292677</v>
      </c>
      <c r="N74" s="17">
        <f t="shared" si="48"/>
        <v>177.12945590994366</v>
      </c>
      <c r="O74" s="19">
        <f t="shared" si="49"/>
        <v>0</v>
      </c>
      <c r="P74" s="20">
        <f t="shared" si="50"/>
        <v>-7.4859287054409549</v>
      </c>
      <c r="Q74" s="253">
        <f t="shared" si="51"/>
        <v>0.95945121951219481</v>
      </c>
      <c r="R74" s="637"/>
      <c r="S74" s="40">
        <v>0.42916666666666659</v>
      </c>
      <c r="T74" s="40">
        <v>0.48611111111111105</v>
      </c>
      <c r="U74" s="252">
        <f t="shared" si="54"/>
        <v>4.9999999999999822</v>
      </c>
      <c r="V74" s="258">
        <f t="shared" si="52"/>
        <v>82.000000000000028</v>
      </c>
      <c r="W74" s="23">
        <f>T74</f>
        <v>0.48611111111111105</v>
      </c>
      <c r="X74" s="23">
        <f>S75</f>
        <v>0.52569444444444435</v>
      </c>
      <c r="Y74" s="23"/>
      <c r="Z74" s="23"/>
      <c r="AA74" s="632"/>
      <c r="AB74" s="632"/>
      <c r="AC74" s="25"/>
      <c r="AD74" s="25"/>
      <c r="AE74" s="19">
        <f t="shared" si="43"/>
        <v>-97.317073170732328</v>
      </c>
      <c r="AF74" s="253">
        <f t="shared" si="53"/>
        <v>0.95945121951219481</v>
      </c>
      <c r="AG74" s="637"/>
    </row>
    <row r="75" spans="1:33" ht="15.75" customHeight="1">
      <c r="A75" s="635" t="s">
        <v>86</v>
      </c>
      <c r="B75" s="259" t="s">
        <v>116</v>
      </c>
      <c r="C75" s="625" t="s">
        <v>145</v>
      </c>
      <c r="D75" s="626"/>
      <c r="E75" s="42">
        <v>19.02</v>
      </c>
      <c r="F75" s="259">
        <v>4697</v>
      </c>
      <c r="G75" s="252">
        <f t="shared" si="45"/>
        <v>89336.94</v>
      </c>
      <c r="H75" s="37" t="s">
        <v>91</v>
      </c>
      <c r="I75" s="257">
        <v>14</v>
      </c>
      <c r="J75" s="39">
        <v>2400</v>
      </c>
      <c r="K75" s="17">
        <f t="shared" si="46"/>
        <v>171.42857142857142</v>
      </c>
      <c r="L75" s="257">
        <v>14</v>
      </c>
      <c r="M75" s="18">
        <f t="shared" si="47"/>
        <v>2291.2195121951213</v>
      </c>
      <c r="N75" s="17">
        <f t="shared" si="48"/>
        <v>163.65853658536579</v>
      </c>
      <c r="O75" s="19">
        <f t="shared" si="49"/>
        <v>0</v>
      </c>
      <c r="P75" s="20">
        <f t="shared" si="50"/>
        <v>-7.7700348432056217</v>
      </c>
      <c r="Q75" s="253">
        <f t="shared" si="51"/>
        <v>0.95467479674796718</v>
      </c>
      <c r="R75" s="637"/>
      <c r="S75" s="40">
        <v>0.52569444444444435</v>
      </c>
      <c r="T75" s="40">
        <v>0.61111111111111105</v>
      </c>
      <c r="U75" s="252">
        <f t="shared" si="54"/>
        <v>56.999999999999957</v>
      </c>
      <c r="V75" s="258">
        <f t="shared" si="52"/>
        <v>123.00000000000004</v>
      </c>
      <c r="W75" s="23"/>
      <c r="X75" s="23"/>
      <c r="Y75" s="26"/>
      <c r="Z75" s="26"/>
      <c r="AA75" s="627"/>
      <c r="AB75" s="628"/>
      <c r="AC75" s="25"/>
      <c r="AD75" s="25"/>
      <c r="AE75" s="19">
        <f t="shared" si="43"/>
        <v>-108.7804878048787</v>
      </c>
      <c r="AF75" s="253">
        <f t="shared" si="53"/>
        <v>0.95467479674796718</v>
      </c>
      <c r="AG75" s="637"/>
    </row>
    <row r="76" spans="1:33" ht="15.75" customHeight="1">
      <c r="A76" s="635" t="s">
        <v>1190</v>
      </c>
      <c r="B76" s="259" t="s">
        <v>116</v>
      </c>
      <c r="C76" s="625" t="s">
        <v>146</v>
      </c>
      <c r="D76" s="626"/>
      <c r="E76" s="42">
        <v>20.36</v>
      </c>
      <c r="F76" s="259">
        <v>1912</v>
      </c>
      <c r="G76" s="252">
        <f t="shared" si="45"/>
        <v>38928.32</v>
      </c>
      <c r="H76" s="37" t="s">
        <v>91</v>
      </c>
      <c r="I76" s="257">
        <v>17</v>
      </c>
      <c r="J76" s="39">
        <v>2400</v>
      </c>
      <c r="K76" s="17">
        <f t="shared" si="46"/>
        <v>141.1764705882353</v>
      </c>
      <c r="L76" s="257">
        <v>17</v>
      </c>
      <c r="M76" s="18">
        <f t="shared" si="47"/>
        <v>2294.4000000000005</v>
      </c>
      <c r="N76" s="17">
        <f t="shared" si="48"/>
        <v>134.96470588235297</v>
      </c>
      <c r="O76" s="19">
        <f t="shared" si="49"/>
        <v>0</v>
      </c>
      <c r="P76" s="20">
        <f t="shared" si="50"/>
        <v>-6.2117647058823309</v>
      </c>
      <c r="Q76" s="253">
        <f t="shared" si="51"/>
        <v>0.95600000000000018</v>
      </c>
      <c r="R76" s="637"/>
      <c r="S76" s="40">
        <v>0.6152777777777777</v>
      </c>
      <c r="T76" s="40">
        <v>0.64999999999999991</v>
      </c>
      <c r="U76" s="252">
        <f t="shared" si="54"/>
        <v>5.9999999999999787</v>
      </c>
      <c r="V76" s="258">
        <f t="shared" si="52"/>
        <v>49.999999999999986</v>
      </c>
      <c r="W76" s="23"/>
      <c r="X76" s="23"/>
      <c r="Y76" s="26"/>
      <c r="Z76" s="26"/>
      <c r="AA76" s="627"/>
      <c r="AB76" s="628"/>
      <c r="AC76" s="25"/>
      <c r="AD76" s="25"/>
      <c r="AE76" s="19">
        <f t="shared" si="43"/>
        <v>-105.59999999999945</v>
      </c>
      <c r="AF76" s="253">
        <f t="shared" si="53"/>
        <v>0.95600000000000018</v>
      </c>
      <c r="AG76" s="637"/>
    </row>
    <row r="77" spans="1:33" ht="16.5" customHeight="1">
      <c r="A77" s="636" t="s">
        <v>86</v>
      </c>
      <c r="B77" s="42" t="s">
        <v>1182</v>
      </c>
      <c r="C77" s="629"/>
      <c r="D77" s="630"/>
      <c r="E77" s="254"/>
      <c r="F77" s="44"/>
      <c r="G77" s="17"/>
      <c r="H77" s="259"/>
      <c r="I77" s="29">
        <v>16.25</v>
      </c>
      <c r="J77" s="39">
        <v>2400</v>
      </c>
      <c r="K77" s="17">
        <f t="shared" si="46"/>
        <v>147.69230769230768</v>
      </c>
      <c r="L77" s="29">
        <v>16.25</v>
      </c>
      <c r="M77" s="18">
        <f>AVERAGE(M69:M76)</f>
        <v>2296.0232937823484</v>
      </c>
      <c r="N77" s="17">
        <f t="shared" si="48"/>
        <v>141.29374115583684</v>
      </c>
      <c r="O77" s="19">
        <f t="shared" si="49"/>
        <v>0</v>
      </c>
      <c r="P77" s="20">
        <f t="shared" si="50"/>
        <v>-6.3985665364708382</v>
      </c>
      <c r="Q77" s="253">
        <f t="shared" si="51"/>
        <v>0.95667637240931203</v>
      </c>
      <c r="R77" s="637"/>
      <c r="S77" s="40"/>
      <c r="T77" s="40"/>
      <c r="U77" s="17"/>
      <c r="V77" s="258"/>
      <c r="W77" s="17"/>
      <c r="X77" s="17"/>
      <c r="Y77" s="30">
        <f>SUM(Y69:Y76)</f>
        <v>0</v>
      </c>
      <c r="Z77" s="30">
        <f>SUM(Z69:Z76)</f>
        <v>0</v>
      </c>
      <c r="AA77" s="631"/>
      <c r="AB77" s="631"/>
      <c r="AC77" s="30">
        <v>8</v>
      </c>
      <c r="AD77" s="30">
        <f>SUM(AD69:AD76)</f>
        <v>0</v>
      </c>
      <c r="AE77" s="19">
        <f t="shared" si="43"/>
        <v>-103.97670621765155</v>
      </c>
      <c r="AF77" s="253">
        <f t="shared" si="53"/>
        <v>0.9566763724093118</v>
      </c>
      <c r="AG77" s="637"/>
    </row>
    <row r="78" spans="1:33">
      <c r="D78" s="33"/>
      <c r="E78" s="33"/>
    </row>
  </sheetData>
  <mergeCells count="201">
    <mergeCell ref="A69:A77"/>
    <mergeCell ref="C69:D69"/>
    <mergeCell ref="R69:R77"/>
    <mergeCell ref="AA69:AB69"/>
    <mergeCell ref="AG69:AG77"/>
    <mergeCell ref="C70:D70"/>
    <mergeCell ref="AA70:AB70"/>
    <mergeCell ref="C71:D71"/>
    <mergeCell ref="AA71:AB71"/>
    <mergeCell ref="C72:D72"/>
    <mergeCell ref="C76:D76"/>
    <mergeCell ref="AA76:AB76"/>
    <mergeCell ref="C77:D77"/>
    <mergeCell ref="AA77:AB77"/>
    <mergeCell ref="AA72:AB72"/>
    <mergeCell ref="C73:D73"/>
    <mergeCell ref="AA73:AB73"/>
    <mergeCell ref="C74:D74"/>
    <mergeCell ref="AA74:AB74"/>
    <mergeCell ref="C75:D75"/>
    <mergeCell ref="AA75:AB75"/>
    <mergeCell ref="AG64:AG68"/>
    <mergeCell ref="C65:D65"/>
    <mergeCell ref="AA65:AB65"/>
    <mergeCell ref="C66:D66"/>
    <mergeCell ref="AA66:AB66"/>
    <mergeCell ref="C67:D67"/>
    <mergeCell ref="AA67:AB67"/>
    <mergeCell ref="C68:D68"/>
    <mergeCell ref="AA68:AB68"/>
    <mergeCell ref="AG54:AG63"/>
    <mergeCell ref="C55:D55"/>
    <mergeCell ref="AA55:AB55"/>
    <mergeCell ref="C56:D56"/>
    <mergeCell ref="AA56:AB56"/>
    <mergeCell ref="AA57:AB57"/>
    <mergeCell ref="AA58:AB58"/>
    <mergeCell ref="C59:D59"/>
    <mergeCell ref="AA59:AB59"/>
    <mergeCell ref="C60:D60"/>
    <mergeCell ref="A49:A53"/>
    <mergeCell ref="C49:D49"/>
    <mergeCell ref="R49:R53"/>
    <mergeCell ref="AA49:AB49"/>
    <mergeCell ref="C63:D63"/>
    <mergeCell ref="AA63:AB63"/>
    <mergeCell ref="A64:A68"/>
    <mergeCell ref="C64:D64"/>
    <mergeCell ref="R64:R68"/>
    <mergeCell ref="AA64:AB64"/>
    <mergeCell ref="A54:A63"/>
    <mergeCell ref="C43:D43"/>
    <mergeCell ref="AA43:AB43"/>
    <mergeCell ref="C44:D44"/>
    <mergeCell ref="AA44:AB44"/>
    <mergeCell ref="C45:D45"/>
    <mergeCell ref="AA45:AB45"/>
    <mergeCell ref="C54:D54"/>
    <mergeCell ref="R54:R63"/>
    <mergeCell ref="AA54:AB54"/>
    <mergeCell ref="AA60:AB60"/>
    <mergeCell ref="C61:D61"/>
    <mergeCell ref="AA61:AB61"/>
    <mergeCell ref="A40:A48"/>
    <mergeCell ref="C40:D40"/>
    <mergeCell ref="R40:R48"/>
    <mergeCell ref="AA40:AB40"/>
    <mergeCell ref="C41:D41"/>
    <mergeCell ref="AA41:AB41"/>
    <mergeCell ref="C42:D42"/>
    <mergeCell ref="AA42:AB42"/>
    <mergeCell ref="AG49:AG53"/>
    <mergeCell ref="C50:D50"/>
    <mergeCell ref="AA50:AB50"/>
    <mergeCell ref="C51:D51"/>
    <mergeCell ref="AA51:AB51"/>
    <mergeCell ref="C52:D52"/>
    <mergeCell ref="C46:D46"/>
    <mergeCell ref="AA46:AB46"/>
    <mergeCell ref="C47:D47"/>
    <mergeCell ref="AA47:AB47"/>
    <mergeCell ref="C48:D48"/>
    <mergeCell ref="AA48:AB48"/>
    <mergeCell ref="AG40:AG48"/>
    <mergeCell ref="AA52:AB52"/>
    <mergeCell ref="C53:D53"/>
    <mergeCell ref="AA53:AB53"/>
    <mergeCell ref="AG32:AG39"/>
    <mergeCell ref="C33:D33"/>
    <mergeCell ref="AA33:AB33"/>
    <mergeCell ref="C34:D34"/>
    <mergeCell ref="AA34:AB34"/>
    <mergeCell ref="C35:D35"/>
    <mergeCell ref="AA35:AB35"/>
    <mergeCell ref="C36:D36"/>
    <mergeCell ref="AA36:AB36"/>
    <mergeCell ref="C37:D37"/>
    <mergeCell ref="AA39:AB39"/>
    <mergeCell ref="A24:A31"/>
    <mergeCell ref="C24:D24"/>
    <mergeCell ref="R24:R31"/>
    <mergeCell ref="AA24:AB24"/>
    <mergeCell ref="C31:D31"/>
    <mergeCell ref="AA31:AB31"/>
    <mergeCell ref="A32:A39"/>
    <mergeCell ref="C32:D32"/>
    <mergeCell ref="R32:R39"/>
    <mergeCell ref="AA32:AB32"/>
    <mergeCell ref="AA37:AB37"/>
    <mergeCell ref="C38:D38"/>
    <mergeCell ref="AA38:AB38"/>
    <mergeCell ref="C39:D39"/>
    <mergeCell ref="AG24:AG31"/>
    <mergeCell ref="C25:D25"/>
    <mergeCell ref="AA25:AB25"/>
    <mergeCell ref="C26:D26"/>
    <mergeCell ref="AA26:AB26"/>
    <mergeCell ref="C27:D27"/>
    <mergeCell ref="AG16:AG23"/>
    <mergeCell ref="C17:D17"/>
    <mergeCell ref="AA17:AB17"/>
    <mergeCell ref="C18:D18"/>
    <mergeCell ref="AA18:AB18"/>
    <mergeCell ref="C19:D19"/>
    <mergeCell ref="AA19:AB19"/>
    <mergeCell ref="C20:D20"/>
    <mergeCell ref="AA20:AB20"/>
    <mergeCell ref="C23:D23"/>
    <mergeCell ref="AA27:AB27"/>
    <mergeCell ref="C28:D28"/>
    <mergeCell ref="AA28:AB28"/>
    <mergeCell ref="C29:D29"/>
    <mergeCell ref="AA29:AB29"/>
    <mergeCell ref="C30:D30"/>
    <mergeCell ref="AA30:AB30"/>
    <mergeCell ref="A16:A23"/>
    <mergeCell ref="C16:D16"/>
    <mergeCell ref="R16:R23"/>
    <mergeCell ref="AA16:AB16"/>
    <mergeCell ref="AA23:AB23"/>
    <mergeCell ref="A10:A15"/>
    <mergeCell ref="C10:D10"/>
    <mergeCell ref="R10:R15"/>
    <mergeCell ref="AA10:AB10"/>
    <mergeCell ref="AG10:AG15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A13:AB13"/>
    <mergeCell ref="C14:D14"/>
    <mergeCell ref="AA14:AB14"/>
    <mergeCell ref="C15:D15"/>
    <mergeCell ref="AA15:AB15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67:O74 O63:O64 O77 O5:O10 O15:O17 O23:O59">
    <cfRule type="cellIs" dxfId="936" priority="68" operator="greaterThan">
      <formula>0</formula>
    </cfRule>
  </conditionalFormatting>
  <conditionalFormatting sqref="P5:P8 P67 AE67 P69:P74 P32:P38 P64 P10 P15:P17 P24:P30 P54:P59 P40:P52 AE5:AE64 AE69:AE77">
    <cfRule type="cellIs" dxfId="935" priority="72" operator="lessThan">
      <formula>0</formula>
    </cfRule>
  </conditionalFormatting>
  <conditionalFormatting sqref="AF67 Q67:Q74 Q63:Q64 Q77 Q5:Q10 Q15:Q17 Q23:Q59 AF5:AF64 AF69:AF77">
    <cfRule type="cellIs" dxfId="934" priority="69" operator="greaterThan">
      <formula>1</formula>
    </cfRule>
    <cfRule type="cellIs" dxfId="933" priority="70" operator="lessThan">
      <formula>0.8</formula>
    </cfRule>
  </conditionalFormatting>
  <conditionalFormatting sqref="AG16:AG17 R16:R17 AG67 R67:R74 R23:R29 AG23:AG29 AG63:AG64 R63:R64 R77 AG5:AG10 R5:R10 AG31:AG59 R31:R59">
    <cfRule type="cellIs" dxfId="932" priority="74" operator="lessThan">
      <formula>0.8</formula>
    </cfRule>
  </conditionalFormatting>
  <conditionalFormatting sqref="AG49">
    <cfRule type="cellIs" dxfId="931" priority="76" operator="lessThan">
      <formula>0.8</formula>
    </cfRule>
  </conditionalFormatting>
  <conditionalFormatting sqref="AG24:AG29">
    <cfRule type="cellIs" dxfId="930" priority="73" operator="lessThan">
      <formula>0.8</formula>
    </cfRule>
  </conditionalFormatting>
  <conditionalFormatting sqref="AG32">
    <cfRule type="cellIs" dxfId="929" priority="75" operator="lessThan">
      <formula>0.8</formula>
    </cfRule>
  </conditionalFormatting>
  <conditionalFormatting sqref="AG40:AG47">
    <cfRule type="cellIs" dxfId="928" priority="71" operator="lessThan">
      <formula>0.8</formula>
    </cfRule>
  </conditionalFormatting>
  <conditionalFormatting sqref="AE68">
    <cfRule type="cellIs" dxfId="927" priority="67" operator="lessThan">
      <formula>0</formula>
    </cfRule>
  </conditionalFormatting>
  <conditionalFormatting sqref="AF68">
    <cfRule type="cellIs" dxfId="926" priority="65" operator="greaterThan">
      <formula>1</formula>
    </cfRule>
    <cfRule type="cellIs" dxfId="925" priority="66" operator="lessThan">
      <formula>0.8</formula>
    </cfRule>
  </conditionalFormatting>
  <conditionalFormatting sqref="O18:O19">
    <cfRule type="cellIs" dxfId="924" priority="60" operator="greaterThan">
      <formula>0</formula>
    </cfRule>
  </conditionalFormatting>
  <conditionalFormatting sqref="P18:P19">
    <cfRule type="cellIs" dxfId="923" priority="63" operator="lessThan">
      <formula>0</formula>
    </cfRule>
  </conditionalFormatting>
  <conditionalFormatting sqref="Q18:Q19">
    <cfRule type="cellIs" dxfId="922" priority="61" operator="greaterThan">
      <formula>1</formula>
    </cfRule>
    <cfRule type="cellIs" dxfId="921" priority="62" operator="lessThan">
      <formula>0.8</formula>
    </cfRule>
  </conditionalFormatting>
  <conditionalFormatting sqref="R18:R19 AG18:AG19">
    <cfRule type="cellIs" dxfId="920" priority="64" operator="lessThan">
      <formula>0.8</formula>
    </cfRule>
  </conditionalFormatting>
  <conditionalFormatting sqref="O11:O14">
    <cfRule type="cellIs" dxfId="919" priority="56" operator="greaterThan">
      <formula>0</formula>
    </cfRule>
  </conditionalFormatting>
  <conditionalFormatting sqref="P11:P14">
    <cfRule type="cellIs" dxfId="918" priority="59" operator="lessThan">
      <formula>0</formula>
    </cfRule>
  </conditionalFormatting>
  <conditionalFormatting sqref="Q11:Q14">
    <cfRule type="cellIs" dxfId="917" priority="57" operator="greaterThan">
      <formula>1</formula>
    </cfRule>
    <cfRule type="cellIs" dxfId="916" priority="58" operator="lessThan">
      <formula>0.8</formula>
    </cfRule>
  </conditionalFormatting>
  <conditionalFormatting sqref="O60">
    <cfRule type="cellIs" dxfId="915" priority="51" operator="greaterThan">
      <formula>0</formula>
    </cfRule>
  </conditionalFormatting>
  <conditionalFormatting sqref="P60">
    <cfRule type="cellIs" dxfId="914" priority="54" operator="lessThan">
      <formula>0</formula>
    </cfRule>
  </conditionalFormatting>
  <conditionalFormatting sqref="Q60">
    <cfRule type="cellIs" dxfId="913" priority="52" operator="greaterThan">
      <formula>1</formula>
    </cfRule>
    <cfRule type="cellIs" dxfId="912" priority="53" operator="lessThan">
      <formula>0.8</formula>
    </cfRule>
  </conditionalFormatting>
  <conditionalFormatting sqref="R60 AG60">
    <cfRule type="cellIs" dxfId="911" priority="55" operator="lessThan">
      <formula>0.8</formula>
    </cfRule>
  </conditionalFormatting>
  <conditionalFormatting sqref="O66">
    <cfRule type="cellIs" dxfId="910" priority="46" operator="greaterThan">
      <formula>0</formula>
    </cfRule>
  </conditionalFormatting>
  <conditionalFormatting sqref="P66 AE66">
    <cfRule type="cellIs" dxfId="909" priority="49" operator="lessThan">
      <formula>0</formula>
    </cfRule>
  </conditionalFormatting>
  <conditionalFormatting sqref="Q66 AF66">
    <cfRule type="cellIs" dxfId="908" priority="47" operator="greaterThan">
      <formula>1</formula>
    </cfRule>
    <cfRule type="cellIs" dxfId="907" priority="48" operator="lessThan">
      <formula>0.8</formula>
    </cfRule>
  </conditionalFormatting>
  <conditionalFormatting sqref="R66 AG66">
    <cfRule type="cellIs" dxfId="906" priority="50" operator="lessThan">
      <formula>0.8</formula>
    </cfRule>
  </conditionalFormatting>
  <conditionalFormatting sqref="O75">
    <cfRule type="cellIs" dxfId="905" priority="41" operator="greaterThan">
      <formula>0</formula>
    </cfRule>
  </conditionalFormatting>
  <conditionalFormatting sqref="P75">
    <cfRule type="cellIs" dxfId="904" priority="44" operator="lessThan">
      <formula>0</formula>
    </cfRule>
  </conditionalFormatting>
  <conditionalFormatting sqref="Q75">
    <cfRule type="cellIs" dxfId="903" priority="42" operator="greaterThan">
      <formula>1</formula>
    </cfRule>
    <cfRule type="cellIs" dxfId="902" priority="43" operator="lessThan">
      <formula>0.8</formula>
    </cfRule>
  </conditionalFormatting>
  <conditionalFormatting sqref="R75">
    <cfRule type="cellIs" dxfId="901" priority="45" operator="lessThan">
      <formula>0.8</formula>
    </cfRule>
  </conditionalFormatting>
  <conditionalFormatting sqref="O20:O21">
    <cfRule type="cellIs" dxfId="900" priority="36" operator="greaterThan">
      <formula>0</formula>
    </cfRule>
  </conditionalFormatting>
  <conditionalFormatting sqref="P20:P21">
    <cfRule type="cellIs" dxfId="899" priority="39" operator="lessThan">
      <formula>0</formula>
    </cfRule>
  </conditionalFormatting>
  <conditionalFormatting sqref="Q20:Q21">
    <cfRule type="cellIs" dxfId="898" priority="37" operator="greaterThan">
      <formula>1</formula>
    </cfRule>
    <cfRule type="cellIs" dxfId="897" priority="38" operator="lessThan">
      <formula>0.8</formula>
    </cfRule>
  </conditionalFormatting>
  <conditionalFormatting sqref="R20:R21 AG20:AG21">
    <cfRule type="cellIs" dxfId="896" priority="40" operator="lessThan">
      <formula>0.8</formula>
    </cfRule>
  </conditionalFormatting>
  <conditionalFormatting sqref="O61">
    <cfRule type="cellIs" dxfId="895" priority="31" operator="greaterThan">
      <formula>0</formula>
    </cfRule>
  </conditionalFormatting>
  <conditionalFormatting sqref="P61">
    <cfRule type="cellIs" dxfId="894" priority="34" operator="lessThan">
      <formula>0</formula>
    </cfRule>
  </conditionalFormatting>
  <conditionalFormatting sqref="Q61">
    <cfRule type="cellIs" dxfId="893" priority="32" operator="greaterThan">
      <formula>1</formula>
    </cfRule>
    <cfRule type="cellIs" dxfId="892" priority="33" operator="lessThan">
      <formula>0.8</formula>
    </cfRule>
  </conditionalFormatting>
  <conditionalFormatting sqref="AG61 R61">
    <cfRule type="cellIs" dxfId="891" priority="35" operator="lessThan">
      <formula>0.8</formula>
    </cfRule>
  </conditionalFormatting>
  <conditionalFormatting sqref="R30 AG30">
    <cfRule type="cellIs" dxfId="890" priority="30" operator="lessThan">
      <formula>0.8</formula>
    </cfRule>
  </conditionalFormatting>
  <conditionalFormatting sqref="AG30">
    <cfRule type="cellIs" dxfId="889" priority="29" operator="lessThan">
      <formula>0.8</formula>
    </cfRule>
  </conditionalFormatting>
  <conditionalFormatting sqref="O65">
    <cfRule type="cellIs" dxfId="888" priority="24" operator="greaterThan">
      <formula>0</formula>
    </cfRule>
  </conditionalFormatting>
  <conditionalFormatting sqref="P65 AE65">
    <cfRule type="cellIs" dxfId="887" priority="27" operator="lessThan">
      <formula>0</formula>
    </cfRule>
  </conditionalFormatting>
  <conditionalFormatting sqref="Q65 AF65">
    <cfRule type="cellIs" dxfId="886" priority="25" operator="greaterThan">
      <formula>1</formula>
    </cfRule>
    <cfRule type="cellIs" dxfId="885" priority="26" operator="lessThan">
      <formula>0.8</formula>
    </cfRule>
  </conditionalFormatting>
  <conditionalFormatting sqref="R65 AG65">
    <cfRule type="cellIs" dxfId="884" priority="28" operator="lessThan">
      <formula>0.8</formula>
    </cfRule>
  </conditionalFormatting>
  <conditionalFormatting sqref="O22">
    <cfRule type="cellIs" dxfId="883" priority="19" operator="greaterThan">
      <formula>0</formula>
    </cfRule>
  </conditionalFormatting>
  <conditionalFormatting sqref="P22">
    <cfRule type="cellIs" dxfId="882" priority="22" operator="lessThan">
      <formula>0</formula>
    </cfRule>
  </conditionalFormatting>
  <conditionalFormatting sqref="Q22">
    <cfRule type="cellIs" dxfId="881" priority="20" operator="greaterThan">
      <formula>1</formula>
    </cfRule>
    <cfRule type="cellIs" dxfId="880" priority="21" operator="lessThan">
      <formula>0.8</formula>
    </cfRule>
  </conditionalFormatting>
  <conditionalFormatting sqref="AG22 R22">
    <cfRule type="cellIs" dxfId="879" priority="23" operator="lessThan">
      <formula>0.8</formula>
    </cfRule>
  </conditionalFormatting>
  <conditionalFormatting sqref="P9">
    <cfRule type="cellIs" dxfId="878" priority="18" operator="lessThan">
      <formula>0</formula>
    </cfRule>
  </conditionalFormatting>
  <conditionalFormatting sqref="P23">
    <cfRule type="cellIs" dxfId="877" priority="17" operator="lessThan">
      <formula>0</formula>
    </cfRule>
  </conditionalFormatting>
  <conditionalFormatting sqref="P31">
    <cfRule type="cellIs" dxfId="876" priority="16" operator="lessThan">
      <formula>0</formula>
    </cfRule>
  </conditionalFormatting>
  <conditionalFormatting sqref="P39">
    <cfRule type="cellIs" dxfId="875" priority="15" operator="lessThan">
      <formula>0</formula>
    </cfRule>
  </conditionalFormatting>
  <conditionalFormatting sqref="P53">
    <cfRule type="cellIs" dxfId="874" priority="14" operator="lessThan">
      <formula>0</formula>
    </cfRule>
  </conditionalFormatting>
  <conditionalFormatting sqref="P63">
    <cfRule type="cellIs" dxfId="873" priority="13" operator="lessThan">
      <formula>0</formula>
    </cfRule>
  </conditionalFormatting>
  <conditionalFormatting sqref="P68">
    <cfRule type="cellIs" dxfId="872" priority="12" operator="lessThan">
      <formula>0</formula>
    </cfRule>
  </conditionalFormatting>
  <conditionalFormatting sqref="P77">
    <cfRule type="cellIs" dxfId="871" priority="11" operator="lessThan">
      <formula>0</formula>
    </cfRule>
  </conditionalFormatting>
  <conditionalFormatting sqref="O76">
    <cfRule type="cellIs" dxfId="870" priority="6" operator="greaterThan">
      <formula>0</formula>
    </cfRule>
  </conditionalFormatting>
  <conditionalFormatting sqref="P76">
    <cfRule type="cellIs" dxfId="869" priority="9" operator="lessThan">
      <formula>0</formula>
    </cfRule>
  </conditionalFormatting>
  <conditionalFormatting sqref="Q76">
    <cfRule type="cellIs" dxfId="868" priority="7" operator="greaterThan">
      <formula>1</formula>
    </cfRule>
    <cfRule type="cellIs" dxfId="867" priority="8" operator="lessThan">
      <formula>0.8</formula>
    </cfRule>
  </conditionalFormatting>
  <conditionalFormatting sqref="R76">
    <cfRule type="cellIs" dxfId="866" priority="10" operator="lessThan">
      <formula>0.8</formula>
    </cfRule>
  </conditionalFormatting>
  <conditionalFormatting sqref="O62">
    <cfRule type="cellIs" dxfId="865" priority="1" operator="greaterThan">
      <formula>0</formula>
    </cfRule>
  </conditionalFormatting>
  <conditionalFormatting sqref="P62">
    <cfRule type="cellIs" dxfId="864" priority="4" operator="lessThan">
      <formula>0</formula>
    </cfRule>
  </conditionalFormatting>
  <conditionalFormatting sqref="Q62">
    <cfRule type="cellIs" dxfId="863" priority="2" operator="greaterThan">
      <formula>1</formula>
    </cfRule>
    <cfRule type="cellIs" dxfId="862" priority="3" operator="lessThan">
      <formula>0.8</formula>
    </cfRule>
  </conditionalFormatting>
  <conditionalFormatting sqref="AG62 R62">
    <cfRule type="cellIs" dxfId="861" priority="5" operator="lessThan">
      <formula>0.8</formula>
    </cfRule>
  </conditionalFormatting>
  <dataValidations count="1">
    <dataValidation type="list" allowBlank="1" showInputMessage="1" showErrorMessage="1" sqref="AB9 AA5:AB8 AA9:AA67 AB11:AB64 AA68:AB77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P12" sqref="P12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612" t="s">
        <v>990</v>
      </c>
      <c r="C1" s="612"/>
      <c r="D1" s="612"/>
      <c r="E1" s="612"/>
      <c r="F1" s="612"/>
      <c r="G1" s="612"/>
      <c r="H1" s="612"/>
      <c r="I1" s="612"/>
      <c r="J1" s="612"/>
      <c r="K1" s="51"/>
      <c r="L1" s="51"/>
      <c r="M1" s="51"/>
      <c r="N1" s="51"/>
      <c r="O1" s="51"/>
      <c r="P1" s="51"/>
    </row>
    <row r="2" spans="2:17" ht="27.75" customHeight="1">
      <c r="B2" s="613"/>
      <c r="C2" s="613"/>
      <c r="D2" s="613"/>
      <c r="E2" s="613"/>
      <c r="F2" s="613"/>
      <c r="G2" s="613"/>
      <c r="H2" s="613"/>
      <c r="I2" s="613"/>
      <c r="J2" s="613"/>
      <c r="K2" s="53"/>
      <c r="L2" s="53"/>
      <c r="M2" s="53"/>
      <c r="N2" s="51"/>
      <c r="O2" s="51"/>
      <c r="P2" s="51"/>
    </row>
    <row r="3" spans="2:17" ht="46.5" customHeight="1">
      <c r="B3" s="54" t="s">
        <v>991</v>
      </c>
      <c r="C3" s="614" t="str">
        <f>TEXT('0810 4度C'!A2,"yyyy.mm.ddaaaa")</f>
        <v>2026.08.10星期一</v>
      </c>
      <c r="D3" s="615"/>
      <c r="E3" s="54" t="s">
        <v>992</v>
      </c>
      <c r="F3" s="616">
        <f>'0810 4度C'!D1</f>
        <v>193169</v>
      </c>
      <c r="G3" s="617"/>
      <c r="H3" s="54" t="s">
        <v>993</v>
      </c>
      <c r="I3" s="618">
        <f>'0810 4度C'!F1</f>
        <v>6750544.6400000006</v>
      </c>
      <c r="J3" s="619"/>
      <c r="K3" s="55"/>
      <c r="L3" s="56"/>
      <c r="M3" s="57"/>
      <c r="N3" s="57"/>
    </row>
    <row r="4" spans="2:17" ht="28.5" customHeight="1">
      <c r="B4" s="620" t="s">
        <v>994</v>
      </c>
      <c r="C4" s="606" t="s">
        <v>995</v>
      </c>
      <c r="D4" s="607"/>
      <c r="E4" s="623" t="s">
        <v>996</v>
      </c>
      <c r="F4" s="624"/>
      <c r="G4" s="623" t="s">
        <v>997</v>
      </c>
      <c r="H4" s="624"/>
      <c r="I4" s="623" t="s">
        <v>998</v>
      </c>
      <c r="J4" s="624"/>
      <c r="K4" s="604" t="s">
        <v>999</v>
      </c>
      <c r="L4" s="605"/>
      <c r="M4" s="605" t="s">
        <v>1000</v>
      </c>
      <c r="N4" s="605"/>
    </row>
    <row r="5" spans="2:17" ht="28.5" customHeight="1">
      <c r="B5" s="621"/>
      <c r="C5" s="606" t="s">
        <v>1001</v>
      </c>
      <c r="D5" s="607"/>
      <c r="E5" s="606" t="s">
        <v>1002</v>
      </c>
      <c r="F5" s="607"/>
      <c r="G5" s="608" t="s">
        <v>1003</v>
      </c>
      <c r="H5" s="609"/>
      <c r="I5" s="610" t="s">
        <v>1004</v>
      </c>
      <c r="J5" s="611"/>
      <c r="K5" s="58" t="s">
        <v>1005</v>
      </c>
      <c r="L5" s="59" t="s">
        <v>1006</v>
      </c>
      <c r="M5" s="58" t="s">
        <v>1005</v>
      </c>
      <c r="N5" s="59" t="s">
        <v>1007</v>
      </c>
    </row>
    <row r="6" spans="2:17" ht="28.5" customHeight="1">
      <c r="B6" s="621"/>
      <c r="C6" s="606" t="s">
        <v>169</v>
      </c>
      <c r="D6" s="607"/>
      <c r="E6" s="598">
        <f>AVERAGE(D13:M13)</f>
        <v>158.79002492695605</v>
      </c>
      <c r="F6" s="599">
        <f>AVERAGE(D31:O31,D13:J13)</f>
        <v>167.77085368075527</v>
      </c>
      <c r="G6" s="600">
        <f>AVERAGE(D13:J13)</f>
        <v>167.77085368075527</v>
      </c>
      <c r="H6" s="601"/>
      <c r="I6" s="600">
        <f>AVERAGE(K13:M13)</f>
        <v>137.83475783475782</v>
      </c>
      <c r="J6" s="601"/>
      <c r="K6" s="602">
        <f>'0810 4度C'!Y2</f>
        <v>0</v>
      </c>
      <c r="L6" s="587">
        <f>'0810 4度C'!Z2</f>
        <v>0</v>
      </c>
      <c r="M6" s="603">
        <f>'0810 4度C'!AC2</f>
        <v>65</v>
      </c>
      <c r="N6" s="587">
        <f>'0810 4度C'!AD2</f>
        <v>0</v>
      </c>
    </row>
    <row r="7" spans="2:17" ht="28.5" customHeight="1">
      <c r="B7" s="621"/>
      <c r="C7" s="588" t="s">
        <v>170</v>
      </c>
      <c r="D7" s="589"/>
      <c r="E7" s="590">
        <f>AVERAGE(D14:M14)</f>
        <v>152.13065578031018</v>
      </c>
      <c r="F7" s="591">
        <f>AVERAGE(D32:O32,D14:J14)</f>
        <v>160.86628977628237</v>
      </c>
      <c r="G7" s="592">
        <f>AVERAGE(D14:J14)</f>
        <v>160.86628977628237</v>
      </c>
      <c r="H7" s="593"/>
      <c r="I7" s="592">
        <f>AVERAGE(K14:M14)</f>
        <v>131.74750978970852</v>
      </c>
      <c r="J7" s="593"/>
      <c r="K7" s="602"/>
      <c r="L7" s="587"/>
      <c r="M7" s="603"/>
      <c r="N7" s="587"/>
    </row>
    <row r="8" spans="2:17" ht="28.5" customHeight="1">
      <c r="B8" s="622"/>
      <c r="C8" s="588" t="s">
        <v>171</v>
      </c>
      <c r="D8" s="589"/>
      <c r="E8" s="594">
        <f>AVERAGE(D15:M15)</f>
        <v>0.95785212401465092</v>
      </c>
      <c r="F8" s="595">
        <f>AVERAGE(D15:J15,D33:O33)</f>
        <v>0.95876043657866783</v>
      </c>
      <c r="G8" s="596">
        <f>AVERAGE(D15:J15)</f>
        <v>0.95876043657866783</v>
      </c>
      <c r="H8" s="597"/>
      <c r="I8" s="596">
        <f>AVERAGE(K15:M15)</f>
        <v>0.95573272803194431</v>
      </c>
      <c r="J8" s="597"/>
      <c r="K8" s="602"/>
      <c r="L8" s="587"/>
      <c r="M8" s="603"/>
      <c r="N8" s="587"/>
    </row>
    <row r="9" spans="2:17" ht="28.5" customHeight="1" thickBot="1">
      <c r="H9" s="61"/>
      <c r="K9" s="62" t="s">
        <v>1008</v>
      </c>
      <c r="N9" s="57"/>
      <c r="O9" s="57"/>
      <c r="P9" s="57"/>
      <c r="Q9" s="57"/>
    </row>
    <row r="10" spans="2:17" ht="30" customHeight="1">
      <c r="B10" s="570" t="s">
        <v>1009</v>
      </c>
      <c r="C10" s="571"/>
      <c r="D10" s="572" t="s">
        <v>1010</v>
      </c>
      <c r="E10" s="573"/>
      <c r="F10" s="573"/>
      <c r="G10" s="573"/>
      <c r="H10" s="573"/>
      <c r="I10" s="573"/>
      <c r="J10" s="574"/>
      <c r="K10" s="575" t="s">
        <v>1011</v>
      </c>
      <c r="L10" s="576"/>
      <c r="M10" s="577"/>
      <c r="P10" s="63"/>
      <c r="Q10" s="63"/>
    </row>
    <row r="11" spans="2:17" ht="17.25" customHeight="1">
      <c r="B11" s="578" t="s">
        <v>1012</v>
      </c>
      <c r="C11" s="579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80"/>
      <c r="C12" s="581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582" t="s">
        <v>26</v>
      </c>
      <c r="C13" s="70" t="s">
        <v>188</v>
      </c>
      <c r="D13" s="71">
        <f>SUMIFS('0810 4度C'!$K:$K,'0810 4度C'!$A:$A,"新豐6線",'0810 4度C'!$B:$B,"平均")</f>
        <v>129.03225806451613</v>
      </c>
      <c r="E13" s="72">
        <f>SUMIFS('0810 4度C'!$K:$K,'0810 4度C'!$A:$A,"新豐2線",'0810 4度C'!$B:$B,"平均")</f>
        <v>84.905660377358487</v>
      </c>
      <c r="F13" s="73">
        <f>SUMIFS('0810 4度C'!$K:$K,'0810 4度C'!$A:$A,"新豐5線",'0810 4度C'!$B:$B,"平均")</f>
        <v>93.28358208955224</v>
      </c>
      <c r="G13" s="73">
        <f>SUMIFS('0810 4度C'!$K:$K,'0810 4度C'!$A:$A,"新豐7線",'0810 4度C'!$B:$B,"平均")</f>
        <v>134.78260869565219</v>
      </c>
      <c r="H13" s="73">
        <f>SUMIFS('0810 4度C'!$K:$K,'0810 4度C'!$A:$A,"新豐3線",'0810 4度C'!$B:$B,"平均")</f>
        <v>324.32432432432432</v>
      </c>
      <c r="I13" s="73">
        <f>SUMIFS('0810 4度C'!$K:$K,'0810 4度C'!$A:$A,"新豐1線",'0810 4度C'!$B:$B,"平均")</f>
        <v>115.38461538461539</v>
      </c>
      <c r="J13" s="74">
        <f>SUMIFS('0810 4度C'!$K:$K,'0810 4度C'!$A:$A,"新豐10線",'0810 4度C'!$B:$B,"平均")</f>
        <v>292.6829268292683</v>
      </c>
      <c r="K13" s="75">
        <f>SUMIFS('0810 4度C'!$K:$K,'0810 4度C'!$A:$A,"新豐8線",'0810 4度C'!$B:$B,"平均")</f>
        <v>143.58974358974359</v>
      </c>
      <c r="L13" s="76">
        <f>SUMIFS('0810 4度C'!$K:$K,'0810 4度C'!$A:$A,"新豐9線",'0810 4度C'!$B:$B,"平均")</f>
        <v>122.22222222222223</v>
      </c>
      <c r="M13" s="74">
        <f>SUMIFS('0810 4度C'!$K:$K,'0810 4度C'!$A:$A,"新豐4線",'0810 4度C'!$B:$B,"平均")</f>
        <v>147.69230769230768</v>
      </c>
    </row>
    <row r="14" spans="2:17" ht="39.6" customHeight="1">
      <c r="B14" s="583"/>
      <c r="C14" s="77" t="s">
        <v>1013</v>
      </c>
      <c r="D14" s="78">
        <f>SUMIFS('0810 4度C'!$N:$N,'0810 4度C'!$A:$A,"新豐6線",'0810 4度C'!$B:$B,"平均")</f>
        <v>124.17499539115403</v>
      </c>
      <c r="E14" s="79">
        <f>SUMIFS('0810 4度C'!$N:$N,'0810 4度C'!$A:$A,"新豐2線",'0810 4度C'!$B:$B,"平均")</f>
        <v>81.009216875337557</v>
      </c>
      <c r="F14" s="79">
        <f>SUMIFS('0810 4度C'!$N:$N,'0810 4度C'!$A:$A,"新豐5線",'0810 4度C'!$B:$B,"平均")</f>
        <v>89.566258269133215</v>
      </c>
      <c r="G14" s="79">
        <f>SUMIFS('0810 4度C'!$N:$N,'0810 4度C'!$A:$A,"新豐7線",'0810 4度C'!$B:$B,"平均")</f>
        <v>129.31059156339541</v>
      </c>
      <c r="H14" s="79">
        <f>SUMIFS('0810 4度C'!$N:$N,'0810 4度C'!$A:$A,"新豐3線",'0810 4度C'!$B:$B,"平均")</f>
        <v>311.87766686239968</v>
      </c>
      <c r="I14" s="79">
        <f>SUMIFS('0810 4度C'!$N:$N,'0810 4度C'!$A:$A,"新豐1線",'0810 4度C'!$B:$B,"平均")</f>
        <v>110.62017579276244</v>
      </c>
      <c r="J14" s="80">
        <f>SUMIFS('0810 4度C'!$N:$N,'0810 4度C'!$A:$A,"新豐10線",'0810 4度C'!$B:$B,"平均")</f>
        <v>279.50512367979422</v>
      </c>
      <c r="K14" s="81">
        <f>SUMIFS('0810 4度C'!$N:$N,'0810 4度C'!$A:$A,"新豐8線",'0810 4度C'!$B:$B,"平均")</f>
        <v>137.15296935852666</v>
      </c>
      <c r="L14" s="82">
        <f>SUMIFS('0810 4度C'!$N:$N,'0810 4度C'!$A:$A,"新豐9線",'0810 4度C'!$B:$B,"平均")</f>
        <v>116.6166477208984</v>
      </c>
      <c r="M14" s="80">
        <f>SUMIFS('0810 4度C'!$N:$N,'0810 4度C'!$A:$A,"新豐4線",'0810 4度C'!$B:$B,"平均")</f>
        <v>141.4729122897005</v>
      </c>
    </row>
    <row r="15" spans="2:17" ht="40.15" customHeight="1">
      <c r="B15" s="584"/>
      <c r="C15" s="83" t="s">
        <v>1014</v>
      </c>
      <c r="D15" s="84">
        <f t="shared" ref="D15:M15" si="0">D14/D13</f>
        <v>0.96235621428144369</v>
      </c>
      <c r="E15" s="85">
        <f t="shared" si="0"/>
        <v>0.95410855430953123</v>
      </c>
      <c r="F15" s="85">
        <f t="shared" si="0"/>
        <v>0.9601502886451081</v>
      </c>
      <c r="G15" s="85">
        <f t="shared" si="0"/>
        <v>0.95940116321228841</v>
      </c>
      <c r="H15" s="85">
        <f t="shared" si="0"/>
        <v>0.9616228061590657</v>
      </c>
      <c r="I15" s="85">
        <f t="shared" si="0"/>
        <v>0.95870819020394116</v>
      </c>
      <c r="J15" s="86">
        <f t="shared" si="0"/>
        <v>0.95497583923929696</v>
      </c>
      <c r="K15" s="84">
        <f t="shared" si="0"/>
        <v>0.95517246517545351</v>
      </c>
      <c r="L15" s="85">
        <f t="shared" si="0"/>
        <v>0.95413620862553228</v>
      </c>
      <c r="M15" s="86">
        <f t="shared" si="0"/>
        <v>0.95788951029484726</v>
      </c>
    </row>
    <row r="16" spans="2:17" ht="17.25" customHeight="1">
      <c r="B16" s="585" t="s">
        <v>1015</v>
      </c>
      <c r="C16" s="87" t="s">
        <v>1016</v>
      </c>
      <c r="D16" s="88">
        <f>VLOOKUP("新豐6線",'0810 4度C'!$A:$T,19,0)</f>
        <v>0.70833333333333337</v>
      </c>
      <c r="E16" s="89">
        <f>VLOOKUP("新豐2線",'0810 4度C'!$A:$T,19,0)</f>
        <v>8.3333333333333329E-2</v>
      </c>
      <c r="F16" s="89">
        <f>VLOOKUP("新豐5線",'0810 4度C'!$A:$T,19,0)</f>
        <v>0.20833333333333334</v>
      </c>
      <c r="G16" s="89">
        <f>VLOOKUP("新豐7線",'0810 4度C'!$A:$T,19,0)</f>
        <v>0.20833333333333334</v>
      </c>
      <c r="H16" s="89">
        <f>VLOOKUP("新豐3線",'0810 4度C'!$A:$T,19,0)</f>
        <v>0.20833333333333334</v>
      </c>
      <c r="I16" s="89">
        <f>VLOOKUP("新豐1線",'0810 4度C'!$A:$T,19,0)</f>
        <v>0.20833333333333334</v>
      </c>
      <c r="J16" s="90">
        <f>VLOOKUP("新豐10線",'0810 4度C'!$A:$T,19,0)</f>
        <v>0.20833333333333334</v>
      </c>
      <c r="K16" s="91">
        <f>VLOOKUP("新豐8線",'0810 4度C'!$A:$T,19,0)</f>
        <v>8.3333333333333329E-2</v>
      </c>
      <c r="L16" s="92">
        <f>VLOOKUP("新豐9線",'0810 4度C'!$A:$T,19,0)</f>
        <v>8.3333333333333329E-2</v>
      </c>
      <c r="M16" s="93">
        <f>VLOOKUP("新豐4線",'0810 4度C'!$A:$T,19,0)</f>
        <v>8.3333333333333329E-2</v>
      </c>
    </row>
    <row r="17" spans="2:13" ht="17.25" customHeight="1">
      <c r="B17" s="586"/>
      <c r="C17" s="87" t="s">
        <v>747</v>
      </c>
      <c r="D17" s="91">
        <f>LOOKUP(2,1/(('0810 4度C'!$A:$A="新豐6線")*('0810 4度C'!$T:$T&lt;&gt;"")),'0810 4度C'!$T:$T)</f>
        <v>0.9194444444444444</v>
      </c>
      <c r="E17" s="89">
        <f>LOOKUP(2,1/(('0810 4度C'!$A:$A="新豐2線")*('0810 4度C'!$T:$T&lt;&gt;"")),'0810 4度C'!$T:$T)</f>
        <v>0.68402777777777768</v>
      </c>
      <c r="F17" s="89">
        <f>LOOKUP(2,1/(('0810 4度C'!$A:$A="新豐5線")*('0810 4度C'!$T:$T&lt;&gt;"")),'0810 4度C'!$T:$T)</f>
        <v>0.90763888888888888</v>
      </c>
      <c r="G17" s="89">
        <f>LOOKUP(2,1/(('0810 4度C'!$A:$A="新豐7線")*('0810 4度C'!$T:$T&lt;&gt;"")),'0810 4度C'!$T:$T)</f>
        <v>0.90277777777777779</v>
      </c>
      <c r="H17" s="89">
        <f>LOOKUP(2,1/(('0810 4度C'!$A:$A="新豐3線")*('0810 4度C'!$T:$T&lt;&gt;"")),'0810 4度C'!$T:$T)</f>
        <v>0.43749999999999994</v>
      </c>
      <c r="I17" s="89">
        <f>LOOKUP(2,1/(('0810 4度C'!$A:$A="新豐1線")*('0810 4度C'!$T:$T&lt;&gt;"")),'0810 4度C'!$T:$T)</f>
        <v>0.90763888888888888</v>
      </c>
      <c r="J17" s="90">
        <f>LOOKUP(2,1/(('0810 4度C'!$A:$A="新豐10線")*('0810 4度C'!$T:$T&lt;&gt;"")),'0810 4度C'!$T:$T)</f>
        <v>0.42777777777777776</v>
      </c>
      <c r="K17" s="88">
        <f>LOOKUP(2,1/(('0810 4度C'!$A:$A="新豐8線")*('0810 4度C'!$T:$T&lt;&gt;"")),'0810 4度C'!$T:$T)</f>
        <v>0.68124999999999991</v>
      </c>
      <c r="L17" s="89">
        <f>LOOKUP(2,1/(('0810 4度C'!$A:$A="新豐9線")*('0810 4度C'!$T:$T&lt;&gt;"")),'0810 4度C'!$T:$T)</f>
        <v>0.75486111111111109</v>
      </c>
      <c r="M17" s="90">
        <f>LOOKUP(2,1/(('0810 4度C'!$A:$A="新豐4線")*('0810 4度C'!$T:$T&lt;&gt;"")),'0810 4度C'!$T:$T)</f>
        <v>0.68055555555555547</v>
      </c>
    </row>
    <row r="18" spans="2:13" ht="17.25" customHeight="1">
      <c r="B18" s="564" t="s">
        <v>1017</v>
      </c>
      <c r="C18" s="94" t="s">
        <v>1018</v>
      </c>
      <c r="D18" s="95">
        <f>SUMIFS('0810 4度C'!$Y:$Y,'0810 4度C'!$A:$A,"新豐6線",'0810 4度C'!$B:$B,"平均")</f>
        <v>0</v>
      </c>
      <c r="E18" s="96">
        <f>SUMIFS('0810 4度C'!$Y:$Y,'0810 4度C'!$A:$A,"新豐2線",'0810 4度C'!$B:$B,"平均")</f>
        <v>0</v>
      </c>
      <c r="F18" s="96">
        <f>SUMIFS('0810 4度C'!$Y:$Y,'0810 4度C'!$A:$A,"新豐5線",'0810 4度C'!$B:$B,"平均")</f>
        <v>0</v>
      </c>
      <c r="G18" s="96">
        <f>SUMIFS('0810 4度C'!$Y:$Y,'0810 4度C'!$A:$A,"新豐7線",'0810 4度C'!$B:$B,"平均")</f>
        <v>0</v>
      </c>
      <c r="H18" s="96">
        <f>SUMIFS('0810 4度C'!$Y:$Y,'0810 4度C'!$A:$A,"新豐3線",'0810 4度C'!$B:$B,"平均")</f>
        <v>0</v>
      </c>
      <c r="I18" s="96">
        <f>SUMIFS('0810 4度C'!$Y:$Y,'0810 4度C'!$A:$A,"新豐1線",'0810 4度C'!$B:$B,"平均")</f>
        <v>0</v>
      </c>
      <c r="J18" s="97">
        <f>SUMIFS('0810 4度C'!$Y:$Y,'0810 4度C'!$A:$A,"新豐10線",'0810 4度C'!$B:$B,"平均")</f>
        <v>0</v>
      </c>
      <c r="K18" s="98">
        <f>SUMIFS('0810 4度C'!$Y:$Y,'0810 4度C'!$A:$A,"新豐8線",'0810 4度C'!$B:$B,"平均")</f>
        <v>0</v>
      </c>
      <c r="L18" s="96">
        <f>SUMIFS('0810 4度C'!$Y:$Y,'0810 4度C'!$A:$A,"新豐9線",'0810 4度C'!$B:$B,"平均")</f>
        <v>0</v>
      </c>
      <c r="M18" s="97">
        <f>SUMIFS('0810 4度C'!$Y:$Y,'0810 4度C'!$A:$A,"新豐4線",'0810 4度C'!$B:$B,"平均")</f>
        <v>0</v>
      </c>
    </row>
    <row r="19" spans="2:13" ht="17.25" customHeight="1">
      <c r="B19" s="565"/>
      <c r="C19" s="94" t="s">
        <v>1019</v>
      </c>
      <c r="D19" s="95">
        <f>SUMIFS('0810 4度C'!$Z:$Z,'0810 4度C'!$A:$A,"新豐6線",'0810 4度C'!$B:$B,"平均")</f>
        <v>0</v>
      </c>
      <c r="E19" s="96">
        <f>SUMIFS('0810 4度C'!$Z:$Z,'0810 4度C'!$A:$A,"新豐2線",'0810 4度C'!$B:$B,"平均")</f>
        <v>0</v>
      </c>
      <c r="F19" s="96">
        <f>SUMIFS('0810 4度C'!$Z:$Z,'0810 4度C'!$A:$A,"新豐5線",'0810 4度C'!$B:$B,"平均")</f>
        <v>0</v>
      </c>
      <c r="G19" s="96">
        <f>SUMIFS('0810 4度C'!$Z:$Z,'0810 4度C'!$A:$A,"新豐7線",'0810 4度C'!$B:$B,"平均")</f>
        <v>0</v>
      </c>
      <c r="H19" s="96">
        <f>SUMIFS('0810 4度C'!$Z:$Z,'0810 4度C'!$A:$A,"新豐3線",'0810 4度C'!$B:$B,"平均")</f>
        <v>0</v>
      </c>
      <c r="I19" s="96">
        <f>SUMIFS('0810 4度C'!$Z:$Z,'0810 4度C'!$A:$A,"新豐1線",'0810 4度C'!$B:$B,"平均")</f>
        <v>0</v>
      </c>
      <c r="J19" s="97">
        <f>SUMIFS('0810 4度C'!$Z:$Z,'0810 4度C'!$A:$A,"新豐10線",'0810 4度C'!$B:$B,"平均")</f>
        <v>0</v>
      </c>
      <c r="K19" s="98">
        <f>SUMIFS('0810 4度C'!$Z:$Z,'0810 4度C'!$A:$A,"新豐8線",'0810 4度C'!$B:$B,"平均")</f>
        <v>0</v>
      </c>
      <c r="L19" s="96">
        <f>SUMIFS('0810 4度C'!$Z:$Z,'0810 4度C'!$A:$A,"新豐9線",'0810 4度C'!$B:$B,"平均")</f>
        <v>0</v>
      </c>
      <c r="M19" s="97">
        <f>SUMIFS('0810 4度C'!$Z:$Z,'0810 4度C'!$A:$A,"新豐4線",'0810 4度C'!$B:$B,"平均")</f>
        <v>0</v>
      </c>
    </row>
    <row r="20" spans="2:13" ht="17.25" customHeight="1">
      <c r="B20" s="564" t="s">
        <v>1020</v>
      </c>
      <c r="C20" s="94" t="s">
        <v>1018</v>
      </c>
      <c r="D20" s="95">
        <f>SUMIFS('0810 4度C'!$AC:$AC,'0810 4度C'!$A:$A,"新豐6線",'0810 4度C'!$B:$B,"平均")</f>
        <v>4</v>
      </c>
      <c r="E20" s="96">
        <f>SUMIFS('0810 4度C'!$AC:$AC,'0810 4度C'!$A:$A,"新豐2線",'0810 4度C'!$B:$B,"平均")</f>
        <v>6</v>
      </c>
      <c r="F20" s="96">
        <f>SUMIFS('0810 4度C'!$AC:$AC,'0810 4度C'!$A:$A,"新豐5線",'0810 4度C'!$B:$B,"平均")</f>
        <v>7</v>
      </c>
      <c r="G20" s="96">
        <f>SUMIFS('0810 4度C'!$AC:$AC,'0810 4度C'!$A:$A,"新豐7線",'0810 4度C'!$B:$B,"平均")</f>
        <v>8</v>
      </c>
      <c r="H20" s="96">
        <f>SUMIFS('0810 4度C'!$AC:$AC,'0810 4度C'!$A:$A,"新豐3線",'0810 4度C'!$B:$B,"平均")</f>
        <v>4</v>
      </c>
      <c r="I20" s="96">
        <f>SUMIFS('0810 4度C'!$AC:$AC,'0810 4度C'!$A:$A,"新豐1線",'0810 4度C'!$B:$B,"平均")</f>
        <v>9</v>
      </c>
      <c r="J20" s="97">
        <f>SUMIFS('0810 4度C'!$AC:$AC,'0810 4度C'!$A:$A,"新豐10線",'0810 4度C'!$B:$B,"平均")</f>
        <v>4</v>
      </c>
      <c r="K20" s="98">
        <f>SUMIFS('0810 4度C'!$AC:$AC,'0810 4度C'!$A:$A,"新豐8線",'0810 4度C'!$B:$B,"平均")</f>
        <v>7</v>
      </c>
      <c r="L20" s="96">
        <f>SUMIFS('0810 4度C'!$AC:$AC,'0810 4度C'!$A:$A,"新豐9線",'0810 4度C'!$B:$B,"平均")</f>
        <v>8</v>
      </c>
      <c r="M20" s="97">
        <f>SUMIFS('0810 4度C'!$AC:$AC,'0810 4度C'!$A:$A,"新豐4線",'0810 4度C'!$B:$B,"平均")</f>
        <v>8</v>
      </c>
    </row>
    <row r="21" spans="2:13" ht="17.25" customHeight="1">
      <c r="B21" s="565"/>
      <c r="C21" s="94" t="s">
        <v>1021</v>
      </c>
      <c r="D21" s="95">
        <f>SUMIFS('0810 4度C'!$AD:$AD,'0810 4度C'!$A:$A,"新豐6線",'0810 4度C'!$B:$B,"平均")</f>
        <v>0</v>
      </c>
      <c r="E21" s="96">
        <f>SUMIFS('0810 4度C'!$AD:$AD,'0810 4度C'!$A:$A,"新豐2線",'0810 4度C'!$B:$B,"平均")</f>
        <v>0</v>
      </c>
      <c r="F21" s="96">
        <f>SUMIFS('0810 4度C'!$AD:$AD,'0810 4度C'!$A:$A,"新豐5線",'0810 4度C'!$B:$B,"平均")</f>
        <v>0</v>
      </c>
      <c r="G21" s="96">
        <f>SUMIFS('0810 4度C'!$AD:$AD,'0810 4度C'!$A:$A,"新豐7線",'0810 4度C'!$B:$B,"平均")</f>
        <v>0</v>
      </c>
      <c r="H21" s="96">
        <f>SUMIFS('0810 4度C'!$AD:$AD,'0810 4度C'!$A:$A,"新豐3線",'0810 4度C'!$B:$B,"平均")</f>
        <v>0</v>
      </c>
      <c r="I21" s="96">
        <f>SUMIFS('0810 4度C'!$AD:$AD,'0810 4度C'!$A:$A,"新豐1線",'0810 4度C'!$B:$B,"平均")</f>
        <v>0</v>
      </c>
      <c r="J21" s="97">
        <f>SUMIFS('0810 4度C'!$AD:$AD,'0810 4度C'!$A:$A,"新豐10線",'0810 4度C'!$B:$B,"平均")</f>
        <v>0</v>
      </c>
      <c r="K21" s="98">
        <f>SUMIFS('0810 4度C'!$AD:$AD,'0810 4度C'!$A:$A,"新豐8線",'0810 4度C'!$B:$B,"平均")</f>
        <v>0</v>
      </c>
      <c r="L21" s="96">
        <f>SUMIFS('0810 4度C'!$AD:$AD,'0810 4度C'!$A:$A,"新豐9線",'0810 4度C'!$B:$B,"平均")</f>
        <v>0</v>
      </c>
      <c r="M21" s="97">
        <f>SUMIFS('0810 4度C'!$AD:$AD,'0810 4度C'!$A:$A,"新豐4線",'0810 4度C'!$B:$B,"平均")</f>
        <v>0</v>
      </c>
    </row>
    <row r="22" spans="2:13" ht="17.25" customHeight="1">
      <c r="B22" s="566" t="s">
        <v>1022</v>
      </c>
      <c r="C22" s="567"/>
      <c r="D22" s="99">
        <f>SUMIFS('0810 4度C'!$I:$I,'0810 4度C'!$A:$A,"新豐6線",'0810 4度C'!$B:$B,"平均")</f>
        <v>15.5</v>
      </c>
      <c r="E22" s="100">
        <f>SUMIFS('0810 4度C'!$I:$I,'0810 4度C'!$A:$A,"新豐2線",'0810 4度C'!$B:$B,"平均")</f>
        <v>17.666666666666668</v>
      </c>
      <c r="F22" s="100">
        <f>SUMIFS('0810 4度C'!$I:$I,'0810 4度C'!$A:$A,"新豐5線",'0810 4度C'!$B:$B,"平均")</f>
        <v>19.142857142857142</v>
      </c>
      <c r="G22" s="100">
        <f>SUMIFS('0810 4度C'!$I:$I,'0810 4度C'!$A:$A,"新豐7線",'0810 4度C'!$B:$B,"平均")</f>
        <v>14.375</v>
      </c>
      <c r="H22" s="100">
        <f>SUMIFS('0810 4度C'!$I:$I,'0810 4度C'!$A:$A,"新豐3線",'0810 4度C'!$B:$B,"平均")</f>
        <v>9.25</v>
      </c>
      <c r="I22" s="100">
        <f>SUMIFS('0810 4度C'!$I:$I,'0810 4度C'!$A:$A,"新豐1線",'0810 4度C'!$B:$B,"平均")</f>
        <v>17.333333333333332</v>
      </c>
      <c r="J22" s="101">
        <f>SUMIFS('0810 4度C'!$I:$I,'0810 4度C'!$A:$A,"新豐10線",'0810 4度C'!$B:$B,"平均")</f>
        <v>10.25</v>
      </c>
      <c r="K22" s="99">
        <f>SUMIFS('0810 4度C'!$I:$I,'0810 4度C'!$A:$A,"新豐8線",'0810 4度C'!$B:$B,"平均")</f>
        <v>16.714285714285715</v>
      </c>
      <c r="L22" s="100">
        <f>SUMIFS('0810 4度C'!$I:$I,'0810 4度C'!$A:$A,"新豐9線",'0810 4度C'!$B:$B,"平均")</f>
        <v>18</v>
      </c>
      <c r="M22" s="101">
        <f>SUMIFS('0810 4度C'!$I:$I,'0810 4度C'!$A:$A,"新豐4線",'0810 4度C'!$B:$B,"平均")</f>
        <v>16.25</v>
      </c>
    </row>
    <row r="23" spans="2:13" ht="17.25" customHeight="1">
      <c r="B23" s="566" t="s">
        <v>1023</v>
      </c>
      <c r="C23" s="567"/>
      <c r="D23" s="102" t="s">
        <v>202</v>
      </c>
      <c r="E23" s="103" t="s">
        <v>203</v>
      </c>
      <c r="F23" s="103" t="s">
        <v>1024</v>
      </c>
      <c r="G23" s="103" t="s">
        <v>1024</v>
      </c>
      <c r="H23" s="103" t="s">
        <v>205</v>
      </c>
      <c r="I23" s="103" t="s">
        <v>202</v>
      </c>
      <c r="J23" s="104" t="s">
        <v>205</v>
      </c>
      <c r="K23" s="102" t="s">
        <v>1025</v>
      </c>
      <c r="L23" s="103" t="s">
        <v>1025</v>
      </c>
      <c r="M23" s="104" t="s">
        <v>1025</v>
      </c>
    </row>
    <row r="24" spans="2:13" ht="17.25" customHeight="1">
      <c r="B24" s="566" t="s">
        <v>1026</v>
      </c>
      <c r="C24" s="567"/>
      <c r="D24" s="102"/>
      <c r="E24" s="103"/>
      <c r="F24" s="103" t="s">
        <v>1027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68" t="s">
        <v>1028</v>
      </c>
      <c r="C25" s="569"/>
      <c r="D25" s="105"/>
      <c r="E25" s="106" t="s">
        <v>1029</v>
      </c>
      <c r="F25" s="562" t="s">
        <v>1030</v>
      </c>
      <c r="G25" s="563"/>
      <c r="H25" s="106" t="s">
        <v>1031</v>
      </c>
      <c r="I25" s="106" t="s">
        <v>1032</v>
      </c>
      <c r="J25" s="107" t="s">
        <v>989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860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80"/>
  <sheetViews>
    <sheetView topLeftCell="H1" zoomScale="80" zoomScaleNormal="80" workbookViewId="0">
      <pane ySplit="4" topLeftCell="A53" activePane="bottomLeft" state="frozen"/>
      <selection activeCell="A9" sqref="A9"/>
      <selection pane="bottomLeft" activeCell="A5" sqref="A5:A9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41" customWidth="1"/>
    <col min="20" max="20" width="7.625" style="41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1033</v>
      </c>
      <c r="B1" s="1"/>
      <c r="C1" s="2" t="s">
        <v>1034</v>
      </c>
      <c r="D1" s="3">
        <f>SUM(F5:F79)</f>
        <v>193169</v>
      </c>
      <c r="E1" s="232" t="s">
        <v>1035</v>
      </c>
      <c r="F1" s="1">
        <f>SUM(G5:G79)</f>
        <v>6750544.6400000006</v>
      </c>
      <c r="G1" s="1" t="s">
        <v>1036</v>
      </c>
      <c r="H1" s="5">
        <f>L9+L16+L55+L65+L24+L70+L41+L50+L33+L79</f>
        <v>154.48214285714286</v>
      </c>
      <c r="I1" s="676" t="s">
        <v>1037</v>
      </c>
      <c r="J1" s="676"/>
      <c r="K1" s="676"/>
      <c r="L1" s="676" t="s">
        <v>1038</v>
      </c>
      <c r="M1" s="676"/>
      <c r="N1" s="676"/>
      <c r="O1" s="676" t="s">
        <v>1039</v>
      </c>
      <c r="P1" s="676"/>
      <c r="Q1" s="676"/>
      <c r="R1" s="676"/>
      <c r="S1" s="676" t="s">
        <v>1040</v>
      </c>
      <c r="T1" s="676"/>
      <c r="U1" s="676"/>
      <c r="V1" s="676"/>
      <c r="W1" s="676"/>
      <c r="X1" s="676"/>
      <c r="Y1" s="6" t="s">
        <v>1041</v>
      </c>
      <c r="Z1" s="7" t="s">
        <v>1042</v>
      </c>
      <c r="AA1" s="677" t="s">
        <v>1043</v>
      </c>
      <c r="AB1" s="677"/>
      <c r="AC1" s="8" t="s">
        <v>1041</v>
      </c>
      <c r="AD1" s="7" t="s">
        <v>1044</v>
      </c>
      <c r="AE1" s="676" t="s">
        <v>1045</v>
      </c>
      <c r="AF1" s="678"/>
      <c r="AG1" s="678"/>
    </row>
    <row r="2" spans="1:33" ht="26.25" customHeight="1">
      <c r="A2" s="35">
        <v>46244</v>
      </c>
      <c r="B2" s="36" t="s">
        <v>378</v>
      </c>
      <c r="C2" s="2" t="s">
        <v>1046</v>
      </c>
      <c r="D2" s="10">
        <f>AVERAGE(N9,N16,N55,N65,N24,N70,N33,N41,N50,N79)</f>
        <v>152.13065578031018</v>
      </c>
      <c r="E2" s="11" t="s">
        <v>14</v>
      </c>
      <c r="F2" s="12">
        <f>F1/D1</f>
        <v>34.946314574284699</v>
      </c>
      <c r="G2" s="1" t="s">
        <v>1047</v>
      </c>
      <c r="H2" s="231">
        <f>COUNT(H5:H79)</f>
        <v>13</v>
      </c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14">
        <f>SUM(Y9+Y16+Y24+Y33+Y41+Y50+Y55+Y65+Y70+Y79)</f>
        <v>0</v>
      </c>
      <c r="Z2" s="14">
        <f>SUM(Z9+Z16+Z24+Z33+Z41+Z50+Z55+Z65+Z70+Z79)</f>
        <v>0</v>
      </c>
      <c r="AA2" s="677"/>
      <c r="AB2" s="677"/>
      <c r="AC2" s="14">
        <v>65</v>
      </c>
      <c r="AD2" s="14">
        <f>SUM(AD9+AD16+AD24+AD33+AD41+AD50+AD55+AD65+AD70+AD79)</f>
        <v>0</v>
      </c>
      <c r="AE2" s="678"/>
      <c r="AF2" s="678"/>
      <c r="AG2" s="678"/>
    </row>
    <row r="3" spans="1:33" ht="40.5" customHeight="1">
      <c r="A3" s="632" t="s">
        <v>1048</v>
      </c>
      <c r="B3" s="632" t="s">
        <v>1049</v>
      </c>
      <c r="C3" s="632" t="s">
        <v>1050</v>
      </c>
      <c r="D3" s="632"/>
      <c r="E3" s="674" t="s">
        <v>1051</v>
      </c>
      <c r="F3" s="632" t="s">
        <v>1052</v>
      </c>
      <c r="G3" s="674" t="s">
        <v>1053</v>
      </c>
      <c r="H3" s="667" t="s">
        <v>1054</v>
      </c>
      <c r="I3" s="665" t="s">
        <v>1055</v>
      </c>
      <c r="J3" s="662" t="s">
        <v>1056</v>
      </c>
      <c r="K3" s="672" t="s">
        <v>1046</v>
      </c>
      <c r="L3" s="665" t="s">
        <v>1055</v>
      </c>
      <c r="M3" s="662" t="s">
        <v>1056</v>
      </c>
      <c r="N3" s="672" t="s">
        <v>1046</v>
      </c>
      <c r="O3" s="665" t="s">
        <v>1055</v>
      </c>
      <c r="P3" s="672" t="s">
        <v>1046</v>
      </c>
      <c r="Q3" s="663" t="s">
        <v>1057</v>
      </c>
      <c r="R3" s="641" t="s">
        <v>1058</v>
      </c>
      <c r="S3" s="673" t="s">
        <v>29</v>
      </c>
      <c r="T3" s="673"/>
      <c r="U3" s="667" t="s">
        <v>30</v>
      </c>
      <c r="V3" s="667" t="s">
        <v>1059</v>
      </c>
      <c r="W3" s="632" t="s">
        <v>1060</v>
      </c>
      <c r="X3" s="632"/>
      <c r="Y3" s="668" t="s">
        <v>1061</v>
      </c>
      <c r="Z3" s="631"/>
      <c r="AA3" s="669" t="s">
        <v>1062</v>
      </c>
      <c r="AB3" s="670"/>
      <c r="AC3" s="668" t="s">
        <v>1063</v>
      </c>
      <c r="AD3" s="631"/>
      <c r="AE3" s="662" t="s">
        <v>1056</v>
      </c>
      <c r="AF3" s="663" t="s">
        <v>1057</v>
      </c>
      <c r="AG3" s="641" t="s">
        <v>1058</v>
      </c>
    </row>
    <row r="4" spans="1:33" ht="15.75" customHeight="1">
      <c r="A4" s="632"/>
      <c r="B4" s="632"/>
      <c r="C4" s="632"/>
      <c r="D4" s="632"/>
      <c r="E4" s="675"/>
      <c r="F4" s="632"/>
      <c r="G4" s="675"/>
      <c r="H4" s="667"/>
      <c r="I4" s="665"/>
      <c r="J4" s="662"/>
      <c r="K4" s="672"/>
      <c r="L4" s="665"/>
      <c r="M4" s="662"/>
      <c r="N4" s="672"/>
      <c r="O4" s="665"/>
      <c r="P4" s="672"/>
      <c r="Q4" s="663"/>
      <c r="R4" s="641"/>
      <c r="S4" s="237" t="s">
        <v>39</v>
      </c>
      <c r="T4" s="237" t="s">
        <v>40</v>
      </c>
      <c r="U4" s="667"/>
      <c r="V4" s="667"/>
      <c r="W4" s="232" t="s">
        <v>1064</v>
      </c>
      <c r="X4" s="232" t="s">
        <v>1065</v>
      </c>
      <c r="Y4" s="236" t="s">
        <v>1066</v>
      </c>
      <c r="Z4" s="236" t="s">
        <v>1067</v>
      </c>
      <c r="AA4" s="671"/>
      <c r="AB4" s="670"/>
      <c r="AC4" s="236" t="s">
        <v>1068</v>
      </c>
      <c r="AD4" s="236" t="s">
        <v>1069</v>
      </c>
      <c r="AE4" s="662"/>
      <c r="AF4" s="663"/>
      <c r="AG4" s="641"/>
    </row>
    <row r="5" spans="1:33">
      <c r="A5" s="664" t="s">
        <v>1070</v>
      </c>
      <c r="B5" s="42" t="s">
        <v>92</v>
      </c>
      <c r="C5" s="666" t="s">
        <v>93</v>
      </c>
      <c r="D5" s="666"/>
      <c r="E5" s="42">
        <v>50.92</v>
      </c>
      <c r="F5" s="237">
        <v>2593</v>
      </c>
      <c r="G5" s="232">
        <f t="shared" ref="G5:G8" si="0">E5*F5</f>
        <v>132035.56</v>
      </c>
      <c r="H5" s="37" t="s">
        <v>91</v>
      </c>
      <c r="I5" s="233">
        <v>15</v>
      </c>
      <c r="J5" s="39">
        <v>2000</v>
      </c>
      <c r="K5" s="17">
        <f t="shared" ref="K5:K68" si="1">J5/I5</f>
        <v>133.33333333333334</v>
      </c>
      <c r="L5" s="233">
        <v>15</v>
      </c>
      <c r="M5" s="18">
        <f t="shared" ref="M5:M8" si="2">F5/V5*60</f>
        <v>1920.74074074074</v>
      </c>
      <c r="N5" s="17">
        <f t="shared" ref="N5:N68" si="3">M5/L5</f>
        <v>128.04938271604934</v>
      </c>
      <c r="O5" s="19">
        <f t="shared" ref="O5:O68" si="4">L5-I5</f>
        <v>0</v>
      </c>
      <c r="P5" s="20">
        <f t="shared" ref="P5:P68" si="5">N5-K5</f>
        <v>-5.2839506172840061</v>
      </c>
      <c r="Q5" s="234">
        <f t="shared" ref="Q5:Q68" si="6">N5/K5</f>
        <v>0.96037037037036999</v>
      </c>
      <c r="R5" s="637">
        <f>Q9</f>
        <v>0.96235621428144369</v>
      </c>
      <c r="S5" s="40">
        <v>0.70833333333333337</v>
      </c>
      <c r="T5" s="40">
        <v>0.76458333333333339</v>
      </c>
      <c r="U5" s="232"/>
      <c r="V5" s="235">
        <f t="shared" ref="V5:V8" si="7">(T5-S5)*24*60</f>
        <v>81.000000000000028</v>
      </c>
      <c r="W5" s="23"/>
      <c r="X5" s="23"/>
      <c r="Y5" s="24"/>
      <c r="Z5" s="24"/>
      <c r="AA5" s="632"/>
      <c r="AB5" s="632"/>
      <c r="AC5" s="25">
        <v>4</v>
      </c>
      <c r="AD5" s="25"/>
      <c r="AE5" s="19">
        <f t="shared" ref="AE5:AE64" si="8">M5-J5</f>
        <v>-79.259259259260034</v>
      </c>
      <c r="AF5" s="234">
        <f t="shared" ref="AF5:AF68" si="9">M5/J5</f>
        <v>0.96037037037036999</v>
      </c>
      <c r="AG5" s="637">
        <f>AF9</f>
        <v>0.96235621428144369</v>
      </c>
    </row>
    <row r="6" spans="1:33">
      <c r="A6" s="665" t="s">
        <v>1070</v>
      </c>
      <c r="B6" s="42" t="s">
        <v>92</v>
      </c>
      <c r="C6" s="666" t="s">
        <v>94</v>
      </c>
      <c r="D6" s="666"/>
      <c r="E6" s="42">
        <v>50.98</v>
      </c>
      <c r="F6" s="237">
        <v>1000</v>
      </c>
      <c r="G6" s="232">
        <f t="shared" si="0"/>
        <v>50980</v>
      </c>
      <c r="H6" s="37">
        <v>2</v>
      </c>
      <c r="I6" s="233">
        <v>16</v>
      </c>
      <c r="J6" s="39">
        <v>2000</v>
      </c>
      <c r="K6" s="17">
        <f t="shared" si="1"/>
        <v>125</v>
      </c>
      <c r="L6" s="233">
        <v>16</v>
      </c>
      <c r="M6" s="18">
        <f t="shared" si="2"/>
        <v>1935.483870967739</v>
      </c>
      <c r="N6" s="17">
        <f t="shared" si="3"/>
        <v>120.96774193548369</v>
      </c>
      <c r="O6" s="19">
        <f t="shared" si="4"/>
        <v>0</v>
      </c>
      <c r="P6" s="20">
        <f t="shared" si="5"/>
        <v>-4.0322580645163129</v>
      </c>
      <c r="Q6" s="234">
        <f t="shared" si="6"/>
        <v>0.96774193548386944</v>
      </c>
      <c r="R6" s="637"/>
      <c r="S6" s="40">
        <v>0.7680555555555556</v>
      </c>
      <c r="T6" s="40">
        <v>0.78958333333333341</v>
      </c>
      <c r="U6" s="232">
        <f t="shared" ref="U6:U8" si="10">IF(S6=TIME(17,0,0),"",(S6-T5)*24*60)</f>
        <v>4.9999999999999822</v>
      </c>
      <c r="V6" s="235">
        <f t="shared" si="7"/>
        <v>31.00000000000005</v>
      </c>
      <c r="W6" s="23"/>
      <c r="X6" s="23"/>
      <c r="Y6" s="23"/>
      <c r="Z6" s="23"/>
      <c r="AA6" s="632"/>
      <c r="AB6" s="632"/>
      <c r="AC6" s="25"/>
      <c r="AD6" s="25"/>
      <c r="AE6" s="19">
        <f t="shared" si="8"/>
        <v>-64.516129032261006</v>
      </c>
      <c r="AF6" s="234">
        <f t="shared" si="9"/>
        <v>0.96774193548386944</v>
      </c>
      <c r="AG6" s="637"/>
    </row>
    <row r="7" spans="1:33">
      <c r="A7" s="665" t="s">
        <v>1070</v>
      </c>
      <c r="B7" s="42" t="s">
        <v>92</v>
      </c>
      <c r="C7" s="660" t="s">
        <v>109</v>
      </c>
      <c r="D7" s="661"/>
      <c r="E7" s="42">
        <v>50.49</v>
      </c>
      <c r="F7" s="237">
        <v>2198</v>
      </c>
      <c r="G7" s="232">
        <f t="shared" si="0"/>
        <v>110977.02</v>
      </c>
      <c r="H7" s="37" t="s">
        <v>91</v>
      </c>
      <c r="I7" s="233">
        <v>15</v>
      </c>
      <c r="J7" s="39">
        <v>2000</v>
      </c>
      <c r="K7" s="17">
        <f t="shared" si="1"/>
        <v>133.33333333333334</v>
      </c>
      <c r="L7" s="233">
        <v>15</v>
      </c>
      <c r="M7" s="18">
        <f t="shared" si="2"/>
        <v>1911.3043478260893</v>
      </c>
      <c r="N7" s="17">
        <f t="shared" si="3"/>
        <v>127.42028985507262</v>
      </c>
      <c r="O7" s="19">
        <f t="shared" si="4"/>
        <v>0</v>
      </c>
      <c r="P7" s="20">
        <f t="shared" si="5"/>
        <v>-5.9130434782607182</v>
      </c>
      <c r="Q7" s="234">
        <f t="shared" si="6"/>
        <v>0.95565217391304458</v>
      </c>
      <c r="R7" s="637"/>
      <c r="S7" s="40">
        <v>0.79305555555555562</v>
      </c>
      <c r="T7" s="40">
        <v>0.84097222222222223</v>
      </c>
      <c r="U7" s="232">
        <f t="shared" si="10"/>
        <v>4.9999999999999822</v>
      </c>
      <c r="V7" s="235">
        <f t="shared" si="7"/>
        <v>68.999999999999915</v>
      </c>
      <c r="W7" s="23">
        <f>T7</f>
        <v>0.84097222222222223</v>
      </c>
      <c r="X7" s="23">
        <f>S8</f>
        <v>0.88263888888888886</v>
      </c>
      <c r="Y7" s="26"/>
      <c r="Z7" s="26"/>
      <c r="AA7" s="627"/>
      <c r="AB7" s="628"/>
      <c r="AC7" s="27"/>
      <c r="AD7" s="27"/>
      <c r="AE7" s="19">
        <f t="shared" si="8"/>
        <v>-88.69565217391073</v>
      </c>
      <c r="AF7" s="234">
        <f t="shared" si="9"/>
        <v>0.95565217391304469</v>
      </c>
      <c r="AG7" s="637"/>
    </row>
    <row r="8" spans="1:33">
      <c r="A8" s="665" t="s">
        <v>1070</v>
      </c>
      <c r="B8" s="42" t="s">
        <v>92</v>
      </c>
      <c r="C8" s="660" t="s">
        <v>94</v>
      </c>
      <c r="D8" s="661"/>
      <c r="E8" s="42">
        <v>50.98</v>
      </c>
      <c r="F8" s="237">
        <v>1706</v>
      </c>
      <c r="G8" s="232">
        <f t="shared" si="0"/>
        <v>86971.87999999999</v>
      </c>
      <c r="H8" s="37" t="s">
        <v>91</v>
      </c>
      <c r="I8" s="233">
        <v>16</v>
      </c>
      <c r="J8" s="39">
        <v>2000</v>
      </c>
      <c r="K8" s="17">
        <f t="shared" si="1"/>
        <v>125</v>
      </c>
      <c r="L8" s="233">
        <v>16</v>
      </c>
      <c r="M8" s="18">
        <f t="shared" si="2"/>
        <v>1931.320754716982</v>
      </c>
      <c r="N8" s="17">
        <f t="shared" si="3"/>
        <v>120.70754716981138</v>
      </c>
      <c r="O8" s="19">
        <f t="shared" si="4"/>
        <v>0</v>
      </c>
      <c r="P8" s="20">
        <f t="shared" si="5"/>
        <v>-4.2924528301886227</v>
      </c>
      <c r="Q8" s="234">
        <f t="shared" si="6"/>
        <v>0.96566037735849097</v>
      </c>
      <c r="R8" s="637"/>
      <c r="S8" s="40">
        <v>0.88263888888888886</v>
      </c>
      <c r="T8" s="40">
        <v>0.9194444444444444</v>
      </c>
      <c r="U8" s="232">
        <f t="shared" si="10"/>
        <v>59.999999999999943</v>
      </c>
      <c r="V8" s="235">
        <f t="shared" si="7"/>
        <v>52.999999999999972</v>
      </c>
      <c r="W8" s="28"/>
      <c r="X8" s="28"/>
      <c r="Y8" s="136"/>
      <c r="Z8" s="136"/>
      <c r="AA8" s="627"/>
      <c r="AB8" s="628"/>
      <c r="AC8" s="27"/>
      <c r="AD8" s="27"/>
      <c r="AE8" s="19">
        <f t="shared" si="8"/>
        <v>-68.679245283017963</v>
      </c>
      <c r="AF8" s="234">
        <f t="shared" si="9"/>
        <v>0.96566037735849097</v>
      </c>
      <c r="AG8" s="637"/>
    </row>
    <row r="9" spans="1:33">
      <c r="A9" s="665" t="s">
        <v>1070</v>
      </c>
      <c r="B9" s="42" t="s">
        <v>1071</v>
      </c>
      <c r="C9" s="638"/>
      <c r="D9" s="638"/>
      <c r="E9" s="240"/>
      <c r="F9" s="44"/>
      <c r="G9" s="17"/>
      <c r="H9" s="237"/>
      <c r="I9" s="29">
        <v>15.5</v>
      </c>
      <c r="J9" s="39">
        <v>2000</v>
      </c>
      <c r="K9" s="17">
        <f t="shared" si="1"/>
        <v>129.03225806451613</v>
      </c>
      <c r="L9" s="29">
        <v>15.5</v>
      </c>
      <c r="M9" s="18">
        <f>AVERAGE(M5:M8)</f>
        <v>1924.7124285628875</v>
      </c>
      <c r="N9" s="17">
        <f t="shared" si="3"/>
        <v>124.17499539115403</v>
      </c>
      <c r="O9" s="19">
        <f t="shared" si="4"/>
        <v>0</v>
      </c>
      <c r="P9" s="20">
        <f t="shared" si="5"/>
        <v>-4.8572626733621007</v>
      </c>
      <c r="Q9" s="234">
        <f t="shared" si="6"/>
        <v>0.96235621428144369</v>
      </c>
      <c r="R9" s="637"/>
      <c r="S9" s="40"/>
      <c r="T9" s="40"/>
      <c r="U9" s="232"/>
      <c r="V9" s="235"/>
      <c r="W9" s="17"/>
      <c r="X9" s="17"/>
      <c r="Y9" s="30">
        <f>SUM(Y5:Y8)</f>
        <v>0</v>
      </c>
      <c r="Z9" s="30">
        <f>SUM(Z5:Z8)</f>
        <v>0</v>
      </c>
      <c r="AA9" s="631"/>
      <c r="AB9" s="631"/>
      <c r="AC9" s="30">
        <v>4</v>
      </c>
      <c r="AD9" s="30">
        <f>SUM(AD5:AD8)</f>
        <v>0</v>
      </c>
      <c r="AE9" s="19">
        <f t="shared" si="8"/>
        <v>-75.287571437112547</v>
      </c>
      <c r="AF9" s="234">
        <f t="shared" si="9"/>
        <v>0.96235621428144369</v>
      </c>
      <c r="AG9" s="637"/>
    </row>
    <row r="10" spans="1:33" ht="15.75" customHeight="1">
      <c r="A10" s="659" t="s">
        <v>1072</v>
      </c>
      <c r="B10" s="42" t="s">
        <v>96</v>
      </c>
      <c r="C10" s="660" t="s">
        <v>97</v>
      </c>
      <c r="D10" s="661"/>
      <c r="E10" s="42">
        <v>39.799999999999997</v>
      </c>
      <c r="F10" s="237">
        <v>4100</v>
      </c>
      <c r="G10" s="232">
        <f t="shared" ref="G10:G15" si="11">E10*F10</f>
        <v>163180</v>
      </c>
      <c r="H10" s="37">
        <v>2</v>
      </c>
      <c r="I10" s="233">
        <v>17</v>
      </c>
      <c r="J10" s="39">
        <v>1500</v>
      </c>
      <c r="K10" s="17">
        <f t="shared" si="1"/>
        <v>88.235294117647058</v>
      </c>
      <c r="L10" s="233">
        <v>17</v>
      </c>
      <c r="M10" s="18">
        <f t="shared" ref="M10:M15" si="12">F10/V10*60</f>
        <v>1430.2325581395351</v>
      </c>
      <c r="N10" s="17">
        <f t="shared" si="3"/>
        <v>84.131326949384416</v>
      </c>
      <c r="O10" s="19">
        <f t="shared" si="4"/>
        <v>0</v>
      </c>
      <c r="P10" s="20">
        <f t="shared" si="5"/>
        <v>-4.103967168262642</v>
      </c>
      <c r="Q10" s="234">
        <f t="shared" si="6"/>
        <v>0.9534883720930234</v>
      </c>
      <c r="R10" s="637">
        <f>Q16</f>
        <v>0.95410855430953123</v>
      </c>
      <c r="S10" s="40">
        <v>8.3333333333333329E-2</v>
      </c>
      <c r="T10" s="40">
        <v>0.20277777777777778</v>
      </c>
      <c r="U10" s="232"/>
      <c r="V10" s="235">
        <f t="shared" ref="V10:V15" si="13">(T10-S10)*24*60</f>
        <v>172</v>
      </c>
      <c r="W10" s="23">
        <f>T10</f>
        <v>0.20277777777777778</v>
      </c>
      <c r="X10" s="23">
        <f>S11</f>
        <v>0.22291666666666668</v>
      </c>
      <c r="Y10" s="23"/>
      <c r="Z10" s="23"/>
      <c r="AA10" s="632"/>
      <c r="AB10" s="632"/>
      <c r="AC10" s="25">
        <v>6</v>
      </c>
      <c r="AD10" s="25"/>
      <c r="AE10" s="19">
        <f t="shared" si="8"/>
        <v>-69.767441860464942</v>
      </c>
      <c r="AF10" s="234">
        <f t="shared" si="9"/>
        <v>0.9534883720930234</v>
      </c>
      <c r="AG10" s="637">
        <f>AF16</f>
        <v>0.95410855430953123</v>
      </c>
    </row>
    <row r="11" spans="1:33" ht="15.75" customHeight="1">
      <c r="A11" s="659" t="s">
        <v>1072</v>
      </c>
      <c r="B11" s="42" t="s">
        <v>96</v>
      </c>
      <c r="C11" s="660" t="s">
        <v>98</v>
      </c>
      <c r="D11" s="661"/>
      <c r="E11" s="42">
        <v>39.46</v>
      </c>
      <c r="F11" s="237">
        <v>2928</v>
      </c>
      <c r="G11" s="232">
        <f t="shared" si="11"/>
        <v>115538.88</v>
      </c>
      <c r="H11" s="37" t="s">
        <v>91</v>
      </c>
      <c r="I11" s="233">
        <v>15</v>
      </c>
      <c r="J11" s="39">
        <v>1500</v>
      </c>
      <c r="K11" s="17">
        <f t="shared" si="1"/>
        <v>100</v>
      </c>
      <c r="L11" s="233">
        <v>15</v>
      </c>
      <c r="M11" s="18">
        <f t="shared" si="12"/>
        <v>1428.2926829268295</v>
      </c>
      <c r="N11" s="17">
        <f t="shared" si="3"/>
        <v>95.219512195121965</v>
      </c>
      <c r="O11" s="19">
        <f t="shared" si="4"/>
        <v>0</v>
      </c>
      <c r="P11" s="20">
        <f t="shared" si="5"/>
        <v>-4.7804878048780353</v>
      </c>
      <c r="Q11" s="234">
        <f t="shared" si="6"/>
        <v>0.95219512195121969</v>
      </c>
      <c r="R11" s="637"/>
      <c r="S11" s="40">
        <v>0.22291666666666668</v>
      </c>
      <c r="T11" s="40">
        <v>0.30833333333333335</v>
      </c>
      <c r="U11" s="232">
        <f t="shared" ref="U11:U15" si="14">IF(S11=TIME(17,0,0),"",(S11-T10)*24*60)</f>
        <v>29.000000000000018</v>
      </c>
      <c r="V11" s="235">
        <f t="shared" si="13"/>
        <v>122.99999999999999</v>
      </c>
      <c r="W11" s="23"/>
      <c r="X11" s="23"/>
      <c r="Y11" s="23"/>
      <c r="Z11" s="23"/>
      <c r="AA11" s="632"/>
      <c r="AB11" s="632"/>
      <c r="AC11" s="25"/>
      <c r="AD11" s="25"/>
      <c r="AE11" s="19">
        <f t="shared" si="8"/>
        <v>-71.707317073170543</v>
      </c>
      <c r="AF11" s="234">
        <f t="shared" si="9"/>
        <v>0.95219512195121969</v>
      </c>
      <c r="AG11" s="637"/>
    </row>
    <row r="12" spans="1:33" ht="15.75" customHeight="1">
      <c r="A12" s="659" t="s">
        <v>1072</v>
      </c>
      <c r="B12" s="42" t="s">
        <v>96</v>
      </c>
      <c r="C12" s="660" t="s">
        <v>99</v>
      </c>
      <c r="D12" s="661"/>
      <c r="E12" s="42">
        <v>39.520000000000003</v>
      </c>
      <c r="F12" s="237">
        <v>2569</v>
      </c>
      <c r="G12" s="232">
        <f t="shared" si="11"/>
        <v>101526.88</v>
      </c>
      <c r="H12" s="37" t="s">
        <v>91</v>
      </c>
      <c r="I12" s="233">
        <v>19</v>
      </c>
      <c r="J12" s="39">
        <v>1500</v>
      </c>
      <c r="K12" s="17">
        <f t="shared" si="1"/>
        <v>78.94736842105263</v>
      </c>
      <c r="L12" s="233">
        <v>19</v>
      </c>
      <c r="M12" s="18">
        <f t="shared" si="12"/>
        <v>1440.5607476635512</v>
      </c>
      <c r="N12" s="17">
        <f t="shared" si="3"/>
        <v>75.818986719134273</v>
      </c>
      <c r="O12" s="19">
        <f t="shared" si="4"/>
        <v>0</v>
      </c>
      <c r="P12" s="20">
        <f t="shared" si="5"/>
        <v>-3.1283817019183573</v>
      </c>
      <c r="Q12" s="234">
        <f t="shared" si="6"/>
        <v>0.96037383177570079</v>
      </c>
      <c r="R12" s="637"/>
      <c r="S12" s="40">
        <v>0.31180555555555556</v>
      </c>
      <c r="T12" s="40">
        <v>0.38611111111111113</v>
      </c>
      <c r="U12" s="232">
        <f t="shared" si="14"/>
        <v>4.9999999999999822</v>
      </c>
      <c r="V12" s="235">
        <f t="shared" si="13"/>
        <v>107.00000000000001</v>
      </c>
      <c r="W12" s="23"/>
      <c r="X12" s="23"/>
      <c r="Y12" s="23"/>
      <c r="Z12" s="23"/>
      <c r="AA12" s="632"/>
      <c r="AB12" s="632"/>
      <c r="AC12" s="25"/>
      <c r="AD12" s="25"/>
      <c r="AE12" s="19">
        <f t="shared" si="8"/>
        <v>-59.439252336448817</v>
      </c>
      <c r="AF12" s="234">
        <f t="shared" si="9"/>
        <v>0.96037383177570079</v>
      </c>
      <c r="AG12" s="637"/>
    </row>
    <row r="13" spans="1:33" ht="15.75" customHeight="1">
      <c r="A13" s="659" t="s">
        <v>1072</v>
      </c>
      <c r="B13" s="42" t="s">
        <v>96</v>
      </c>
      <c r="C13" s="660" t="s">
        <v>100</v>
      </c>
      <c r="D13" s="661"/>
      <c r="E13" s="42">
        <v>39.619999999999997</v>
      </c>
      <c r="F13" s="237">
        <v>2900</v>
      </c>
      <c r="G13" s="232">
        <f t="shared" si="11"/>
        <v>114897.99999999999</v>
      </c>
      <c r="H13" s="37">
        <v>2</v>
      </c>
      <c r="I13" s="233">
        <v>19</v>
      </c>
      <c r="J13" s="39">
        <v>1500</v>
      </c>
      <c r="K13" s="17">
        <f t="shared" si="1"/>
        <v>78.94736842105263</v>
      </c>
      <c r="L13" s="233">
        <v>19</v>
      </c>
      <c r="M13" s="18">
        <f t="shared" si="12"/>
        <v>1426.2295081967218</v>
      </c>
      <c r="N13" s="17">
        <f t="shared" si="3"/>
        <v>75.064710957722198</v>
      </c>
      <c r="O13" s="19">
        <f t="shared" si="4"/>
        <v>0</v>
      </c>
      <c r="P13" s="20">
        <f t="shared" si="5"/>
        <v>-3.8826574633304318</v>
      </c>
      <c r="Q13" s="234">
        <f t="shared" si="6"/>
        <v>0.95081967213114782</v>
      </c>
      <c r="R13" s="637"/>
      <c r="S13" s="40">
        <v>0.39027777777777778</v>
      </c>
      <c r="T13" s="40">
        <v>0.47499999999999998</v>
      </c>
      <c r="U13" s="232">
        <f t="shared" si="14"/>
        <v>5.9999999999999787</v>
      </c>
      <c r="V13" s="235">
        <f t="shared" si="13"/>
        <v>121.99999999999997</v>
      </c>
      <c r="W13" s="23">
        <f>T13</f>
        <v>0.47499999999999998</v>
      </c>
      <c r="X13" s="23">
        <f>S14</f>
        <v>0.51666666666666661</v>
      </c>
      <c r="Y13" s="23"/>
      <c r="Z13" s="23"/>
      <c r="AA13" s="627"/>
      <c r="AB13" s="628"/>
      <c r="AC13" s="25"/>
      <c r="AD13" s="25"/>
      <c r="AE13" s="19">
        <f t="shared" si="8"/>
        <v>-73.770491803278219</v>
      </c>
      <c r="AF13" s="234">
        <f t="shared" si="9"/>
        <v>0.95081967213114782</v>
      </c>
      <c r="AG13" s="637"/>
    </row>
    <row r="14" spans="1:33" ht="15.75" customHeight="1">
      <c r="A14" s="659" t="s">
        <v>1072</v>
      </c>
      <c r="B14" s="42" t="s">
        <v>96</v>
      </c>
      <c r="C14" s="660" t="s">
        <v>97</v>
      </c>
      <c r="D14" s="661"/>
      <c r="E14" s="42">
        <v>39.799999999999997</v>
      </c>
      <c r="F14" s="237">
        <v>3314</v>
      </c>
      <c r="G14" s="232">
        <f t="shared" si="11"/>
        <v>131897.19999999998</v>
      </c>
      <c r="H14" s="37" t="s">
        <v>91</v>
      </c>
      <c r="I14" s="233">
        <v>17</v>
      </c>
      <c r="J14" s="39">
        <v>1500</v>
      </c>
      <c r="K14" s="17">
        <f t="shared" si="1"/>
        <v>88.235294117647058</v>
      </c>
      <c r="L14" s="233">
        <v>17</v>
      </c>
      <c r="M14" s="18">
        <f t="shared" si="12"/>
        <v>1430.5035971223022</v>
      </c>
      <c r="N14" s="17">
        <f t="shared" si="3"/>
        <v>84.147270418958954</v>
      </c>
      <c r="O14" s="19">
        <f t="shared" si="4"/>
        <v>0</v>
      </c>
      <c r="P14" s="20">
        <f t="shared" si="5"/>
        <v>-4.0880236986881044</v>
      </c>
      <c r="Q14" s="234">
        <f t="shared" si="6"/>
        <v>0.95366906474820146</v>
      </c>
      <c r="R14" s="637"/>
      <c r="S14" s="40">
        <v>0.51666666666666661</v>
      </c>
      <c r="T14" s="40">
        <v>0.61319444444444438</v>
      </c>
      <c r="U14" s="232">
        <f t="shared" si="14"/>
        <v>59.999999999999943</v>
      </c>
      <c r="V14" s="235">
        <f t="shared" si="13"/>
        <v>139</v>
      </c>
      <c r="W14" s="23"/>
      <c r="X14" s="23"/>
      <c r="Y14" s="26"/>
      <c r="Z14" s="26"/>
      <c r="AA14" s="627"/>
      <c r="AB14" s="628"/>
      <c r="AC14" s="25"/>
      <c r="AD14" s="25"/>
      <c r="AE14" s="19">
        <f t="shared" si="8"/>
        <v>-69.496402877697847</v>
      </c>
      <c r="AF14" s="234">
        <f t="shared" si="9"/>
        <v>0.95366906474820146</v>
      </c>
      <c r="AG14" s="637"/>
    </row>
    <row r="15" spans="1:33" ht="15.75" customHeight="1">
      <c r="A15" s="659" t="s">
        <v>1072</v>
      </c>
      <c r="B15" s="42" t="s">
        <v>96</v>
      </c>
      <c r="C15" s="660" t="s">
        <v>100</v>
      </c>
      <c r="D15" s="661"/>
      <c r="E15" s="42">
        <v>39.619999999999997</v>
      </c>
      <c r="F15" s="237">
        <v>2266</v>
      </c>
      <c r="G15" s="232">
        <f t="shared" si="11"/>
        <v>89778.92</v>
      </c>
      <c r="H15" s="37" t="s">
        <v>91</v>
      </c>
      <c r="I15" s="233">
        <v>19</v>
      </c>
      <c r="J15" s="39">
        <v>1500</v>
      </c>
      <c r="K15" s="17">
        <f t="shared" si="1"/>
        <v>78.94736842105263</v>
      </c>
      <c r="L15" s="233">
        <v>19</v>
      </c>
      <c r="M15" s="18">
        <f t="shared" si="12"/>
        <v>1431.1578947368423</v>
      </c>
      <c r="N15" s="17">
        <f t="shared" si="3"/>
        <v>75.324099722991704</v>
      </c>
      <c r="O15" s="19">
        <f t="shared" si="4"/>
        <v>0</v>
      </c>
      <c r="P15" s="20">
        <f t="shared" si="5"/>
        <v>-3.6232686980609259</v>
      </c>
      <c r="Q15" s="234">
        <f t="shared" si="6"/>
        <v>0.9541052631578949</v>
      </c>
      <c r="R15" s="637"/>
      <c r="S15" s="40">
        <v>0.61805555555555547</v>
      </c>
      <c r="T15" s="40">
        <v>0.68402777777777768</v>
      </c>
      <c r="U15" s="232">
        <f t="shared" si="14"/>
        <v>6.9999999999999751</v>
      </c>
      <c r="V15" s="235">
        <f t="shared" si="13"/>
        <v>94.999999999999986</v>
      </c>
      <c r="W15" s="23"/>
      <c r="X15" s="23"/>
      <c r="Y15" s="26"/>
      <c r="Z15" s="26"/>
      <c r="AA15" s="627"/>
      <c r="AB15" s="628"/>
      <c r="AC15" s="25"/>
      <c r="AD15" s="25"/>
      <c r="AE15" s="19">
        <f t="shared" si="8"/>
        <v>-68.842105263157691</v>
      </c>
      <c r="AF15" s="234">
        <f t="shared" si="9"/>
        <v>0.9541052631578949</v>
      </c>
      <c r="AG15" s="637"/>
    </row>
    <row r="16" spans="1:33" ht="16.5" customHeight="1">
      <c r="A16" s="659" t="s">
        <v>1072</v>
      </c>
      <c r="B16" s="42" t="s">
        <v>1073</v>
      </c>
      <c r="C16" s="638"/>
      <c r="D16" s="638"/>
      <c r="E16" s="240"/>
      <c r="F16" s="39"/>
      <c r="G16" s="18"/>
      <c r="H16" s="237"/>
      <c r="I16" s="29">
        <v>17.666666666666668</v>
      </c>
      <c r="J16" s="39">
        <v>1500</v>
      </c>
      <c r="K16" s="17">
        <f t="shared" si="1"/>
        <v>84.905660377358487</v>
      </c>
      <c r="L16" s="29">
        <v>17.666666666666668</v>
      </c>
      <c r="M16" s="18">
        <f>AVERAGE(M10:M15)</f>
        <v>1431.1628314642969</v>
      </c>
      <c r="N16" s="17">
        <f t="shared" si="3"/>
        <v>81.009216875337557</v>
      </c>
      <c r="O16" s="19">
        <f t="shared" si="4"/>
        <v>0</v>
      </c>
      <c r="P16" s="20">
        <f t="shared" si="5"/>
        <v>-3.8964435020209294</v>
      </c>
      <c r="Q16" s="234">
        <f t="shared" si="6"/>
        <v>0.95410855430953123</v>
      </c>
      <c r="R16" s="637"/>
      <c r="S16" s="40"/>
      <c r="T16" s="40"/>
      <c r="U16" s="17"/>
      <c r="V16" s="235"/>
      <c r="W16" s="17"/>
      <c r="X16" s="17"/>
      <c r="Y16" s="30">
        <f>SUM(Y10:Y15)</f>
        <v>0</v>
      </c>
      <c r="Z16" s="30">
        <f>SUM(Z10:Z15)</f>
        <v>0</v>
      </c>
      <c r="AA16" s="631"/>
      <c r="AB16" s="631"/>
      <c r="AC16" s="30">
        <v>6</v>
      </c>
      <c r="AD16" s="30">
        <f>SUM(AD10:AD15)</f>
        <v>0</v>
      </c>
      <c r="AE16" s="19">
        <f t="shared" si="8"/>
        <v>-68.837168535703086</v>
      </c>
      <c r="AF16" s="234">
        <f t="shared" si="9"/>
        <v>0.95410855430953123</v>
      </c>
      <c r="AG16" s="637"/>
    </row>
    <row r="17" spans="1:33" ht="16.5" customHeight="1">
      <c r="A17" s="657" t="s">
        <v>1074</v>
      </c>
      <c r="B17" s="237" t="s">
        <v>101</v>
      </c>
      <c r="C17" s="653" t="s">
        <v>102</v>
      </c>
      <c r="D17" s="653"/>
      <c r="E17" s="42">
        <v>31.11</v>
      </c>
      <c r="F17" s="237">
        <v>3796</v>
      </c>
      <c r="G17" s="232">
        <f t="shared" ref="G17:G23" si="15">E17*F17</f>
        <v>118093.56</v>
      </c>
      <c r="H17" s="37" t="s">
        <v>91</v>
      </c>
      <c r="I17" s="233">
        <v>14</v>
      </c>
      <c r="J17" s="39">
        <v>2000</v>
      </c>
      <c r="K17" s="17">
        <f t="shared" si="1"/>
        <v>142.85714285714286</v>
      </c>
      <c r="L17" s="233">
        <v>14</v>
      </c>
      <c r="M17" s="18">
        <f t="shared" ref="M17:M23" si="16">F17/V17*60</f>
        <v>1913.9495798319326</v>
      </c>
      <c r="N17" s="17">
        <f t="shared" si="3"/>
        <v>136.71068427370946</v>
      </c>
      <c r="O17" s="19">
        <f t="shared" si="4"/>
        <v>0</v>
      </c>
      <c r="P17" s="20">
        <f t="shared" si="5"/>
        <v>-6.1464585834334002</v>
      </c>
      <c r="Q17" s="234">
        <f t="shared" si="6"/>
        <v>0.95697478991596618</v>
      </c>
      <c r="R17" s="637">
        <f>Q24</f>
        <v>0.9601502886451081</v>
      </c>
      <c r="S17" s="40">
        <v>0.20833333333333334</v>
      </c>
      <c r="T17" s="40">
        <v>0.29097222222222224</v>
      </c>
      <c r="U17" s="232"/>
      <c r="V17" s="235">
        <f t="shared" ref="V17:V23" si="17">(T17-S17)*24*60</f>
        <v>119.00000000000001</v>
      </c>
      <c r="W17" s="23"/>
      <c r="X17" s="23"/>
      <c r="Y17" s="28"/>
      <c r="Z17" s="28"/>
      <c r="AA17" s="632"/>
      <c r="AB17" s="632"/>
      <c r="AC17" s="25">
        <v>7</v>
      </c>
      <c r="AD17" s="25"/>
      <c r="AE17" s="19">
        <f t="shared" si="8"/>
        <v>-86.050420168067376</v>
      </c>
      <c r="AF17" s="234">
        <f t="shared" si="9"/>
        <v>0.9569747899159663</v>
      </c>
      <c r="AG17" s="637">
        <f>AF24</f>
        <v>0.9601502886451081</v>
      </c>
    </row>
    <row r="18" spans="1:33" ht="16.5" customHeight="1">
      <c r="A18" s="658" t="s">
        <v>1074</v>
      </c>
      <c r="B18" s="237" t="s">
        <v>103</v>
      </c>
      <c r="C18" s="653" t="s">
        <v>104</v>
      </c>
      <c r="D18" s="653"/>
      <c r="E18" s="42">
        <v>38.619999999999997</v>
      </c>
      <c r="F18" s="237">
        <v>2813</v>
      </c>
      <c r="G18" s="232">
        <f t="shared" si="15"/>
        <v>108638.06</v>
      </c>
      <c r="H18" s="37" t="s">
        <v>91</v>
      </c>
      <c r="I18" s="233">
        <v>24</v>
      </c>
      <c r="J18" s="39">
        <v>1500</v>
      </c>
      <c r="K18" s="17">
        <f t="shared" si="1"/>
        <v>62.5</v>
      </c>
      <c r="L18" s="233">
        <v>24</v>
      </c>
      <c r="M18" s="18">
        <f t="shared" si="16"/>
        <v>1430.3389830508477</v>
      </c>
      <c r="N18" s="17">
        <f t="shared" si="3"/>
        <v>59.597457627118651</v>
      </c>
      <c r="O18" s="19">
        <f t="shared" si="4"/>
        <v>0</v>
      </c>
      <c r="P18" s="20">
        <f t="shared" si="5"/>
        <v>-2.9025423728813493</v>
      </c>
      <c r="Q18" s="234">
        <f t="shared" si="6"/>
        <v>0.95355932203389837</v>
      </c>
      <c r="R18" s="637"/>
      <c r="S18" s="40">
        <v>0.2951388888888889</v>
      </c>
      <c r="T18" s="40">
        <v>0.37708333333333333</v>
      </c>
      <c r="U18" s="232">
        <f t="shared" ref="U18:U23" si="18">IF(S18=TIME(17,0,0),"",(S18-T17)*24*60)</f>
        <v>5.9999999999999787</v>
      </c>
      <c r="V18" s="235">
        <f t="shared" si="17"/>
        <v>117.99999999999999</v>
      </c>
      <c r="W18" s="23"/>
      <c r="X18" s="23"/>
      <c r="Y18" s="23"/>
      <c r="Z18" s="23"/>
      <c r="AA18" s="632"/>
      <c r="AB18" s="632"/>
      <c r="AC18" s="25"/>
      <c r="AD18" s="25"/>
      <c r="AE18" s="19">
        <f t="shared" si="8"/>
        <v>-69.661016949152327</v>
      </c>
      <c r="AF18" s="234">
        <f t="shared" si="9"/>
        <v>0.95355932203389848</v>
      </c>
      <c r="AG18" s="637"/>
    </row>
    <row r="19" spans="1:33" ht="16.5" customHeight="1">
      <c r="A19" s="658" t="s">
        <v>1074</v>
      </c>
      <c r="B19" s="237" t="s">
        <v>103</v>
      </c>
      <c r="C19" s="653" t="s">
        <v>105</v>
      </c>
      <c r="D19" s="653"/>
      <c r="E19" s="42">
        <v>41</v>
      </c>
      <c r="F19" s="237">
        <v>2258</v>
      </c>
      <c r="G19" s="232">
        <f t="shared" si="15"/>
        <v>92578</v>
      </c>
      <c r="H19" s="37" t="s">
        <v>91</v>
      </c>
      <c r="I19" s="233">
        <v>26</v>
      </c>
      <c r="J19" s="39">
        <v>1500</v>
      </c>
      <c r="K19" s="17">
        <f t="shared" si="1"/>
        <v>57.692307692307693</v>
      </c>
      <c r="L19" s="233">
        <v>26</v>
      </c>
      <c r="M19" s="18">
        <f t="shared" si="16"/>
        <v>1441.2765957446811</v>
      </c>
      <c r="N19" s="17">
        <f t="shared" si="3"/>
        <v>55.433715220949274</v>
      </c>
      <c r="O19" s="19">
        <f t="shared" si="4"/>
        <v>0</v>
      </c>
      <c r="P19" s="20">
        <f t="shared" si="5"/>
        <v>-2.2585924713584191</v>
      </c>
      <c r="Q19" s="234">
        <f t="shared" si="6"/>
        <v>0.96085106382978736</v>
      </c>
      <c r="R19" s="637"/>
      <c r="S19" s="40">
        <v>0.38124999999999998</v>
      </c>
      <c r="T19" s="40">
        <v>0.44652777777777775</v>
      </c>
      <c r="U19" s="232">
        <f t="shared" si="18"/>
        <v>5.9999999999999787</v>
      </c>
      <c r="V19" s="235">
        <f t="shared" si="17"/>
        <v>93.999999999999986</v>
      </c>
      <c r="W19" s="23"/>
      <c r="X19" s="23"/>
      <c r="Y19" s="23"/>
      <c r="Z19" s="23"/>
      <c r="AA19" s="632"/>
      <c r="AB19" s="632"/>
      <c r="AC19" s="25"/>
      <c r="AD19" s="25"/>
      <c r="AE19" s="19">
        <f t="shared" si="8"/>
        <v>-58.723404255318883</v>
      </c>
      <c r="AF19" s="234">
        <f t="shared" si="9"/>
        <v>0.96085106382978747</v>
      </c>
      <c r="AG19" s="637"/>
    </row>
    <row r="20" spans="1:33" ht="16.5" customHeight="1">
      <c r="A20" s="658" t="s">
        <v>1074</v>
      </c>
      <c r="B20" s="237" t="s">
        <v>92</v>
      </c>
      <c r="C20" s="653" t="s">
        <v>108</v>
      </c>
      <c r="D20" s="653"/>
      <c r="E20" s="42">
        <v>54.5</v>
      </c>
      <c r="F20" s="237">
        <v>1690</v>
      </c>
      <c r="G20" s="232">
        <f t="shared" si="15"/>
        <v>92105</v>
      </c>
      <c r="H20" s="37" t="s">
        <v>91</v>
      </c>
      <c r="I20" s="233">
        <v>20</v>
      </c>
      <c r="J20" s="39">
        <v>1500</v>
      </c>
      <c r="K20" s="17">
        <f t="shared" si="1"/>
        <v>75</v>
      </c>
      <c r="L20" s="233">
        <v>20</v>
      </c>
      <c r="M20" s="18">
        <f t="shared" si="16"/>
        <v>1428.1690140845055</v>
      </c>
      <c r="N20" s="17">
        <f t="shared" si="3"/>
        <v>71.408450704225274</v>
      </c>
      <c r="O20" s="19">
        <f t="shared" si="4"/>
        <v>0</v>
      </c>
      <c r="P20" s="20">
        <f t="shared" si="5"/>
        <v>-3.5915492957747261</v>
      </c>
      <c r="Q20" s="234">
        <f t="shared" si="6"/>
        <v>0.95211267605633698</v>
      </c>
      <c r="R20" s="637"/>
      <c r="S20" s="40">
        <v>0.70833333333333337</v>
      </c>
      <c r="T20" s="40">
        <v>0.75763888888888897</v>
      </c>
      <c r="U20" s="232" t="str">
        <f t="shared" si="18"/>
        <v/>
      </c>
      <c r="V20" s="235">
        <f t="shared" si="17"/>
        <v>71.000000000000071</v>
      </c>
      <c r="W20" s="23"/>
      <c r="X20" s="23"/>
      <c r="Y20" s="23"/>
      <c r="Z20" s="23"/>
      <c r="AA20" s="632"/>
      <c r="AB20" s="632"/>
      <c r="AC20" s="25"/>
      <c r="AD20" s="25"/>
      <c r="AE20" s="19">
        <f t="shared" si="8"/>
        <v>-71.830985915494466</v>
      </c>
      <c r="AF20" s="234">
        <f t="shared" si="9"/>
        <v>0.95211267605633698</v>
      </c>
      <c r="AG20" s="637"/>
    </row>
    <row r="21" spans="1:33" ht="16.5" customHeight="1">
      <c r="A21" s="658" t="s">
        <v>1074</v>
      </c>
      <c r="B21" s="237" t="s">
        <v>92</v>
      </c>
      <c r="C21" s="653" t="s">
        <v>107</v>
      </c>
      <c r="D21" s="653"/>
      <c r="E21" s="42">
        <v>50.67</v>
      </c>
      <c r="F21" s="237">
        <v>1675</v>
      </c>
      <c r="G21" s="232">
        <f t="shared" si="15"/>
        <v>84872.25</v>
      </c>
      <c r="H21" s="37" t="s">
        <v>91</v>
      </c>
      <c r="I21" s="233">
        <v>17</v>
      </c>
      <c r="J21" s="39">
        <v>2000</v>
      </c>
      <c r="K21" s="17">
        <f t="shared" si="1"/>
        <v>117.64705882352941</v>
      </c>
      <c r="L21" s="233">
        <v>17</v>
      </c>
      <c r="M21" s="18">
        <f t="shared" si="16"/>
        <v>1932.692307692309</v>
      </c>
      <c r="N21" s="17">
        <f t="shared" si="3"/>
        <v>113.68778280542995</v>
      </c>
      <c r="O21" s="19">
        <f t="shared" si="4"/>
        <v>0</v>
      </c>
      <c r="P21" s="20">
        <f t="shared" si="5"/>
        <v>-3.9592760180994588</v>
      </c>
      <c r="Q21" s="234">
        <f t="shared" si="6"/>
        <v>0.96634615384615463</v>
      </c>
      <c r="R21" s="637"/>
      <c r="S21" s="40">
        <v>0.76111111111111118</v>
      </c>
      <c r="T21" s="40">
        <v>0.79722222222222228</v>
      </c>
      <c r="U21" s="232">
        <f t="shared" si="18"/>
        <v>4.9999999999999822</v>
      </c>
      <c r="V21" s="235">
        <f t="shared" si="17"/>
        <v>51.999999999999972</v>
      </c>
      <c r="W21" s="23"/>
      <c r="X21" s="23"/>
      <c r="Y21" s="23"/>
      <c r="Z21" s="23"/>
      <c r="AA21" s="632"/>
      <c r="AB21" s="632"/>
      <c r="AC21" s="25"/>
      <c r="AD21" s="25"/>
      <c r="AE21" s="19">
        <f t="shared" si="8"/>
        <v>-67.307692307691013</v>
      </c>
      <c r="AF21" s="234">
        <f t="shared" si="9"/>
        <v>0.96634615384615452</v>
      </c>
      <c r="AG21" s="637"/>
    </row>
    <row r="22" spans="1:33" ht="16.5" customHeight="1">
      <c r="A22" s="658" t="s">
        <v>1074</v>
      </c>
      <c r="B22" s="237" t="s">
        <v>92</v>
      </c>
      <c r="C22" s="241" t="s">
        <v>95</v>
      </c>
      <c r="D22" s="242"/>
      <c r="E22" s="42">
        <v>50.67</v>
      </c>
      <c r="F22" s="237">
        <v>1521</v>
      </c>
      <c r="G22" s="232">
        <f t="shared" si="15"/>
        <v>77069.070000000007</v>
      </c>
      <c r="H22" s="37" t="s">
        <v>91</v>
      </c>
      <c r="I22" s="233">
        <v>15</v>
      </c>
      <c r="J22" s="39">
        <v>2000</v>
      </c>
      <c r="K22" s="17">
        <f t="shared" si="1"/>
        <v>133.33333333333334</v>
      </c>
      <c r="L22" s="233">
        <v>15</v>
      </c>
      <c r="M22" s="18">
        <f t="shared" si="16"/>
        <v>1941.7021276595747</v>
      </c>
      <c r="N22" s="17">
        <f t="shared" si="3"/>
        <v>129.44680851063831</v>
      </c>
      <c r="O22" s="19">
        <f t="shared" si="4"/>
        <v>0</v>
      </c>
      <c r="P22" s="20">
        <f t="shared" si="5"/>
        <v>-3.8865248226950371</v>
      </c>
      <c r="Q22" s="234">
        <f t="shared" si="6"/>
        <v>0.97085106382978725</v>
      </c>
      <c r="R22" s="637"/>
      <c r="S22" s="40">
        <v>0.80069444444444449</v>
      </c>
      <c r="T22" s="40">
        <v>0.83333333333333337</v>
      </c>
      <c r="U22" s="232">
        <f t="shared" si="18"/>
        <v>4.9999999999999822</v>
      </c>
      <c r="V22" s="235">
        <f t="shared" si="17"/>
        <v>46.999999999999993</v>
      </c>
      <c r="W22" s="23">
        <f>T22</f>
        <v>0.83333333333333337</v>
      </c>
      <c r="X22" s="23">
        <f>S23</f>
        <v>0.87430555555555556</v>
      </c>
      <c r="Y22" s="26"/>
      <c r="Z22" s="26"/>
      <c r="AA22" s="238"/>
      <c r="AB22" s="239"/>
      <c r="AC22" s="25"/>
      <c r="AD22" s="25"/>
      <c r="AE22" s="19">
        <f t="shared" si="8"/>
        <v>-58.297872340425329</v>
      </c>
      <c r="AF22" s="234">
        <f t="shared" si="9"/>
        <v>0.97085106382978736</v>
      </c>
      <c r="AG22" s="637"/>
    </row>
    <row r="23" spans="1:33" ht="16.5" customHeight="1">
      <c r="A23" s="658" t="s">
        <v>1074</v>
      </c>
      <c r="B23" s="237" t="s">
        <v>92</v>
      </c>
      <c r="C23" s="241" t="s">
        <v>114</v>
      </c>
      <c r="D23" s="242"/>
      <c r="E23" s="42">
        <v>54.09</v>
      </c>
      <c r="F23" s="237">
        <v>1531</v>
      </c>
      <c r="G23" s="232">
        <f t="shared" si="15"/>
        <v>82811.790000000008</v>
      </c>
      <c r="H23" s="37" t="s">
        <v>91</v>
      </c>
      <c r="I23" s="233">
        <v>18</v>
      </c>
      <c r="J23" s="39">
        <v>2000</v>
      </c>
      <c r="K23" s="17">
        <f t="shared" si="1"/>
        <v>111.11111111111111</v>
      </c>
      <c r="L23" s="233">
        <v>18</v>
      </c>
      <c r="M23" s="18">
        <f t="shared" si="16"/>
        <v>1913.7500000000005</v>
      </c>
      <c r="N23" s="17">
        <f t="shared" si="3"/>
        <v>106.31944444444447</v>
      </c>
      <c r="O23" s="19">
        <f t="shared" si="4"/>
        <v>0</v>
      </c>
      <c r="P23" s="20">
        <f t="shared" si="5"/>
        <v>-4.791666666666643</v>
      </c>
      <c r="Q23" s="234">
        <f t="shared" si="6"/>
        <v>0.95687500000000025</v>
      </c>
      <c r="R23" s="637"/>
      <c r="S23" s="40">
        <v>0.87430555555555556</v>
      </c>
      <c r="T23" s="40">
        <v>0.90763888888888888</v>
      </c>
      <c r="U23" s="232">
        <f t="shared" si="18"/>
        <v>58.99999999999995</v>
      </c>
      <c r="V23" s="235">
        <f t="shared" si="17"/>
        <v>47.999999999999986</v>
      </c>
      <c r="W23" s="23"/>
      <c r="X23" s="23"/>
      <c r="Y23" s="26"/>
      <c r="Z23" s="26"/>
      <c r="AA23" s="238"/>
      <c r="AB23" s="239"/>
      <c r="AC23" s="25"/>
      <c r="AD23" s="25"/>
      <c r="AE23" s="19">
        <f t="shared" si="8"/>
        <v>-86.249999999999545</v>
      </c>
      <c r="AF23" s="234">
        <f t="shared" si="9"/>
        <v>0.95687500000000025</v>
      </c>
      <c r="AG23" s="637"/>
    </row>
    <row r="24" spans="1:33" ht="16.5" customHeight="1">
      <c r="A24" s="658" t="s">
        <v>1074</v>
      </c>
      <c r="B24" s="42" t="s">
        <v>1073</v>
      </c>
      <c r="C24" s="638"/>
      <c r="D24" s="638"/>
      <c r="E24" s="240"/>
      <c r="F24" s="44"/>
      <c r="G24" s="17"/>
      <c r="H24" s="237"/>
      <c r="I24" s="29">
        <v>19.142857142857142</v>
      </c>
      <c r="J24" s="39">
        <v>1785.7142857142858</v>
      </c>
      <c r="K24" s="17">
        <f t="shared" si="1"/>
        <v>93.28358208955224</v>
      </c>
      <c r="L24" s="29">
        <v>19.142857142857142</v>
      </c>
      <c r="M24" s="18">
        <f>AVERAGE(M17:M23)</f>
        <v>1714.5540868662645</v>
      </c>
      <c r="N24" s="17">
        <f t="shared" si="3"/>
        <v>89.566258269133215</v>
      </c>
      <c r="O24" s="19">
        <f t="shared" si="4"/>
        <v>0</v>
      </c>
      <c r="P24" s="20">
        <f t="shared" si="5"/>
        <v>-3.7173238204190255</v>
      </c>
      <c r="Q24" s="234">
        <f t="shared" si="6"/>
        <v>0.9601502886451081</v>
      </c>
      <c r="R24" s="637"/>
      <c r="S24" s="40"/>
      <c r="T24" s="40"/>
      <c r="U24" s="232"/>
      <c r="V24" s="235"/>
      <c r="W24" s="17"/>
      <c r="X24" s="17"/>
      <c r="Y24" s="30">
        <f>SUM(Y17:Y23)</f>
        <v>0</v>
      </c>
      <c r="Z24" s="30">
        <f>SUM(Z17:Z23)</f>
        <v>0</v>
      </c>
      <c r="AA24" s="631"/>
      <c r="AB24" s="631"/>
      <c r="AC24" s="30">
        <v>7</v>
      </c>
      <c r="AD24" s="30">
        <f>SUM(AD17:AD23)</f>
        <v>0</v>
      </c>
      <c r="AE24" s="19">
        <f t="shared" si="8"/>
        <v>-71.160198848021309</v>
      </c>
      <c r="AF24" s="234">
        <f t="shared" si="9"/>
        <v>0.9601502886451081</v>
      </c>
      <c r="AG24" s="637"/>
    </row>
    <row r="25" spans="1:33" ht="15.75" customHeight="1">
      <c r="A25" s="655" t="s">
        <v>1075</v>
      </c>
      <c r="B25" s="42" t="s">
        <v>92</v>
      </c>
      <c r="C25" s="653" t="s">
        <v>110</v>
      </c>
      <c r="D25" s="653"/>
      <c r="E25" s="42">
        <v>50.67</v>
      </c>
      <c r="F25" s="237">
        <v>2050</v>
      </c>
      <c r="G25" s="232">
        <f t="shared" ref="G25:G32" si="19">E25*F25</f>
        <v>103873.5</v>
      </c>
      <c r="H25" s="37" t="s">
        <v>91</v>
      </c>
      <c r="I25" s="233">
        <v>17</v>
      </c>
      <c r="J25" s="39">
        <v>2000</v>
      </c>
      <c r="K25" s="17">
        <f t="shared" si="1"/>
        <v>117.64705882352941</v>
      </c>
      <c r="L25" s="233">
        <v>17</v>
      </c>
      <c r="M25" s="18">
        <f t="shared" ref="M25:M32" si="20">F25/V25*60</f>
        <v>1921.8750000000009</v>
      </c>
      <c r="N25" s="17">
        <f t="shared" si="3"/>
        <v>113.05147058823535</v>
      </c>
      <c r="O25" s="19">
        <f t="shared" si="4"/>
        <v>0</v>
      </c>
      <c r="P25" s="20">
        <f t="shared" si="5"/>
        <v>-4.5955882352940591</v>
      </c>
      <c r="Q25" s="234">
        <f t="shared" si="6"/>
        <v>0.96093750000000044</v>
      </c>
      <c r="R25" s="637">
        <f>Q33</f>
        <v>0.95940116321228841</v>
      </c>
      <c r="S25" s="40">
        <v>0.20833333333333334</v>
      </c>
      <c r="T25" s="40">
        <v>0.25277777777777777</v>
      </c>
      <c r="U25" s="232"/>
      <c r="V25" s="235">
        <f t="shared" ref="V25:V32" si="21">(T25-S25)*24*60</f>
        <v>63.999999999999972</v>
      </c>
      <c r="W25" s="23"/>
      <c r="X25" s="23"/>
      <c r="Y25" s="28"/>
      <c r="Z25" s="28"/>
      <c r="AA25" s="632"/>
      <c r="AB25" s="632"/>
      <c r="AC25" s="25">
        <v>8</v>
      </c>
      <c r="AD25" s="25"/>
      <c r="AE25" s="19">
        <f t="shared" si="8"/>
        <v>-78.124999999999091</v>
      </c>
      <c r="AF25" s="234">
        <f t="shared" si="9"/>
        <v>0.96093750000000044</v>
      </c>
      <c r="AG25" s="637">
        <f>AF33</f>
        <v>0.95940116321228852</v>
      </c>
    </row>
    <row r="26" spans="1:33" ht="15.75" customHeight="1">
      <c r="A26" s="656" t="s">
        <v>1075</v>
      </c>
      <c r="B26" s="42" t="s">
        <v>92</v>
      </c>
      <c r="C26" s="653" t="s">
        <v>111</v>
      </c>
      <c r="D26" s="653"/>
      <c r="E26" s="42">
        <v>57.73</v>
      </c>
      <c r="F26" s="237">
        <v>2825</v>
      </c>
      <c r="G26" s="232">
        <f t="shared" si="19"/>
        <v>163087.25</v>
      </c>
      <c r="H26" s="37" t="s">
        <v>91</v>
      </c>
      <c r="I26" s="233">
        <v>14</v>
      </c>
      <c r="J26" s="39">
        <v>2000</v>
      </c>
      <c r="K26" s="17">
        <f t="shared" si="1"/>
        <v>142.85714285714286</v>
      </c>
      <c r="L26" s="233">
        <v>14</v>
      </c>
      <c r="M26" s="18">
        <f t="shared" si="20"/>
        <v>1904.4943820224719</v>
      </c>
      <c r="N26" s="17">
        <f t="shared" si="3"/>
        <v>136.03531300160515</v>
      </c>
      <c r="O26" s="19">
        <f t="shared" si="4"/>
        <v>0</v>
      </c>
      <c r="P26" s="20">
        <f t="shared" si="5"/>
        <v>-6.8218298555377146</v>
      </c>
      <c r="Q26" s="234">
        <f t="shared" si="6"/>
        <v>0.952247191011236</v>
      </c>
      <c r="R26" s="637"/>
      <c r="S26" s="40">
        <v>0.25763888888888886</v>
      </c>
      <c r="T26" s="40">
        <v>0.31944444444444442</v>
      </c>
      <c r="U26" s="232">
        <f t="shared" ref="U26:U32" si="22">IF(S26=TIME(17,0,0),"",(S26-T25)*24*60)</f>
        <v>6.9999999999999751</v>
      </c>
      <c r="V26" s="235">
        <f t="shared" si="21"/>
        <v>89</v>
      </c>
      <c r="W26" s="23"/>
      <c r="X26" s="232"/>
      <c r="Y26" s="232"/>
      <c r="Z26" s="232"/>
      <c r="AA26" s="632"/>
      <c r="AB26" s="632"/>
      <c r="AC26" s="25"/>
      <c r="AD26" s="25"/>
      <c r="AE26" s="19">
        <f t="shared" si="8"/>
        <v>-95.505617977528118</v>
      </c>
      <c r="AF26" s="234">
        <f t="shared" si="9"/>
        <v>0.95224719101123589</v>
      </c>
      <c r="AG26" s="637"/>
    </row>
    <row r="27" spans="1:33" ht="15.75" customHeight="1">
      <c r="A27" s="656" t="s">
        <v>1075</v>
      </c>
      <c r="B27" s="42" t="s">
        <v>92</v>
      </c>
      <c r="C27" s="653" t="s">
        <v>112</v>
      </c>
      <c r="D27" s="653"/>
      <c r="E27" s="42">
        <v>53.27</v>
      </c>
      <c r="F27" s="237">
        <v>1723</v>
      </c>
      <c r="G27" s="232">
        <f t="shared" si="19"/>
        <v>91784.21</v>
      </c>
      <c r="H27" s="37" t="s">
        <v>91</v>
      </c>
      <c r="I27" s="233">
        <v>16</v>
      </c>
      <c r="J27" s="39">
        <v>2000</v>
      </c>
      <c r="K27" s="17">
        <f t="shared" si="1"/>
        <v>125</v>
      </c>
      <c r="L27" s="233">
        <v>16</v>
      </c>
      <c r="M27" s="18">
        <f t="shared" si="20"/>
        <v>1914.4444444444453</v>
      </c>
      <c r="N27" s="17">
        <f t="shared" si="3"/>
        <v>119.65277777777783</v>
      </c>
      <c r="O27" s="19">
        <f t="shared" si="4"/>
        <v>0</v>
      </c>
      <c r="P27" s="20">
        <f t="shared" si="5"/>
        <v>-5.3472222222221717</v>
      </c>
      <c r="Q27" s="234">
        <f t="shared" si="6"/>
        <v>0.95722222222222264</v>
      </c>
      <c r="R27" s="637"/>
      <c r="S27" s="40">
        <v>0.32361111111111107</v>
      </c>
      <c r="T27" s="40">
        <v>0.36111111111111105</v>
      </c>
      <c r="U27" s="232">
        <f t="shared" si="22"/>
        <v>5.9999999999999787</v>
      </c>
      <c r="V27" s="235">
        <f t="shared" si="21"/>
        <v>53.999999999999972</v>
      </c>
      <c r="W27" s="23"/>
      <c r="X27" s="232"/>
      <c r="Y27" s="232"/>
      <c r="Z27" s="232"/>
      <c r="AA27" s="632"/>
      <c r="AB27" s="632"/>
      <c r="AC27" s="25"/>
      <c r="AD27" s="25"/>
      <c r="AE27" s="19">
        <f t="shared" si="8"/>
        <v>-85.555555555554747</v>
      </c>
      <c r="AF27" s="234">
        <f t="shared" si="9"/>
        <v>0.95722222222222264</v>
      </c>
      <c r="AG27" s="637"/>
    </row>
    <row r="28" spans="1:33" ht="15.75" customHeight="1">
      <c r="A28" s="656" t="s">
        <v>1075</v>
      </c>
      <c r="B28" s="42" t="s">
        <v>92</v>
      </c>
      <c r="C28" s="653" t="s">
        <v>106</v>
      </c>
      <c r="D28" s="653"/>
      <c r="E28" s="42">
        <v>37.03</v>
      </c>
      <c r="F28" s="237">
        <v>3694</v>
      </c>
      <c r="G28" s="232">
        <f t="shared" si="19"/>
        <v>136788.82</v>
      </c>
      <c r="H28" s="37" t="s">
        <v>91</v>
      </c>
      <c r="I28" s="233">
        <v>13</v>
      </c>
      <c r="J28" s="39">
        <v>1500</v>
      </c>
      <c r="K28" s="17">
        <f t="shared" si="1"/>
        <v>115.38461538461539</v>
      </c>
      <c r="L28" s="233">
        <v>13</v>
      </c>
      <c r="M28" s="18">
        <f t="shared" si="20"/>
        <v>1429.9354838709678</v>
      </c>
      <c r="N28" s="17">
        <f t="shared" si="3"/>
        <v>109.99503722084367</v>
      </c>
      <c r="O28" s="19">
        <f t="shared" si="4"/>
        <v>0</v>
      </c>
      <c r="P28" s="20">
        <f t="shared" si="5"/>
        <v>-5.3895781637717164</v>
      </c>
      <c r="Q28" s="234">
        <f t="shared" si="6"/>
        <v>0.95329032258064517</v>
      </c>
      <c r="R28" s="637"/>
      <c r="S28" s="40">
        <v>0.3652777777777777</v>
      </c>
      <c r="T28" s="40">
        <v>0.4729166666666666</v>
      </c>
      <c r="U28" s="232">
        <f t="shared" si="22"/>
        <v>5.9999999999999787</v>
      </c>
      <c r="V28" s="235">
        <f t="shared" si="21"/>
        <v>155</v>
      </c>
      <c r="W28" s="23"/>
      <c r="X28" s="232"/>
      <c r="Y28" s="232"/>
      <c r="Z28" s="232"/>
      <c r="AA28" s="632"/>
      <c r="AB28" s="632"/>
      <c r="AC28" s="25"/>
      <c r="AD28" s="25"/>
      <c r="AE28" s="19">
        <f t="shared" si="8"/>
        <v>-70.064516129032199</v>
      </c>
      <c r="AF28" s="234">
        <f t="shared" si="9"/>
        <v>0.95329032258064517</v>
      </c>
      <c r="AG28" s="637"/>
    </row>
    <row r="29" spans="1:33" ht="15.75" customHeight="1">
      <c r="A29" s="656" t="s">
        <v>1075</v>
      </c>
      <c r="B29" s="42" t="s">
        <v>92</v>
      </c>
      <c r="C29" s="653" t="s">
        <v>113</v>
      </c>
      <c r="D29" s="653"/>
      <c r="E29" s="42">
        <v>56.43</v>
      </c>
      <c r="F29" s="237">
        <v>1454</v>
      </c>
      <c r="G29" s="232">
        <f t="shared" si="19"/>
        <v>82049.22</v>
      </c>
      <c r="H29" s="37" t="s">
        <v>91</v>
      </c>
      <c r="I29" s="233">
        <v>13</v>
      </c>
      <c r="J29" s="39">
        <v>2000</v>
      </c>
      <c r="K29" s="17">
        <f t="shared" si="1"/>
        <v>153.84615384615384</v>
      </c>
      <c r="L29" s="233">
        <v>13</v>
      </c>
      <c r="M29" s="18">
        <f t="shared" si="20"/>
        <v>1938.6666666666665</v>
      </c>
      <c r="N29" s="17">
        <f t="shared" si="3"/>
        <v>149.12820512820511</v>
      </c>
      <c r="O29" s="19">
        <f t="shared" si="4"/>
        <v>0</v>
      </c>
      <c r="P29" s="20">
        <f t="shared" si="5"/>
        <v>-4.7179487179487296</v>
      </c>
      <c r="Q29" s="234">
        <f t="shared" si="6"/>
        <v>0.96933333333333327</v>
      </c>
      <c r="R29" s="637"/>
      <c r="S29" s="40">
        <v>0.70833333333333337</v>
      </c>
      <c r="T29" s="40">
        <v>0.73958333333333337</v>
      </c>
      <c r="U29" s="232" t="str">
        <f t="shared" si="22"/>
        <v/>
      </c>
      <c r="V29" s="235">
        <f t="shared" si="21"/>
        <v>45</v>
      </c>
      <c r="W29" s="23"/>
      <c r="X29" s="23"/>
      <c r="Y29" s="232"/>
      <c r="Z29" s="232"/>
      <c r="AA29" s="632"/>
      <c r="AB29" s="632"/>
      <c r="AC29" s="25"/>
      <c r="AD29" s="25"/>
      <c r="AE29" s="19">
        <f t="shared" si="8"/>
        <v>-61.333333333333485</v>
      </c>
      <c r="AF29" s="234">
        <f t="shared" si="9"/>
        <v>0.96933333333333327</v>
      </c>
      <c r="AG29" s="637"/>
    </row>
    <row r="30" spans="1:33" ht="15.75" customHeight="1">
      <c r="A30" s="656" t="s">
        <v>1075</v>
      </c>
      <c r="B30" s="42" t="s">
        <v>92</v>
      </c>
      <c r="C30" s="653" t="s">
        <v>115</v>
      </c>
      <c r="D30" s="653"/>
      <c r="E30" s="42">
        <v>57.3</v>
      </c>
      <c r="F30" s="237">
        <v>1762</v>
      </c>
      <c r="G30" s="232">
        <f t="shared" si="19"/>
        <v>100962.59999999999</v>
      </c>
      <c r="H30" s="37" t="s">
        <v>91</v>
      </c>
      <c r="I30" s="233">
        <v>16</v>
      </c>
      <c r="J30" s="39">
        <v>2000</v>
      </c>
      <c r="K30" s="17">
        <f t="shared" si="1"/>
        <v>125</v>
      </c>
      <c r="L30" s="233">
        <v>16</v>
      </c>
      <c r="M30" s="18">
        <f t="shared" si="20"/>
        <v>1922.1818181818196</v>
      </c>
      <c r="N30" s="17">
        <f t="shared" si="3"/>
        <v>120.13636363636373</v>
      </c>
      <c r="O30" s="19">
        <f t="shared" si="4"/>
        <v>0</v>
      </c>
      <c r="P30" s="20">
        <f t="shared" si="5"/>
        <v>-4.8636363636362745</v>
      </c>
      <c r="Q30" s="234">
        <f t="shared" si="6"/>
        <v>0.96109090909090977</v>
      </c>
      <c r="R30" s="637"/>
      <c r="S30" s="40">
        <v>0.74513888888888891</v>
      </c>
      <c r="T30" s="40">
        <v>0.78333333333333333</v>
      </c>
      <c r="U30" s="232">
        <f t="shared" si="22"/>
        <v>7.9999999999999716</v>
      </c>
      <c r="V30" s="235">
        <f t="shared" si="21"/>
        <v>54.999999999999964</v>
      </c>
      <c r="W30" s="23"/>
      <c r="X30" s="28"/>
      <c r="Y30" s="28"/>
      <c r="Z30" s="28"/>
      <c r="AA30" s="632"/>
      <c r="AB30" s="632"/>
      <c r="AC30" s="25"/>
      <c r="AD30" s="25"/>
      <c r="AE30" s="19">
        <f t="shared" si="8"/>
        <v>-77.818181818180392</v>
      </c>
      <c r="AF30" s="234">
        <f t="shared" si="9"/>
        <v>0.96109090909090977</v>
      </c>
      <c r="AG30" s="637"/>
    </row>
    <row r="31" spans="1:33" ht="15.75" customHeight="1">
      <c r="A31" s="656" t="s">
        <v>1075</v>
      </c>
      <c r="B31" s="42" t="s">
        <v>92</v>
      </c>
      <c r="C31" s="679" t="s">
        <v>140</v>
      </c>
      <c r="D31" s="680"/>
      <c r="E31" s="42">
        <v>51.06</v>
      </c>
      <c r="F31" s="237">
        <v>1000</v>
      </c>
      <c r="G31" s="232">
        <f t="shared" si="19"/>
        <v>51060</v>
      </c>
      <c r="H31" s="37">
        <v>2</v>
      </c>
      <c r="I31" s="233">
        <v>13</v>
      </c>
      <c r="J31" s="39">
        <v>2000</v>
      </c>
      <c r="K31" s="17">
        <f t="shared" si="1"/>
        <v>153.84615384615384</v>
      </c>
      <c r="L31" s="233">
        <v>13</v>
      </c>
      <c r="M31" s="18">
        <f t="shared" si="20"/>
        <v>1935.483870967739</v>
      </c>
      <c r="N31" s="17">
        <f t="shared" si="3"/>
        <v>148.88337468982607</v>
      </c>
      <c r="O31" s="19">
        <f t="shared" si="4"/>
        <v>0</v>
      </c>
      <c r="P31" s="20">
        <f t="shared" si="5"/>
        <v>-4.9627791563277697</v>
      </c>
      <c r="Q31" s="234">
        <f t="shared" si="6"/>
        <v>0.96774193548386944</v>
      </c>
      <c r="R31" s="637"/>
      <c r="S31" s="40">
        <v>0.78749999999999998</v>
      </c>
      <c r="T31" s="40">
        <v>0.80902777777777779</v>
      </c>
      <c r="U31" s="232">
        <f t="shared" si="22"/>
        <v>5.9999999999999787</v>
      </c>
      <c r="V31" s="235">
        <f t="shared" si="21"/>
        <v>31.00000000000005</v>
      </c>
      <c r="W31" s="23">
        <f>T31</f>
        <v>0.80902777777777779</v>
      </c>
      <c r="X31" s="23">
        <f>S32</f>
        <v>0.84930555555555554</v>
      </c>
      <c r="Y31" s="136"/>
      <c r="Z31" s="136"/>
      <c r="AA31" s="627"/>
      <c r="AB31" s="628"/>
      <c r="AC31" s="25"/>
      <c r="AD31" s="25"/>
      <c r="AE31" s="19">
        <f t="shared" si="8"/>
        <v>-64.516129032261006</v>
      </c>
      <c r="AF31" s="234">
        <f t="shared" si="9"/>
        <v>0.96774193548386944</v>
      </c>
      <c r="AG31" s="637"/>
    </row>
    <row r="32" spans="1:33" ht="15.75" customHeight="1">
      <c r="A32" s="656" t="s">
        <v>1075</v>
      </c>
      <c r="B32" s="42" t="s">
        <v>92</v>
      </c>
      <c r="C32" s="241" t="s">
        <v>140</v>
      </c>
      <c r="D32" s="242"/>
      <c r="E32" s="42">
        <v>51.06</v>
      </c>
      <c r="F32" s="237">
        <v>2443</v>
      </c>
      <c r="G32" s="232">
        <f t="shared" si="19"/>
        <v>124739.58</v>
      </c>
      <c r="H32" s="37" t="s">
        <v>91</v>
      </c>
      <c r="I32" s="233">
        <v>13</v>
      </c>
      <c r="J32" s="39">
        <v>2000</v>
      </c>
      <c r="K32" s="17">
        <f t="shared" si="1"/>
        <v>153.84615384615384</v>
      </c>
      <c r="L32" s="233">
        <v>13</v>
      </c>
      <c r="M32" s="18">
        <f t="shared" si="20"/>
        <v>1903.6363636363626</v>
      </c>
      <c r="N32" s="17">
        <f t="shared" si="3"/>
        <v>146.43356643356634</v>
      </c>
      <c r="O32" s="19">
        <f t="shared" si="4"/>
        <v>0</v>
      </c>
      <c r="P32" s="20">
        <f t="shared" si="5"/>
        <v>-7.4125874125874986</v>
      </c>
      <c r="Q32" s="234">
        <f t="shared" si="6"/>
        <v>0.95181818181818123</v>
      </c>
      <c r="R32" s="637"/>
      <c r="S32" s="40">
        <v>0.84930555555555554</v>
      </c>
      <c r="T32" s="40">
        <v>0.90277777777777779</v>
      </c>
      <c r="U32" s="232">
        <f t="shared" si="22"/>
        <v>57.999999999999957</v>
      </c>
      <c r="V32" s="235">
        <f t="shared" si="21"/>
        <v>77.000000000000043</v>
      </c>
      <c r="W32" s="23"/>
      <c r="X32" s="23"/>
      <c r="Y32" s="26"/>
      <c r="Z32" s="26"/>
      <c r="AA32" s="238"/>
      <c r="AB32" s="239"/>
      <c r="AC32" s="25"/>
      <c r="AD32" s="25"/>
      <c r="AE32" s="19">
        <f t="shared" si="8"/>
        <v>-96.363636363637397</v>
      </c>
      <c r="AF32" s="234">
        <f t="shared" si="9"/>
        <v>0.95181818181818134</v>
      </c>
      <c r="AG32" s="637"/>
    </row>
    <row r="33" spans="1:33" ht="15.75" customHeight="1">
      <c r="A33" s="656" t="s">
        <v>1075</v>
      </c>
      <c r="B33" s="42" t="s">
        <v>1073</v>
      </c>
      <c r="C33" s="638"/>
      <c r="D33" s="638"/>
      <c r="E33" s="240"/>
      <c r="F33" s="237"/>
      <c r="G33" s="232"/>
      <c r="H33" s="237"/>
      <c r="I33" s="29">
        <v>14.375</v>
      </c>
      <c r="J33" s="39">
        <v>1937.5</v>
      </c>
      <c r="K33" s="17">
        <f t="shared" si="1"/>
        <v>134.78260869565219</v>
      </c>
      <c r="L33" s="29">
        <v>14.375</v>
      </c>
      <c r="M33" s="18">
        <f>AVERAGE(M25:M32)</f>
        <v>1858.8397537238091</v>
      </c>
      <c r="N33" s="17">
        <f t="shared" si="3"/>
        <v>129.31059156339541</v>
      </c>
      <c r="O33" s="19">
        <f t="shared" si="4"/>
        <v>0</v>
      </c>
      <c r="P33" s="20">
        <f t="shared" si="5"/>
        <v>-5.4720171322567808</v>
      </c>
      <c r="Q33" s="234">
        <f t="shared" si="6"/>
        <v>0.95940116321228841</v>
      </c>
      <c r="R33" s="637"/>
      <c r="S33" s="40"/>
      <c r="T33" s="40"/>
      <c r="U33" s="17"/>
      <c r="V33" s="235"/>
      <c r="W33" s="17"/>
      <c r="X33" s="17"/>
      <c r="Y33" s="30">
        <f>SUM(Y25:Y32)</f>
        <v>0</v>
      </c>
      <c r="Z33" s="30">
        <f>SUM(Z25:Z32)</f>
        <v>0</v>
      </c>
      <c r="AA33" s="631"/>
      <c r="AB33" s="631"/>
      <c r="AC33" s="30">
        <v>8</v>
      </c>
      <c r="AD33" s="30">
        <f>SUM(AD25:AD32)</f>
        <v>0</v>
      </c>
      <c r="AE33" s="19">
        <f t="shared" si="8"/>
        <v>-78.660246276190946</v>
      </c>
      <c r="AF33" s="234">
        <f t="shared" si="9"/>
        <v>0.95940116321228852</v>
      </c>
      <c r="AG33" s="637"/>
    </row>
    <row r="34" spans="1:33" ht="15.75" customHeight="1">
      <c r="A34" s="654" t="s">
        <v>1076</v>
      </c>
      <c r="B34" s="42" t="s">
        <v>116</v>
      </c>
      <c r="C34" s="653" t="s">
        <v>117</v>
      </c>
      <c r="D34" s="653"/>
      <c r="E34" s="42">
        <v>31.29</v>
      </c>
      <c r="F34" s="237">
        <v>4600</v>
      </c>
      <c r="G34" s="232">
        <f t="shared" ref="G34:G40" si="23">E34*F34</f>
        <v>143934</v>
      </c>
      <c r="H34" s="37">
        <v>2</v>
      </c>
      <c r="I34" s="233">
        <v>18</v>
      </c>
      <c r="J34" s="39">
        <v>2400</v>
      </c>
      <c r="K34" s="17">
        <f t="shared" si="1"/>
        <v>133.33333333333334</v>
      </c>
      <c r="L34" s="233">
        <v>18</v>
      </c>
      <c r="M34" s="18">
        <f t="shared" ref="M34:M40" si="24">F34/V34*60</f>
        <v>2300</v>
      </c>
      <c r="N34" s="17">
        <f t="shared" si="3"/>
        <v>127.77777777777777</v>
      </c>
      <c r="O34" s="19">
        <f t="shared" si="4"/>
        <v>0</v>
      </c>
      <c r="P34" s="20">
        <f t="shared" si="5"/>
        <v>-5.5555555555555713</v>
      </c>
      <c r="Q34" s="234">
        <f t="shared" si="6"/>
        <v>0.95833333333333326</v>
      </c>
      <c r="R34" s="637">
        <f>Q41</f>
        <v>0.95517246517545351</v>
      </c>
      <c r="S34" s="40">
        <v>8.3333333333333329E-2</v>
      </c>
      <c r="T34" s="40">
        <v>0.16666666666666666</v>
      </c>
      <c r="U34" s="232"/>
      <c r="V34" s="235">
        <f t="shared" ref="V34:V40" si="25">(T34-S34)*24*60</f>
        <v>120</v>
      </c>
      <c r="W34" s="23">
        <f>T34</f>
        <v>0.16666666666666666</v>
      </c>
      <c r="X34" s="23">
        <f>S35</f>
        <v>0.18402777777777773</v>
      </c>
      <c r="Y34" s="23"/>
      <c r="Z34" s="23"/>
      <c r="AA34" s="632"/>
      <c r="AB34" s="632"/>
      <c r="AC34" s="25">
        <v>7</v>
      </c>
      <c r="AD34" s="25"/>
      <c r="AE34" s="19">
        <f t="shared" si="8"/>
        <v>-100</v>
      </c>
      <c r="AF34" s="234">
        <f t="shared" si="9"/>
        <v>0.95833333333333337</v>
      </c>
      <c r="AG34" s="637">
        <f>AF41</f>
        <v>0.95517246517545362</v>
      </c>
    </row>
    <row r="35" spans="1:33" ht="15.75" customHeight="1">
      <c r="A35" s="654" t="s">
        <v>1077</v>
      </c>
      <c r="B35" s="42" t="s">
        <v>116</v>
      </c>
      <c r="C35" s="653" t="s">
        <v>118</v>
      </c>
      <c r="D35" s="653"/>
      <c r="E35" s="42">
        <v>26.37</v>
      </c>
      <c r="F35" s="237">
        <v>6629</v>
      </c>
      <c r="G35" s="232">
        <f t="shared" si="23"/>
        <v>174806.73</v>
      </c>
      <c r="H35" s="37" t="s">
        <v>91</v>
      </c>
      <c r="I35" s="233">
        <v>18</v>
      </c>
      <c r="J35" s="39">
        <v>2400</v>
      </c>
      <c r="K35" s="17">
        <f t="shared" si="1"/>
        <v>133.33333333333334</v>
      </c>
      <c r="L35" s="233">
        <v>18</v>
      </c>
      <c r="M35" s="18">
        <f t="shared" si="24"/>
        <v>2285.8620689655172</v>
      </c>
      <c r="N35" s="17">
        <f t="shared" si="3"/>
        <v>126.99233716475095</v>
      </c>
      <c r="O35" s="19">
        <f t="shared" si="4"/>
        <v>0</v>
      </c>
      <c r="P35" s="20">
        <f t="shared" si="5"/>
        <v>-6.340996168582393</v>
      </c>
      <c r="Q35" s="234">
        <f t="shared" si="6"/>
        <v>0.95244252873563207</v>
      </c>
      <c r="R35" s="637"/>
      <c r="S35" s="40">
        <v>0.18402777777777773</v>
      </c>
      <c r="T35" s="40">
        <v>0.30486111111111108</v>
      </c>
      <c r="U35" s="232">
        <f t="shared" ref="U35:U40" si="26">(S35-T34)*24*60</f>
        <v>24.99999999999995</v>
      </c>
      <c r="V35" s="235">
        <f t="shared" si="25"/>
        <v>174.00000000000003</v>
      </c>
      <c r="W35" s="23"/>
      <c r="X35" s="23"/>
      <c r="Y35" s="23"/>
      <c r="Z35" s="23"/>
      <c r="AA35" s="632"/>
      <c r="AB35" s="632"/>
      <c r="AC35" s="25"/>
      <c r="AD35" s="25"/>
      <c r="AE35" s="19">
        <f t="shared" si="8"/>
        <v>-114.13793103448279</v>
      </c>
      <c r="AF35" s="234">
        <f t="shared" si="9"/>
        <v>0.95244252873563218</v>
      </c>
      <c r="AG35" s="637"/>
    </row>
    <row r="36" spans="1:33" ht="15.75" customHeight="1">
      <c r="A36" s="654" t="s">
        <v>1077</v>
      </c>
      <c r="B36" s="42" t="s">
        <v>116</v>
      </c>
      <c r="C36" s="653" t="s">
        <v>124</v>
      </c>
      <c r="D36" s="653"/>
      <c r="E36" s="42">
        <v>24.43</v>
      </c>
      <c r="F36" s="237">
        <v>4100</v>
      </c>
      <c r="G36" s="232">
        <f t="shared" si="23"/>
        <v>100163</v>
      </c>
      <c r="H36" s="37">
        <v>2</v>
      </c>
      <c r="I36" s="233">
        <v>14</v>
      </c>
      <c r="J36" s="39">
        <v>2400</v>
      </c>
      <c r="K36" s="17">
        <f t="shared" si="1"/>
        <v>171.42857142857142</v>
      </c>
      <c r="L36" s="233">
        <v>14</v>
      </c>
      <c r="M36" s="18">
        <f t="shared" si="24"/>
        <v>2299.0654205607475</v>
      </c>
      <c r="N36" s="17">
        <f t="shared" si="3"/>
        <v>164.21895861148195</v>
      </c>
      <c r="O36" s="19">
        <f t="shared" si="4"/>
        <v>0</v>
      </c>
      <c r="P36" s="20">
        <f t="shared" si="5"/>
        <v>-7.2096128170894644</v>
      </c>
      <c r="Q36" s="234">
        <f t="shared" si="6"/>
        <v>0.9579439252336448</v>
      </c>
      <c r="R36" s="637"/>
      <c r="S36" s="40">
        <v>0.30833333333333329</v>
      </c>
      <c r="T36" s="40">
        <v>0.38263888888888886</v>
      </c>
      <c r="U36" s="232">
        <f t="shared" si="26"/>
        <v>4.9999999999999822</v>
      </c>
      <c r="V36" s="235">
        <f t="shared" si="25"/>
        <v>107.00000000000001</v>
      </c>
      <c r="W36" s="23"/>
      <c r="X36" s="23"/>
      <c r="Y36" s="23"/>
      <c r="Z36" s="23"/>
      <c r="AA36" s="632"/>
      <c r="AB36" s="632"/>
      <c r="AC36" s="25"/>
      <c r="AD36" s="25"/>
      <c r="AE36" s="19">
        <f t="shared" si="8"/>
        <v>-100.9345794392525</v>
      </c>
      <c r="AF36" s="234">
        <f t="shared" si="9"/>
        <v>0.9579439252336448</v>
      </c>
      <c r="AG36" s="637"/>
    </row>
    <row r="37" spans="1:33" ht="15.75" customHeight="1">
      <c r="A37" s="654" t="s">
        <v>1076</v>
      </c>
      <c r="B37" s="42" t="s">
        <v>116</v>
      </c>
      <c r="C37" s="653" t="s">
        <v>147</v>
      </c>
      <c r="D37" s="653"/>
      <c r="E37" s="42">
        <v>25.98</v>
      </c>
      <c r="F37" s="237">
        <v>2824</v>
      </c>
      <c r="G37" s="232">
        <f t="shared" si="23"/>
        <v>73367.520000000004</v>
      </c>
      <c r="H37" s="37" t="s">
        <v>91</v>
      </c>
      <c r="I37" s="233">
        <v>17</v>
      </c>
      <c r="J37" s="39">
        <v>2400</v>
      </c>
      <c r="K37" s="17">
        <f t="shared" si="1"/>
        <v>141.1764705882353</v>
      </c>
      <c r="L37" s="233">
        <v>17</v>
      </c>
      <c r="M37" s="18">
        <f t="shared" si="24"/>
        <v>2289.7297297297305</v>
      </c>
      <c r="N37" s="17">
        <f t="shared" si="3"/>
        <v>134.68998410174885</v>
      </c>
      <c r="O37" s="19">
        <f t="shared" si="4"/>
        <v>0</v>
      </c>
      <c r="P37" s="20">
        <f t="shared" si="5"/>
        <v>-6.4864864864864558</v>
      </c>
      <c r="Q37" s="234">
        <f t="shared" si="6"/>
        <v>0.9540540540540543</v>
      </c>
      <c r="R37" s="637"/>
      <c r="S37" s="40">
        <v>0.38680555555555551</v>
      </c>
      <c r="T37" s="40">
        <v>0.43819444444444439</v>
      </c>
      <c r="U37" s="232">
        <f t="shared" si="26"/>
        <v>5.9999999999999787</v>
      </c>
      <c r="V37" s="235">
        <f t="shared" si="25"/>
        <v>73.999999999999972</v>
      </c>
      <c r="W37" s="23"/>
      <c r="X37" s="23"/>
      <c r="Y37" s="23"/>
      <c r="Z37" s="23"/>
      <c r="AA37" s="632"/>
      <c r="AB37" s="632"/>
      <c r="AC37" s="25"/>
      <c r="AD37" s="25"/>
      <c r="AE37" s="19">
        <f t="shared" si="8"/>
        <v>-110.27027027026952</v>
      </c>
      <c r="AF37" s="234">
        <f t="shared" si="9"/>
        <v>0.95405405405405441</v>
      </c>
      <c r="AG37" s="637"/>
    </row>
    <row r="38" spans="1:33" ht="15.75" customHeight="1">
      <c r="A38" s="654" t="s">
        <v>1078</v>
      </c>
      <c r="B38" s="42" t="s">
        <v>116</v>
      </c>
      <c r="C38" s="653" t="s">
        <v>122</v>
      </c>
      <c r="D38" s="653"/>
      <c r="E38" s="42">
        <v>20.21</v>
      </c>
      <c r="F38" s="237">
        <v>2168</v>
      </c>
      <c r="G38" s="232">
        <f t="shared" si="23"/>
        <v>43815.28</v>
      </c>
      <c r="H38" s="37" t="s">
        <v>91</v>
      </c>
      <c r="I38" s="233">
        <v>18</v>
      </c>
      <c r="J38" s="39">
        <v>2400</v>
      </c>
      <c r="K38" s="17">
        <f t="shared" si="1"/>
        <v>133.33333333333334</v>
      </c>
      <c r="L38" s="233">
        <v>18</v>
      </c>
      <c r="M38" s="18">
        <f t="shared" si="24"/>
        <v>2282.1052631578937</v>
      </c>
      <c r="N38" s="17">
        <f t="shared" si="3"/>
        <v>126.78362573099409</v>
      </c>
      <c r="O38" s="19">
        <f t="shared" si="4"/>
        <v>0</v>
      </c>
      <c r="P38" s="20">
        <f t="shared" si="5"/>
        <v>-6.5497076023392538</v>
      </c>
      <c r="Q38" s="234">
        <f t="shared" si="6"/>
        <v>0.95087719298245565</v>
      </c>
      <c r="R38" s="637"/>
      <c r="S38" s="40">
        <v>0.44236111111111104</v>
      </c>
      <c r="T38" s="40">
        <v>0.4819444444444444</v>
      </c>
      <c r="U38" s="232">
        <f t="shared" si="26"/>
        <v>5.9999999999999787</v>
      </c>
      <c r="V38" s="235">
        <f t="shared" si="25"/>
        <v>57.000000000000036</v>
      </c>
      <c r="W38" s="23">
        <f>T38</f>
        <v>0.4819444444444444</v>
      </c>
      <c r="X38" s="23">
        <f>S39</f>
        <v>0.5215277777777777</v>
      </c>
      <c r="Y38" s="23"/>
      <c r="Z38" s="23"/>
      <c r="AA38" s="632"/>
      <c r="AB38" s="632"/>
      <c r="AC38" s="25"/>
      <c r="AD38" s="25"/>
      <c r="AE38" s="19">
        <f t="shared" si="8"/>
        <v>-117.89473684210634</v>
      </c>
      <c r="AF38" s="234">
        <f t="shared" si="9"/>
        <v>0.95087719298245565</v>
      </c>
      <c r="AG38" s="637"/>
    </row>
    <row r="39" spans="1:33" ht="15.75" customHeight="1">
      <c r="A39" s="654" t="s">
        <v>63</v>
      </c>
      <c r="B39" s="42" t="s">
        <v>116</v>
      </c>
      <c r="C39" s="653" t="s">
        <v>117</v>
      </c>
      <c r="D39" s="653"/>
      <c r="E39" s="42">
        <v>31.29</v>
      </c>
      <c r="F39" s="237">
        <v>5280</v>
      </c>
      <c r="G39" s="232">
        <f t="shared" si="23"/>
        <v>165211.19999999998</v>
      </c>
      <c r="H39" s="37" t="s">
        <v>91</v>
      </c>
      <c r="I39" s="233">
        <v>18</v>
      </c>
      <c r="J39" s="39">
        <v>2400</v>
      </c>
      <c r="K39" s="17">
        <f t="shared" si="1"/>
        <v>133.33333333333334</v>
      </c>
      <c r="L39" s="233">
        <v>18</v>
      </c>
      <c r="M39" s="18">
        <f t="shared" si="24"/>
        <v>2295.6521739130435</v>
      </c>
      <c r="N39" s="17">
        <f t="shared" si="3"/>
        <v>127.53623188405797</v>
      </c>
      <c r="O39" s="19">
        <f t="shared" si="4"/>
        <v>0</v>
      </c>
      <c r="P39" s="20">
        <f t="shared" si="5"/>
        <v>-5.7971014492753739</v>
      </c>
      <c r="Q39" s="234">
        <f t="shared" si="6"/>
        <v>0.9565217391304347</v>
      </c>
      <c r="R39" s="637"/>
      <c r="S39" s="40">
        <v>0.5215277777777777</v>
      </c>
      <c r="T39" s="40">
        <v>0.61736111111111103</v>
      </c>
      <c r="U39" s="232">
        <f t="shared" si="26"/>
        <v>56.999999999999957</v>
      </c>
      <c r="V39" s="235">
        <f t="shared" si="25"/>
        <v>138</v>
      </c>
      <c r="W39" s="23"/>
      <c r="X39" s="23"/>
      <c r="Y39" s="23"/>
      <c r="Z39" s="23"/>
      <c r="AA39" s="632"/>
      <c r="AB39" s="632"/>
      <c r="AC39" s="25"/>
      <c r="AD39" s="25"/>
      <c r="AE39" s="19">
        <f t="shared" si="8"/>
        <v>-104.3478260869565</v>
      </c>
      <c r="AF39" s="234">
        <f t="shared" si="9"/>
        <v>0.95652173913043481</v>
      </c>
      <c r="AG39" s="637"/>
    </row>
    <row r="40" spans="1:33" ht="15.75" customHeight="1">
      <c r="A40" s="654" t="s">
        <v>63</v>
      </c>
      <c r="B40" s="42" t="s">
        <v>116</v>
      </c>
      <c r="C40" s="653" t="s">
        <v>124</v>
      </c>
      <c r="D40" s="653"/>
      <c r="E40" s="42">
        <v>24.43</v>
      </c>
      <c r="F40" s="237">
        <v>3327</v>
      </c>
      <c r="G40" s="232">
        <f t="shared" si="23"/>
        <v>81278.61</v>
      </c>
      <c r="H40" s="37" t="s">
        <v>91</v>
      </c>
      <c r="I40" s="233">
        <v>14</v>
      </c>
      <c r="J40" s="39">
        <v>2400</v>
      </c>
      <c r="K40" s="17">
        <f t="shared" si="1"/>
        <v>171.42857142857142</v>
      </c>
      <c r="L40" s="233">
        <v>14</v>
      </c>
      <c r="M40" s="18">
        <f t="shared" si="24"/>
        <v>2294.4827586206893</v>
      </c>
      <c r="N40" s="17">
        <f t="shared" si="3"/>
        <v>163.89162561576353</v>
      </c>
      <c r="O40" s="19">
        <f t="shared" si="4"/>
        <v>0</v>
      </c>
      <c r="P40" s="20">
        <f t="shared" si="5"/>
        <v>-7.5369458128078861</v>
      </c>
      <c r="Q40" s="234">
        <f t="shared" si="6"/>
        <v>0.95603448275862069</v>
      </c>
      <c r="R40" s="637"/>
      <c r="S40" s="40">
        <v>0.62083333333333324</v>
      </c>
      <c r="T40" s="40">
        <v>0.68124999999999991</v>
      </c>
      <c r="U40" s="232">
        <f t="shared" si="26"/>
        <v>4.9999999999999822</v>
      </c>
      <c r="V40" s="235">
        <f t="shared" si="25"/>
        <v>87.000000000000014</v>
      </c>
      <c r="W40" s="23"/>
      <c r="X40" s="23"/>
      <c r="Y40" s="23"/>
      <c r="Z40" s="23"/>
      <c r="AA40" s="632"/>
      <c r="AB40" s="632"/>
      <c r="AC40" s="25"/>
      <c r="AD40" s="25"/>
      <c r="AE40" s="19">
        <f t="shared" si="8"/>
        <v>-105.51724137931069</v>
      </c>
      <c r="AF40" s="234">
        <f t="shared" si="9"/>
        <v>0.95603448275862057</v>
      </c>
      <c r="AG40" s="637"/>
    </row>
    <row r="41" spans="1:33" ht="15.75" customHeight="1">
      <c r="A41" s="654" t="s">
        <v>1077</v>
      </c>
      <c r="B41" s="42" t="s">
        <v>52</v>
      </c>
      <c r="C41" s="638"/>
      <c r="D41" s="638"/>
      <c r="E41" s="240"/>
      <c r="F41" s="237"/>
      <c r="G41" s="232"/>
      <c r="H41" s="237"/>
      <c r="I41" s="29">
        <v>16.714285714285715</v>
      </c>
      <c r="J41" s="39">
        <v>2400</v>
      </c>
      <c r="K41" s="17">
        <f t="shared" si="1"/>
        <v>143.58974358974359</v>
      </c>
      <c r="L41" s="29">
        <v>16.714285714285715</v>
      </c>
      <c r="M41" s="18">
        <f>AVERAGE(M34:M40)</f>
        <v>2292.4139164210887</v>
      </c>
      <c r="N41" s="17">
        <f t="shared" si="3"/>
        <v>137.15296935852666</v>
      </c>
      <c r="O41" s="19">
        <f t="shared" si="4"/>
        <v>0</v>
      </c>
      <c r="P41" s="20">
        <f t="shared" si="5"/>
        <v>-6.4367742312169298</v>
      </c>
      <c r="Q41" s="234">
        <f t="shared" si="6"/>
        <v>0.95517246517545351</v>
      </c>
      <c r="R41" s="637"/>
      <c r="S41" s="40"/>
      <c r="T41" s="40"/>
      <c r="U41" s="232"/>
      <c r="V41" s="235"/>
      <c r="W41" s="232"/>
      <c r="X41" s="232"/>
      <c r="Y41" s="30">
        <f>SUM(Y34:Y40)</f>
        <v>0</v>
      </c>
      <c r="Z41" s="30">
        <f>SUM(Z34:Z40)</f>
        <v>0</v>
      </c>
      <c r="AA41" s="631"/>
      <c r="AB41" s="631"/>
      <c r="AC41" s="30">
        <v>7</v>
      </c>
      <c r="AD41" s="30">
        <f>SUM(AD34:AD40)</f>
        <v>0</v>
      </c>
      <c r="AE41" s="19">
        <f t="shared" si="8"/>
        <v>-107.58608357891126</v>
      </c>
      <c r="AF41" s="234">
        <f t="shared" si="9"/>
        <v>0.95517246517545362</v>
      </c>
      <c r="AG41" s="637"/>
    </row>
    <row r="42" spans="1:33" ht="15.75" customHeight="1">
      <c r="A42" s="651" t="s">
        <v>1079</v>
      </c>
      <c r="B42" s="42" t="s">
        <v>116</v>
      </c>
      <c r="C42" s="633" t="s">
        <v>123</v>
      </c>
      <c r="D42" s="633"/>
      <c r="E42" s="42">
        <v>26.18</v>
      </c>
      <c r="F42" s="237">
        <v>3600</v>
      </c>
      <c r="G42" s="232">
        <f t="shared" ref="G42:G49" si="27">E42*F42</f>
        <v>94248</v>
      </c>
      <c r="H42" s="37">
        <v>2</v>
      </c>
      <c r="I42" s="233">
        <v>20</v>
      </c>
      <c r="J42" s="39">
        <v>2400</v>
      </c>
      <c r="K42" s="17">
        <f t="shared" si="1"/>
        <v>120</v>
      </c>
      <c r="L42" s="233">
        <v>20</v>
      </c>
      <c r="M42" s="18">
        <f t="shared" ref="M42:M49" si="28">F42/V42*60</f>
        <v>2297.8723404255315</v>
      </c>
      <c r="N42" s="17">
        <f t="shared" si="3"/>
        <v>114.89361702127658</v>
      </c>
      <c r="O42" s="19">
        <f t="shared" si="4"/>
        <v>0</v>
      </c>
      <c r="P42" s="20">
        <f t="shared" si="5"/>
        <v>-5.106382978723417</v>
      </c>
      <c r="Q42" s="234">
        <f t="shared" si="6"/>
        <v>0.95744680851063824</v>
      </c>
      <c r="R42" s="637">
        <f>Q50</f>
        <v>0.95413620862553228</v>
      </c>
      <c r="S42" s="40">
        <v>8.3333333333333329E-2</v>
      </c>
      <c r="T42" s="40">
        <v>0.14861111111111111</v>
      </c>
      <c r="U42" s="232"/>
      <c r="V42" s="235">
        <f t="shared" ref="V42:V49" si="29">(T42-S42)*24*60</f>
        <v>94.000000000000014</v>
      </c>
      <c r="W42" s="28">
        <f>T42</f>
        <v>0.14861111111111111</v>
      </c>
      <c r="X42" s="28">
        <f>S43</f>
        <v>0.16666666666666666</v>
      </c>
      <c r="Y42" s="28"/>
      <c r="Z42" s="28"/>
      <c r="AA42" s="632"/>
      <c r="AB42" s="632"/>
      <c r="AC42" s="25">
        <v>8</v>
      </c>
      <c r="AD42" s="25"/>
      <c r="AE42" s="19">
        <f t="shared" si="8"/>
        <v>-102.12765957446845</v>
      </c>
      <c r="AF42" s="234">
        <f t="shared" si="9"/>
        <v>0.95744680851063813</v>
      </c>
      <c r="AG42" s="637">
        <f>AF50</f>
        <v>0.95413620862553239</v>
      </c>
    </row>
    <row r="43" spans="1:33" ht="15.75" customHeight="1">
      <c r="A43" s="651" t="s">
        <v>68</v>
      </c>
      <c r="B43" s="42" t="s">
        <v>116</v>
      </c>
      <c r="C43" s="633" t="s">
        <v>125</v>
      </c>
      <c r="D43" s="633"/>
      <c r="E43" s="42">
        <v>25.98</v>
      </c>
      <c r="F43" s="237">
        <v>3359</v>
      </c>
      <c r="G43" s="232">
        <f t="shared" si="27"/>
        <v>87266.82</v>
      </c>
      <c r="H43" s="37" t="s">
        <v>91</v>
      </c>
      <c r="I43" s="233">
        <v>20</v>
      </c>
      <c r="J43" s="39">
        <v>2400</v>
      </c>
      <c r="K43" s="17">
        <f t="shared" si="1"/>
        <v>120</v>
      </c>
      <c r="L43" s="233">
        <v>20</v>
      </c>
      <c r="M43" s="18">
        <f t="shared" si="28"/>
        <v>2290.227272727273</v>
      </c>
      <c r="N43" s="17">
        <f t="shared" si="3"/>
        <v>114.51136363636365</v>
      </c>
      <c r="O43" s="19">
        <f t="shared" si="4"/>
        <v>0</v>
      </c>
      <c r="P43" s="20">
        <f t="shared" si="5"/>
        <v>-5.4886363636363455</v>
      </c>
      <c r="Q43" s="234">
        <f t="shared" si="6"/>
        <v>0.95426136363636382</v>
      </c>
      <c r="R43" s="637"/>
      <c r="S43" s="40">
        <v>0.16666666666666666</v>
      </c>
      <c r="T43" s="40">
        <v>0.22777777777777777</v>
      </c>
      <c r="U43" s="232">
        <f t="shared" ref="U43:U49" si="30">(S43-T42)*24*60</f>
        <v>25.999999999999986</v>
      </c>
      <c r="V43" s="235">
        <f t="shared" si="29"/>
        <v>88</v>
      </c>
      <c r="W43" s="232"/>
      <c r="X43" s="232"/>
      <c r="Y43" s="232"/>
      <c r="Z43" s="232"/>
      <c r="AA43" s="632"/>
      <c r="AB43" s="632"/>
      <c r="AC43" s="25"/>
      <c r="AD43" s="25"/>
      <c r="AE43" s="19">
        <f t="shared" si="8"/>
        <v>-109.77272727272702</v>
      </c>
      <c r="AF43" s="234">
        <f t="shared" si="9"/>
        <v>0.95426136363636371</v>
      </c>
      <c r="AG43" s="637"/>
    </row>
    <row r="44" spans="1:33">
      <c r="A44" s="652" t="s">
        <v>1080</v>
      </c>
      <c r="B44" s="42" t="s">
        <v>116</v>
      </c>
      <c r="C44" s="633" t="s">
        <v>119</v>
      </c>
      <c r="D44" s="633"/>
      <c r="E44" s="42">
        <v>26.18</v>
      </c>
      <c r="F44" s="237">
        <v>4800</v>
      </c>
      <c r="G44" s="232">
        <f t="shared" si="27"/>
        <v>125664</v>
      </c>
      <c r="H44" s="37">
        <v>2</v>
      </c>
      <c r="I44" s="233">
        <v>18</v>
      </c>
      <c r="J44" s="39">
        <v>2400</v>
      </c>
      <c r="K44" s="17">
        <f t="shared" si="1"/>
        <v>133.33333333333334</v>
      </c>
      <c r="L44" s="233">
        <v>18</v>
      </c>
      <c r="M44" s="18">
        <f t="shared" si="28"/>
        <v>2285.7142857142853</v>
      </c>
      <c r="N44" s="17">
        <f t="shared" si="3"/>
        <v>126.98412698412696</v>
      </c>
      <c r="O44" s="19">
        <f t="shared" si="4"/>
        <v>0</v>
      </c>
      <c r="P44" s="20">
        <f t="shared" si="5"/>
        <v>-6.3492063492063835</v>
      </c>
      <c r="Q44" s="234">
        <f t="shared" si="6"/>
        <v>0.95238095238095211</v>
      </c>
      <c r="R44" s="637"/>
      <c r="S44" s="40">
        <v>0.2326388888888889</v>
      </c>
      <c r="T44" s="40">
        <v>0.32013888888888892</v>
      </c>
      <c r="U44" s="232">
        <f t="shared" si="30"/>
        <v>7.0000000000000151</v>
      </c>
      <c r="V44" s="235">
        <f t="shared" si="29"/>
        <v>126.00000000000003</v>
      </c>
      <c r="W44" s="232"/>
      <c r="X44" s="232"/>
      <c r="Y44" s="232"/>
      <c r="Z44" s="232"/>
      <c r="AA44" s="632"/>
      <c r="AB44" s="632"/>
      <c r="AC44" s="25"/>
      <c r="AD44" s="25"/>
      <c r="AE44" s="19">
        <f t="shared" si="8"/>
        <v>-114.28571428571468</v>
      </c>
      <c r="AF44" s="234">
        <f t="shared" si="9"/>
        <v>0.95238095238095222</v>
      </c>
      <c r="AG44" s="637"/>
    </row>
    <row r="45" spans="1:33">
      <c r="A45" s="652" t="s">
        <v>68</v>
      </c>
      <c r="B45" s="42" t="s">
        <v>116</v>
      </c>
      <c r="C45" s="633" t="s">
        <v>121</v>
      </c>
      <c r="D45" s="633"/>
      <c r="E45" s="42">
        <v>25.99</v>
      </c>
      <c r="F45" s="237">
        <v>4013</v>
      </c>
      <c r="G45" s="232">
        <f t="shared" si="27"/>
        <v>104297.87</v>
      </c>
      <c r="H45" s="37" t="s">
        <v>91</v>
      </c>
      <c r="I45" s="233">
        <v>14</v>
      </c>
      <c r="J45" s="39">
        <v>2400</v>
      </c>
      <c r="K45" s="17">
        <f t="shared" si="1"/>
        <v>171.42857142857142</v>
      </c>
      <c r="L45" s="233">
        <v>14</v>
      </c>
      <c r="M45" s="18">
        <f t="shared" si="28"/>
        <v>2293.1428571428564</v>
      </c>
      <c r="N45" s="17">
        <f t="shared" si="3"/>
        <v>163.7959183673469</v>
      </c>
      <c r="O45" s="19">
        <f t="shared" si="4"/>
        <v>0</v>
      </c>
      <c r="P45" s="20">
        <f t="shared" si="5"/>
        <v>-7.6326530612245165</v>
      </c>
      <c r="Q45" s="234">
        <f t="shared" si="6"/>
        <v>0.95547619047619037</v>
      </c>
      <c r="R45" s="637"/>
      <c r="S45" s="40">
        <v>0.32361111111111113</v>
      </c>
      <c r="T45" s="40">
        <v>0.39652777777777781</v>
      </c>
      <c r="U45" s="232">
        <f t="shared" si="30"/>
        <v>4.9999999999999822</v>
      </c>
      <c r="V45" s="235">
        <f t="shared" si="29"/>
        <v>105.00000000000003</v>
      </c>
      <c r="W45" s="23"/>
      <c r="X45" s="23"/>
      <c r="Y45" s="23"/>
      <c r="Z45" s="23"/>
      <c r="AA45" s="632"/>
      <c r="AB45" s="632"/>
      <c r="AC45" s="25"/>
      <c r="AD45" s="25"/>
      <c r="AE45" s="19">
        <f t="shared" si="8"/>
        <v>-106.85714285714357</v>
      </c>
      <c r="AF45" s="234">
        <f t="shared" si="9"/>
        <v>0.95547619047619015</v>
      </c>
      <c r="AG45" s="637"/>
    </row>
    <row r="46" spans="1:33">
      <c r="A46" s="652" t="s">
        <v>1079</v>
      </c>
      <c r="B46" s="42" t="s">
        <v>116</v>
      </c>
      <c r="C46" s="633" t="s">
        <v>126</v>
      </c>
      <c r="D46" s="633"/>
      <c r="E46" s="42">
        <v>34.1</v>
      </c>
      <c r="F46" s="237">
        <v>3600</v>
      </c>
      <c r="G46" s="232">
        <f t="shared" si="27"/>
        <v>122760</v>
      </c>
      <c r="H46" s="37">
        <v>2</v>
      </c>
      <c r="I46" s="233">
        <v>17</v>
      </c>
      <c r="J46" s="39">
        <v>1600</v>
      </c>
      <c r="K46" s="17">
        <f t="shared" si="1"/>
        <v>94.117647058823536</v>
      </c>
      <c r="L46" s="233">
        <v>17</v>
      </c>
      <c r="M46" s="18">
        <f t="shared" si="28"/>
        <v>1521.1267605633807</v>
      </c>
      <c r="N46" s="17">
        <f t="shared" si="3"/>
        <v>89.478044739022394</v>
      </c>
      <c r="O46" s="19">
        <f t="shared" si="4"/>
        <v>0</v>
      </c>
      <c r="P46" s="20">
        <f t="shared" si="5"/>
        <v>-4.639602319801142</v>
      </c>
      <c r="Q46" s="234">
        <f t="shared" si="6"/>
        <v>0.95070422535211285</v>
      </c>
      <c r="R46" s="637"/>
      <c r="S46" s="40">
        <v>0.40069444444444446</v>
      </c>
      <c r="T46" s="40">
        <v>0.49930555555555556</v>
      </c>
      <c r="U46" s="232">
        <f t="shared" si="30"/>
        <v>5.9999999999999787</v>
      </c>
      <c r="V46" s="235">
        <f t="shared" si="29"/>
        <v>141.99999999999997</v>
      </c>
      <c r="W46" s="23">
        <f>T46</f>
        <v>0.49930555555555556</v>
      </c>
      <c r="X46" s="23">
        <f>S47</f>
        <v>0.54097222222222219</v>
      </c>
      <c r="Y46" s="23"/>
      <c r="Z46" s="23"/>
      <c r="AA46" s="632"/>
      <c r="AB46" s="632"/>
      <c r="AC46" s="25"/>
      <c r="AD46" s="25"/>
      <c r="AE46" s="19">
        <f t="shared" si="8"/>
        <v>-78.873239436619315</v>
      </c>
      <c r="AF46" s="234">
        <f t="shared" si="9"/>
        <v>0.95070422535211296</v>
      </c>
      <c r="AG46" s="637"/>
    </row>
    <row r="47" spans="1:33">
      <c r="A47" s="652" t="s">
        <v>68</v>
      </c>
      <c r="B47" s="42" t="s">
        <v>116</v>
      </c>
      <c r="C47" s="633" t="s">
        <v>123</v>
      </c>
      <c r="D47" s="633"/>
      <c r="E47" s="42">
        <v>26.18</v>
      </c>
      <c r="F47" s="237">
        <v>2781</v>
      </c>
      <c r="G47" s="232">
        <f t="shared" si="27"/>
        <v>72806.58</v>
      </c>
      <c r="H47" s="37" t="s">
        <v>91</v>
      </c>
      <c r="I47" s="233">
        <v>20</v>
      </c>
      <c r="J47" s="39">
        <v>2400</v>
      </c>
      <c r="K47" s="17">
        <f t="shared" si="1"/>
        <v>120</v>
      </c>
      <c r="L47" s="233">
        <v>20</v>
      </c>
      <c r="M47" s="18">
        <f t="shared" si="28"/>
        <v>2285.7534246575324</v>
      </c>
      <c r="N47" s="17">
        <f t="shared" si="3"/>
        <v>114.28767123287662</v>
      </c>
      <c r="O47" s="19">
        <f t="shared" si="4"/>
        <v>0</v>
      </c>
      <c r="P47" s="20">
        <f t="shared" si="5"/>
        <v>-5.7123287671233811</v>
      </c>
      <c r="Q47" s="234">
        <f t="shared" si="6"/>
        <v>0.95239726027397187</v>
      </c>
      <c r="R47" s="637"/>
      <c r="S47" s="40">
        <v>0.54097222222222219</v>
      </c>
      <c r="T47" s="40">
        <v>0.59166666666666667</v>
      </c>
      <c r="U47" s="232">
        <f t="shared" si="30"/>
        <v>59.999999999999943</v>
      </c>
      <c r="V47" s="235">
        <f t="shared" si="29"/>
        <v>73.000000000000057</v>
      </c>
      <c r="W47" s="23"/>
      <c r="X47" s="23"/>
      <c r="Y47" s="23"/>
      <c r="Z47" s="23"/>
      <c r="AA47" s="632"/>
      <c r="AB47" s="632"/>
      <c r="AC47" s="25"/>
      <c r="AD47" s="25"/>
      <c r="AE47" s="19">
        <f t="shared" si="8"/>
        <v>-114.24657534246762</v>
      </c>
      <c r="AF47" s="234">
        <f t="shared" si="9"/>
        <v>0.95239726027397187</v>
      </c>
      <c r="AG47" s="637"/>
    </row>
    <row r="48" spans="1:33">
      <c r="A48" s="652" t="s">
        <v>68</v>
      </c>
      <c r="B48" s="42" t="s">
        <v>116</v>
      </c>
      <c r="C48" s="633" t="s">
        <v>119</v>
      </c>
      <c r="D48" s="633"/>
      <c r="E48" s="42">
        <v>26.18</v>
      </c>
      <c r="F48" s="237">
        <v>3817</v>
      </c>
      <c r="G48" s="232">
        <f t="shared" si="27"/>
        <v>99929.06</v>
      </c>
      <c r="H48" s="37" t="s">
        <v>91</v>
      </c>
      <c r="I48" s="233">
        <v>18</v>
      </c>
      <c r="J48" s="39">
        <v>2400</v>
      </c>
      <c r="K48" s="17">
        <f t="shared" si="1"/>
        <v>133.33333333333334</v>
      </c>
      <c r="L48" s="233">
        <v>18</v>
      </c>
      <c r="M48" s="18">
        <f t="shared" si="28"/>
        <v>2290.2000000000007</v>
      </c>
      <c r="N48" s="17">
        <f t="shared" si="3"/>
        <v>127.23333333333338</v>
      </c>
      <c r="O48" s="19">
        <f t="shared" si="4"/>
        <v>0</v>
      </c>
      <c r="P48" s="20">
        <f t="shared" si="5"/>
        <v>-6.0999999999999659</v>
      </c>
      <c r="Q48" s="234">
        <f t="shared" si="6"/>
        <v>0.95425000000000026</v>
      </c>
      <c r="R48" s="637"/>
      <c r="S48" s="40">
        <v>0.59583333333333333</v>
      </c>
      <c r="T48" s="40">
        <v>0.66527777777777775</v>
      </c>
      <c r="U48" s="232">
        <f t="shared" si="30"/>
        <v>5.9999999999999787</v>
      </c>
      <c r="V48" s="235">
        <f t="shared" si="29"/>
        <v>99.999999999999972</v>
      </c>
      <c r="W48" s="23"/>
      <c r="X48" s="23"/>
      <c r="Y48" s="26"/>
      <c r="Z48" s="26"/>
      <c r="AA48" s="627"/>
      <c r="AB48" s="628"/>
      <c r="AC48" s="25"/>
      <c r="AD48" s="25"/>
      <c r="AE48" s="19">
        <f t="shared" si="8"/>
        <v>-109.79999999999927</v>
      </c>
      <c r="AF48" s="234">
        <f t="shared" si="9"/>
        <v>0.95425000000000026</v>
      </c>
      <c r="AG48" s="637"/>
    </row>
    <row r="49" spans="1:33">
      <c r="A49" s="652" t="s">
        <v>68</v>
      </c>
      <c r="B49" s="42" t="s">
        <v>116</v>
      </c>
      <c r="C49" s="633" t="s">
        <v>126</v>
      </c>
      <c r="D49" s="633"/>
      <c r="E49" s="42">
        <v>34.1</v>
      </c>
      <c r="F49" s="237">
        <v>3083</v>
      </c>
      <c r="G49" s="232">
        <f t="shared" si="27"/>
        <v>105130.3</v>
      </c>
      <c r="H49" s="37" t="s">
        <v>91</v>
      </c>
      <c r="I49" s="233">
        <v>17</v>
      </c>
      <c r="J49" s="39">
        <v>1600</v>
      </c>
      <c r="K49" s="17">
        <f t="shared" si="1"/>
        <v>94.117647058823536</v>
      </c>
      <c r="L49" s="233">
        <v>17</v>
      </c>
      <c r="M49" s="18">
        <f t="shared" si="28"/>
        <v>1528.7603305785117</v>
      </c>
      <c r="N49" s="17">
        <f t="shared" si="3"/>
        <v>89.927078269324213</v>
      </c>
      <c r="O49" s="19">
        <f t="shared" si="4"/>
        <v>0</v>
      </c>
      <c r="P49" s="20">
        <f t="shared" si="5"/>
        <v>-4.1905687894993235</v>
      </c>
      <c r="Q49" s="234">
        <f t="shared" si="6"/>
        <v>0.95547520661156971</v>
      </c>
      <c r="R49" s="637"/>
      <c r="S49" s="40">
        <v>0.67083333333333328</v>
      </c>
      <c r="T49" s="40">
        <v>0.75486111111111109</v>
      </c>
      <c r="U49" s="232">
        <f t="shared" si="30"/>
        <v>7.9999999999999716</v>
      </c>
      <c r="V49" s="235">
        <f t="shared" si="29"/>
        <v>121.00000000000006</v>
      </c>
      <c r="W49" s="23"/>
      <c r="X49" s="23"/>
      <c r="Y49" s="26"/>
      <c r="Z49" s="26"/>
      <c r="AA49" s="627"/>
      <c r="AB49" s="628"/>
      <c r="AC49" s="25"/>
      <c r="AD49" s="25"/>
      <c r="AE49" s="19">
        <f t="shared" si="8"/>
        <v>-71.239669421488315</v>
      </c>
      <c r="AF49" s="234">
        <f t="shared" si="9"/>
        <v>0.95547520661156982</v>
      </c>
      <c r="AG49" s="637"/>
    </row>
    <row r="50" spans="1:33">
      <c r="A50" s="652" t="s">
        <v>68</v>
      </c>
      <c r="B50" s="44" t="s">
        <v>1081</v>
      </c>
      <c r="C50" s="638"/>
      <c r="D50" s="638"/>
      <c r="E50" s="240"/>
      <c r="F50" s="44"/>
      <c r="G50" s="17"/>
      <c r="H50" s="237"/>
      <c r="I50" s="29">
        <v>18</v>
      </c>
      <c r="J50" s="39">
        <v>2200</v>
      </c>
      <c r="K50" s="17">
        <f t="shared" si="1"/>
        <v>122.22222222222223</v>
      </c>
      <c r="L50" s="29">
        <v>18</v>
      </c>
      <c r="M50" s="18">
        <f>AVERAGE(M42:M49)</f>
        <v>2099.0996589761712</v>
      </c>
      <c r="N50" s="17">
        <f t="shared" si="3"/>
        <v>116.6166477208984</v>
      </c>
      <c r="O50" s="19">
        <f t="shared" si="4"/>
        <v>0</v>
      </c>
      <c r="P50" s="20">
        <f t="shared" si="5"/>
        <v>-5.6055745013238294</v>
      </c>
      <c r="Q50" s="234">
        <f t="shared" si="6"/>
        <v>0.95413620862553228</v>
      </c>
      <c r="R50" s="637"/>
      <c r="S50" s="40"/>
      <c r="T50" s="40"/>
      <c r="U50" s="17"/>
      <c r="V50" s="235"/>
      <c r="W50" s="17"/>
      <c r="X50" s="17"/>
      <c r="Y50" s="30">
        <f>SUM(Y42:Y49)</f>
        <v>0</v>
      </c>
      <c r="Z50" s="30">
        <f>SUM(Z42:Z49)</f>
        <v>0</v>
      </c>
      <c r="AA50" s="631"/>
      <c r="AB50" s="631"/>
      <c r="AC50" s="30">
        <v>8</v>
      </c>
      <c r="AD50" s="30">
        <f>SUM(AD42:AD49)</f>
        <v>0</v>
      </c>
      <c r="AE50" s="19">
        <f t="shared" si="8"/>
        <v>-100.90034102382879</v>
      </c>
      <c r="AF50" s="234">
        <f t="shared" si="9"/>
        <v>0.95413620862553239</v>
      </c>
      <c r="AG50" s="637"/>
    </row>
    <row r="51" spans="1:33" ht="15.75" customHeight="1">
      <c r="A51" s="648" t="s">
        <v>1082</v>
      </c>
      <c r="B51" s="42" t="s">
        <v>127</v>
      </c>
      <c r="C51" s="625" t="s">
        <v>128</v>
      </c>
      <c r="D51" s="626"/>
      <c r="E51" s="42">
        <v>21.13</v>
      </c>
      <c r="F51" s="237">
        <v>6270</v>
      </c>
      <c r="G51" s="232">
        <f t="shared" ref="G51:G54" si="31">E51*F51</f>
        <v>132485.1</v>
      </c>
      <c r="H51" s="37" t="s">
        <v>91</v>
      </c>
      <c r="I51" s="233">
        <v>10</v>
      </c>
      <c r="J51" s="39">
        <v>3000</v>
      </c>
      <c r="K51" s="17">
        <f t="shared" si="1"/>
        <v>300</v>
      </c>
      <c r="L51" s="233">
        <v>10</v>
      </c>
      <c r="M51" s="18">
        <f t="shared" ref="M51:M54" si="32">F51/V51*60</f>
        <v>2871.7557251908402</v>
      </c>
      <c r="N51" s="18">
        <f t="shared" si="3"/>
        <v>287.17557251908403</v>
      </c>
      <c r="O51" s="19">
        <f t="shared" si="4"/>
        <v>0</v>
      </c>
      <c r="P51" s="20">
        <f t="shared" si="5"/>
        <v>-12.824427480915972</v>
      </c>
      <c r="Q51" s="234">
        <f t="shared" si="6"/>
        <v>0.95725190839694674</v>
      </c>
      <c r="R51" s="643">
        <f>Q55</f>
        <v>0.9616228061590657</v>
      </c>
      <c r="S51" s="40">
        <v>0.20833333333333334</v>
      </c>
      <c r="T51" s="40">
        <v>0.29930555555555555</v>
      </c>
      <c r="U51" s="28"/>
      <c r="V51" s="235">
        <f t="shared" ref="V51:V54" si="33">(T51-S51)*24*60</f>
        <v>130.99999999999997</v>
      </c>
      <c r="W51" s="23"/>
      <c r="X51" s="23"/>
      <c r="Y51" s="26"/>
      <c r="Z51" s="26"/>
      <c r="AA51" s="627"/>
      <c r="AB51" s="628"/>
      <c r="AC51" s="25">
        <v>4</v>
      </c>
      <c r="AD51" s="25"/>
      <c r="AE51" s="19">
        <f t="shared" si="8"/>
        <v>-128.24427480915983</v>
      </c>
      <c r="AF51" s="234">
        <f t="shared" si="9"/>
        <v>0.95725190839694674</v>
      </c>
      <c r="AG51" s="643">
        <f>AF55</f>
        <v>0.96162280615906559</v>
      </c>
    </row>
    <row r="52" spans="1:33" ht="15.75" customHeight="1">
      <c r="A52" s="649" t="s">
        <v>70</v>
      </c>
      <c r="B52" s="42" t="s">
        <v>127</v>
      </c>
      <c r="C52" s="625" t="s">
        <v>129</v>
      </c>
      <c r="D52" s="626"/>
      <c r="E52" s="42">
        <v>27.17</v>
      </c>
      <c r="F52" s="237">
        <v>5568</v>
      </c>
      <c r="G52" s="232">
        <f t="shared" si="31"/>
        <v>151282.56</v>
      </c>
      <c r="H52" s="37" t="s">
        <v>91</v>
      </c>
      <c r="I52" s="233">
        <v>10</v>
      </c>
      <c r="J52" s="39">
        <v>3000</v>
      </c>
      <c r="K52" s="17">
        <f t="shared" si="1"/>
        <v>300</v>
      </c>
      <c r="L52" s="233">
        <v>10</v>
      </c>
      <c r="M52" s="18">
        <f t="shared" si="32"/>
        <v>2855.3846153846157</v>
      </c>
      <c r="N52" s="18">
        <f t="shared" si="3"/>
        <v>285.53846153846155</v>
      </c>
      <c r="O52" s="19">
        <f t="shared" si="4"/>
        <v>0</v>
      </c>
      <c r="P52" s="20">
        <f t="shared" si="5"/>
        <v>-14.461538461538453</v>
      </c>
      <c r="Q52" s="234">
        <f t="shared" si="6"/>
        <v>0.95179487179487188</v>
      </c>
      <c r="R52" s="644"/>
      <c r="S52" s="40">
        <v>0.30277777777777776</v>
      </c>
      <c r="T52" s="40">
        <v>0.38402777777777775</v>
      </c>
      <c r="U52" s="232">
        <f t="shared" ref="U52:U54" si="34">(S52-T51)*24*60</f>
        <v>4.9999999999999822</v>
      </c>
      <c r="V52" s="235">
        <f t="shared" si="33"/>
        <v>116.99999999999999</v>
      </c>
      <c r="W52" s="23"/>
      <c r="X52" s="23"/>
      <c r="Y52" s="26"/>
      <c r="Z52" s="26"/>
      <c r="AA52" s="627"/>
      <c r="AB52" s="628"/>
      <c r="AC52" s="25"/>
      <c r="AD52" s="25"/>
      <c r="AE52" s="19">
        <f t="shared" si="8"/>
        <v>-144.6153846153843</v>
      </c>
      <c r="AF52" s="234">
        <f t="shared" si="9"/>
        <v>0.95179487179487188</v>
      </c>
      <c r="AG52" s="644"/>
    </row>
    <row r="53" spans="1:33" ht="15.75" customHeight="1">
      <c r="A53" s="649" t="s">
        <v>70</v>
      </c>
      <c r="B53" s="42" t="s">
        <v>127</v>
      </c>
      <c r="C53" s="625" t="s">
        <v>130</v>
      </c>
      <c r="D53" s="626"/>
      <c r="E53" s="42">
        <v>35.869999999999997</v>
      </c>
      <c r="F53" s="237">
        <v>2161</v>
      </c>
      <c r="G53" s="232">
        <f t="shared" si="31"/>
        <v>77515.069999999992</v>
      </c>
      <c r="H53" s="37" t="s">
        <v>91</v>
      </c>
      <c r="I53" s="233">
        <v>9</v>
      </c>
      <c r="J53" s="39">
        <v>3000</v>
      </c>
      <c r="K53" s="17">
        <f t="shared" si="1"/>
        <v>333.33333333333331</v>
      </c>
      <c r="L53" s="233">
        <v>9</v>
      </c>
      <c r="M53" s="18">
        <f t="shared" si="32"/>
        <v>2881.3333333333335</v>
      </c>
      <c r="N53" s="18">
        <f t="shared" si="3"/>
        <v>320.14814814814815</v>
      </c>
      <c r="O53" s="19">
        <f t="shared" si="4"/>
        <v>0</v>
      </c>
      <c r="P53" s="20">
        <f t="shared" si="5"/>
        <v>-13.185185185185162</v>
      </c>
      <c r="Q53" s="234">
        <f t="shared" si="6"/>
        <v>0.96044444444444455</v>
      </c>
      <c r="R53" s="644"/>
      <c r="S53" s="40">
        <v>0.38749999999999996</v>
      </c>
      <c r="T53" s="40">
        <v>0.41874999999999996</v>
      </c>
      <c r="U53" s="232">
        <f t="shared" si="34"/>
        <v>4.9999999999999822</v>
      </c>
      <c r="V53" s="235">
        <f t="shared" si="33"/>
        <v>45</v>
      </c>
      <c r="W53" s="23"/>
      <c r="X53" s="23"/>
      <c r="Y53" s="26"/>
      <c r="Z53" s="26"/>
      <c r="AA53" s="627"/>
      <c r="AB53" s="628"/>
      <c r="AC53" s="25"/>
      <c r="AD53" s="25"/>
      <c r="AE53" s="19">
        <f t="shared" si="8"/>
        <v>-118.66666666666652</v>
      </c>
      <c r="AF53" s="234">
        <f t="shared" si="9"/>
        <v>0.96044444444444455</v>
      </c>
      <c r="AG53" s="644"/>
    </row>
    <row r="54" spans="1:33" ht="15.75" customHeight="1">
      <c r="A54" s="649" t="s">
        <v>70</v>
      </c>
      <c r="B54" s="42" t="s">
        <v>127</v>
      </c>
      <c r="C54" s="625" t="s">
        <v>131</v>
      </c>
      <c r="D54" s="626"/>
      <c r="E54" s="42">
        <v>34.35</v>
      </c>
      <c r="F54" s="237">
        <v>977</v>
      </c>
      <c r="G54" s="232">
        <f t="shared" si="31"/>
        <v>33559.950000000004</v>
      </c>
      <c r="H54" s="37" t="s">
        <v>91</v>
      </c>
      <c r="I54" s="233">
        <v>8</v>
      </c>
      <c r="J54" s="39">
        <v>3000</v>
      </c>
      <c r="K54" s="17">
        <f t="shared" si="1"/>
        <v>375</v>
      </c>
      <c r="L54" s="233">
        <v>8</v>
      </c>
      <c r="M54" s="18">
        <f t="shared" si="32"/>
        <v>2930.9999999999986</v>
      </c>
      <c r="N54" s="18">
        <f t="shared" si="3"/>
        <v>366.37499999999983</v>
      </c>
      <c r="O54" s="19">
        <f t="shared" si="4"/>
        <v>0</v>
      </c>
      <c r="P54" s="20">
        <f t="shared" si="5"/>
        <v>-8.6250000000001705</v>
      </c>
      <c r="Q54" s="234">
        <f t="shared" si="6"/>
        <v>0.97699999999999954</v>
      </c>
      <c r="R54" s="644"/>
      <c r="S54" s="40">
        <v>0.42361111111111105</v>
      </c>
      <c r="T54" s="40">
        <v>0.43749999999999994</v>
      </c>
      <c r="U54" s="232">
        <f t="shared" si="34"/>
        <v>6.9999999999999751</v>
      </c>
      <c r="V54" s="235">
        <f t="shared" si="33"/>
        <v>20.000000000000007</v>
      </c>
      <c r="W54" s="23"/>
      <c r="X54" s="23"/>
      <c r="Y54" s="26"/>
      <c r="Z54" s="26"/>
      <c r="AA54" s="627"/>
      <c r="AB54" s="628"/>
      <c r="AC54" s="25"/>
      <c r="AD54" s="25"/>
      <c r="AE54" s="19">
        <f t="shared" si="8"/>
        <v>-69.000000000001364</v>
      </c>
      <c r="AF54" s="234">
        <f t="shared" si="9"/>
        <v>0.97699999999999954</v>
      </c>
      <c r="AG54" s="644"/>
    </row>
    <row r="55" spans="1:33" ht="15.75" customHeight="1">
      <c r="A55" s="650" t="s">
        <v>1083</v>
      </c>
      <c r="B55" s="42" t="s">
        <v>52</v>
      </c>
      <c r="C55" s="629"/>
      <c r="D55" s="630"/>
      <c r="E55" s="245"/>
      <c r="F55" s="237"/>
      <c r="G55" s="232"/>
      <c r="H55" s="237"/>
      <c r="I55" s="29">
        <v>9.25</v>
      </c>
      <c r="J55" s="39">
        <v>3000</v>
      </c>
      <c r="K55" s="17">
        <f t="shared" si="1"/>
        <v>324.32432432432432</v>
      </c>
      <c r="L55" s="29">
        <v>9.25</v>
      </c>
      <c r="M55" s="18">
        <f>AVERAGE(M51:M54)</f>
        <v>2884.8684184771969</v>
      </c>
      <c r="N55" s="17">
        <f t="shared" si="3"/>
        <v>311.87766686239968</v>
      </c>
      <c r="O55" s="19">
        <f t="shared" si="4"/>
        <v>0</v>
      </c>
      <c r="P55" s="20">
        <f t="shared" si="5"/>
        <v>-12.446657461924644</v>
      </c>
      <c r="Q55" s="234">
        <f t="shared" si="6"/>
        <v>0.9616228061590657</v>
      </c>
      <c r="R55" s="645"/>
      <c r="S55" s="40"/>
      <c r="T55" s="40"/>
      <c r="U55" s="232"/>
      <c r="V55" s="235"/>
      <c r="W55" s="23"/>
      <c r="X55" s="23"/>
      <c r="Y55" s="30">
        <f>SUM(Y51:Y54)</f>
        <v>0</v>
      </c>
      <c r="Z55" s="30">
        <f>SUM(Z51:Z54)</f>
        <v>0</v>
      </c>
      <c r="AA55" s="646"/>
      <c r="AB55" s="647"/>
      <c r="AC55" s="30">
        <v>4</v>
      </c>
      <c r="AD55" s="30">
        <f>SUM(AD51:AD54)</f>
        <v>0</v>
      </c>
      <c r="AE55" s="19">
        <f t="shared" si="8"/>
        <v>-115.13158152280312</v>
      </c>
      <c r="AF55" s="234">
        <f t="shared" si="9"/>
        <v>0.96162280615906559</v>
      </c>
      <c r="AG55" s="645"/>
    </row>
    <row r="56" spans="1:33" ht="15.75" customHeight="1">
      <c r="A56" s="641" t="s">
        <v>79</v>
      </c>
      <c r="B56" s="42" t="s">
        <v>92</v>
      </c>
      <c r="C56" s="633" t="s">
        <v>133</v>
      </c>
      <c r="D56" s="633"/>
      <c r="E56" s="42">
        <v>59.04</v>
      </c>
      <c r="F56" s="48">
        <v>1860</v>
      </c>
      <c r="G56" s="232">
        <f t="shared" ref="G56:G64" si="35">E56*F56</f>
        <v>109814.39999999999</v>
      </c>
      <c r="H56" s="37" t="s">
        <v>91</v>
      </c>
      <c r="I56" s="233">
        <v>19</v>
      </c>
      <c r="J56" s="39">
        <v>2000</v>
      </c>
      <c r="K56" s="17">
        <f t="shared" si="1"/>
        <v>105.26315789473684</v>
      </c>
      <c r="L56" s="233">
        <v>19</v>
      </c>
      <c r="M56" s="18">
        <f t="shared" ref="M56" si="36">F56/V56*60</f>
        <v>1924.1379310344828</v>
      </c>
      <c r="N56" s="18">
        <f t="shared" si="3"/>
        <v>101.27041742286751</v>
      </c>
      <c r="O56" s="19">
        <f t="shared" si="4"/>
        <v>0</v>
      </c>
      <c r="P56" s="20">
        <f t="shared" si="5"/>
        <v>-3.9927404718693253</v>
      </c>
      <c r="Q56" s="234">
        <f t="shared" si="6"/>
        <v>0.96206896551724141</v>
      </c>
      <c r="R56" s="637">
        <f>Q65</f>
        <v>0.95870819020394116</v>
      </c>
      <c r="S56" s="40">
        <v>0.20833333333333334</v>
      </c>
      <c r="T56" s="40">
        <v>0.24861111111111112</v>
      </c>
      <c r="U56" s="28"/>
      <c r="V56" s="235">
        <f t="shared" ref="V56:V64" si="37">(T56-S56)*24*60</f>
        <v>57.999999999999993</v>
      </c>
      <c r="W56" s="23"/>
      <c r="X56" s="23"/>
      <c r="Y56" s="28"/>
      <c r="Z56" s="28"/>
      <c r="AA56" s="632"/>
      <c r="AB56" s="632"/>
      <c r="AC56" s="25">
        <v>9</v>
      </c>
      <c r="AD56" s="25"/>
      <c r="AE56" s="19">
        <f t="shared" si="8"/>
        <v>-75.86206896551721</v>
      </c>
      <c r="AF56" s="234">
        <f t="shared" si="9"/>
        <v>0.96206896551724141</v>
      </c>
      <c r="AG56" s="637">
        <f>AF65</f>
        <v>0.95870819020394105</v>
      </c>
    </row>
    <row r="57" spans="1:33" ht="15.75" customHeight="1">
      <c r="A57" s="641" t="s">
        <v>79</v>
      </c>
      <c r="B57" s="42" t="s">
        <v>103</v>
      </c>
      <c r="C57" s="633" t="s">
        <v>132</v>
      </c>
      <c r="D57" s="633"/>
      <c r="E57" s="42">
        <v>51.44</v>
      </c>
      <c r="F57" s="48">
        <v>5096</v>
      </c>
      <c r="G57" s="232">
        <f t="shared" si="35"/>
        <v>262138.23999999999</v>
      </c>
      <c r="H57" s="37" t="s">
        <v>91</v>
      </c>
      <c r="I57" s="233">
        <v>18</v>
      </c>
      <c r="J57" s="39">
        <v>2000</v>
      </c>
      <c r="K57" s="17">
        <f t="shared" si="1"/>
        <v>111.11111111111111</v>
      </c>
      <c r="L57" s="233">
        <v>18</v>
      </c>
      <c r="M57" s="18">
        <f>F57/V57*60</f>
        <v>1911</v>
      </c>
      <c r="N57" s="18">
        <f t="shared" si="3"/>
        <v>106.16666666666667</v>
      </c>
      <c r="O57" s="19">
        <f t="shared" si="4"/>
        <v>0</v>
      </c>
      <c r="P57" s="20">
        <f t="shared" si="5"/>
        <v>-4.9444444444444429</v>
      </c>
      <c r="Q57" s="234">
        <f t="shared" si="6"/>
        <v>0.95550000000000002</v>
      </c>
      <c r="R57" s="637"/>
      <c r="S57" s="40">
        <v>0.25416666666666665</v>
      </c>
      <c r="T57" s="40">
        <v>0.36527777777777776</v>
      </c>
      <c r="U57" s="232">
        <f t="shared" ref="U57:U64" si="38">IF(S57=TIME(17,0,0),"",(S57-T56)*24*60)</f>
        <v>7.9999999999999716</v>
      </c>
      <c r="V57" s="235">
        <f t="shared" si="37"/>
        <v>160</v>
      </c>
      <c r="W57" s="23"/>
      <c r="X57" s="23"/>
      <c r="Y57" s="23"/>
      <c r="Z57" s="23"/>
      <c r="AA57" s="632"/>
      <c r="AB57" s="632"/>
      <c r="AC57" s="25"/>
      <c r="AD57" s="25"/>
      <c r="AE57" s="19">
        <f t="shared" si="8"/>
        <v>-89</v>
      </c>
      <c r="AF57" s="234">
        <f t="shared" si="9"/>
        <v>0.95550000000000002</v>
      </c>
      <c r="AG57" s="637"/>
    </row>
    <row r="58" spans="1:33" ht="15.75" customHeight="1">
      <c r="A58" s="641" t="s">
        <v>79</v>
      </c>
      <c r="B58" s="42" t="s">
        <v>92</v>
      </c>
      <c r="C58" s="625" t="s">
        <v>135</v>
      </c>
      <c r="D58" s="626"/>
      <c r="E58" s="42">
        <v>51.44</v>
      </c>
      <c r="F58" s="48">
        <v>1973</v>
      </c>
      <c r="G58" s="232">
        <f t="shared" si="35"/>
        <v>101491.12</v>
      </c>
      <c r="H58" s="37" t="s">
        <v>91</v>
      </c>
      <c r="I58" s="233">
        <v>25</v>
      </c>
      <c r="J58" s="39">
        <v>2000</v>
      </c>
      <c r="K58" s="17">
        <f t="shared" si="1"/>
        <v>80</v>
      </c>
      <c r="L58" s="233">
        <v>25</v>
      </c>
      <c r="M58" s="18">
        <f t="shared" ref="M58:M64" si="39">F58/V58*60</f>
        <v>1909.3548387096769</v>
      </c>
      <c r="N58" s="18">
        <f t="shared" si="3"/>
        <v>76.374193548387069</v>
      </c>
      <c r="O58" s="19">
        <f t="shared" si="4"/>
        <v>0</v>
      </c>
      <c r="P58" s="20">
        <f t="shared" si="5"/>
        <v>-3.6258064516129309</v>
      </c>
      <c r="Q58" s="234">
        <f t="shared" si="6"/>
        <v>0.95467741935483841</v>
      </c>
      <c r="R58" s="637"/>
      <c r="S58" s="40">
        <v>0.36874999999999997</v>
      </c>
      <c r="T58" s="40">
        <v>0.41180555555555554</v>
      </c>
      <c r="U58" s="232">
        <f t="shared" si="38"/>
        <v>4.9999999999999822</v>
      </c>
      <c r="V58" s="235">
        <f t="shared" si="37"/>
        <v>62.000000000000021</v>
      </c>
      <c r="W58" s="23"/>
      <c r="X58" s="23"/>
      <c r="Y58" s="26"/>
      <c r="Z58" s="26"/>
      <c r="AA58" s="632"/>
      <c r="AB58" s="632"/>
      <c r="AC58" s="25"/>
      <c r="AD58" s="25"/>
      <c r="AE58" s="19">
        <f t="shared" si="8"/>
        <v>-90.645161290323131</v>
      </c>
      <c r="AF58" s="234">
        <f t="shared" si="9"/>
        <v>0.95467741935483841</v>
      </c>
      <c r="AG58" s="637"/>
    </row>
    <row r="59" spans="1:33" ht="15.75" customHeight="1">
      <c r="A59" s="641" t="s">
        <v>79</v>
      </c>
      <c r="B59" s="42" t="s">
        <v>96</v>
      </c>
      <c r="C59" s="243" t="s">
        <v>136</v>
      </c>
      <c r="D59" s="244"/>
      <c r="E59" s="42">
        <v>46</v>
      </c>
      <c r="F59" s="48">
        <v>1883</v>
      </c>
      <c r="G59" s="232">
        <f t="shared" si="35"/>
        <v>86618</v>
      </c>
      <c r="H59" s="37" t="s">
        <v>91</v>
      </c>
      <c r="I59" s="233">
        <v>16</v>
      </c>
      <c r="J59" s="39">
        <v>2000</v>
      </c>
      <c r="K59" s="17">
        <f t="shared" si="1"/>
        <v>125</v>
      </c>
      <c r="L59" s="233">
        <v>16</v>
      </c>
      <c r="M59" s="18">
        <f t="shared" si="39"/>
        <v>1914.9152542372872</v>
      </c>
      <c r="N59" s="18">
        <f t="shared" si="3"/>
        <v>119.68220338983045</v>
      </c>
      <c r="O59" s="19">
        <f t="shared" si="4"/>
        <v>0</v>
      </c>
      <c r="P59" s="20">
        <f t="shared" si="5"/>
        <v>-5.3177966101695517</v>
      </c>
      <c r="Q59" s="234">
        <f t="shared" si="6"/>
        <v>0.95745762711864357</v>
      </c>
      <c r="R59" s="637"/>
      <c r="S59" s="40">
        <v>0.41597222222222219</v>
      </c>
      <c r="T59" s="40">
        <v>0.45694444444444443</v>
      </c>
      <c r="U59" s="232">
        <f t="shared" si="38"/>
        <v>5.9999999999999787</v>
      </c>
      <c r="V59" s="235">
        <f t="shared" si="37"/>
        <v>59.000000000000028</v>
      </c>
      <c r="W59" s="23"/>
      <c r="X59" s="23"/>
      <c r="Y59" s="26"/>
      <c r="Z59" s="26"/>
      <c r="AA59" s="632"/>
      <c r="AB59" s="632"/>
      <c r="AC59" s="25"/>
      <c r="AD59" s="25"/>
      <c r="AE59" s="19">
        <f t="shared" si="8"/>
        <v>-85.084745762712828</v>
      </c>
      <c r="AF59" s="234">
        <f t="shared" si="9"/>
        <v>0.95745762711864357</v>
      </c>
      <c r="AG59" s="637"/>
    </row>
    <row r="60" spans="1:33" ht="15.75" customHeight="1">
      <c r="A60" s="641" t="s">
        <v>79</v>
      </c>
      <c r="B60" s="42" t="s">
        <v>96</v>
      </c>
      <c r="C60" s="243" t="s">
        <v>137</v>
      </c>
      <c r="D60" s="244"/>
      <c r="E60" s="42">
        <v>46</v>
      </c>
      <c r="F60" s="48">
        <v>2040</v>
      </c>
      <c r="G60" s="232">
        <f t="shared" si="35"/>
        <v>93840</v>
      </c>
      <c r="H60" s="37" t="s">
        <v>91</v>
      </c>
      <c r="I60" s="233">
        <v>17</v>
      </c>
      <c r="J60" s="39">
        <v>2000</v>
      </c>
      <c r="K60" s="17">
        <f t="shared" si="1"/>
        <v>117.64705882352941</v>
      </c>
      <c r="L60" s="233">
        <v>17</v>
      </c>
      <c r="M60" s="18">
        <f t="shared" si="39"/>
        <v>1912.4999999999995</v>
      </c>
      <c r="N60" s="18">
        <f t="shared" si="3"/>
        <v>112.49999999999997</v>
      </c>
      <c r="O60" s="19">
        <f t="shared" si="4"/>
        <v>0</v>
      </c>
      <c r="P60" s="20">
        <f t="shared" si="5"/>
        <v>-5.1470588235294343</v>
      </c>
      <c r="Q60" s="234">
        <f t="shared" si="6"/>
        <v>0.95624999999999982</v>
      </c>
      <c r="R60" s="637"/>
      <c r="S60" s="40">
        <v>0.46180555555555552</v>
      </c>
      <c r="T60" s="40">
        <v>0.50624999999999998</v>
      </c>
      <c r="U60" s="232">
        <f t="shared" si="38"/>
        <v>6.9999999999999751</v>
      </c>
      <c r="V60" s="235">
        <f t="shared" si="37"/>
        <v>64.000000000000014</v>
      </c>
      <c r="W60" s="23"/>
      <c r="X60" s="23"/>
      <c r="Y60" s="26"/>
      <c r="Z60" s="26"/>
      <c r="AA60" s="632"/>
      <c r="AB60" s="632"/>
      <c r="AC60" s="25"/>
      <c r="AD60" s="25"/>
      <c r="AE60" s="19">
        <f t="shared" si="8"/>
        <v>-87.500000000000455</v>
      </c>
      <c r="AF60" s="234">
        <f t="shared" si="9"/>
        <v>0.95624999999999982</v>
      </c>
      <c r="AG60" s="637"/>
    </row>
    <row r="61" spans="1:33" ht="15.75" customHeight="1">
      <c r="A61" s="641" t="s">
        <v>1084</v>
      </c>
      <c r="B61" s="42" t="s">
        <v>92</v>
      </c>
      <c r="C61" s="625" t="s">
        <v>138</v>
      </c>
      <c r="D61" s="626"/>
      <c r="E61" s="42">
        <v>55.56</v>
      </c>
      <c r="F61" s="48">
        <v>2692</v>
      </c>
      <c r="G61" s="232">
        <f t="shared" si="35"/>
        <v>149567.52000000002</v>
      </c>
      <c r="H61" s="37" t="s">
        <v>91</v>
      </c>
      <c r="I61" s="233">
        <v>17</v>
      </c>
      <c r="J61" s="39">
        <v>2000</v>
      </c>
      <c r="K61" s="17">
        <f t="shared" si="1"/>
        <v>117.64705882352941</v>
      </c>
      <c r="L61" s="233">
        <v>17</v>
      </c>
      <c r="M61" s="18">
        <f t="shared" si="39"/>
        <v>1900.2352941176466</v>
      </c>
      <c r="N61" s="18">
        <f t="shared" si="3"/>
        <v>111.77854671280274</v>
      </c>
      <c r="O61" s="19">
        <f t="shared" si="4"/>
        <v>0</v>
      </c>
      <c r="P61" s="20">
        <f t="shared" si="5"/>
        <v>-5.8685121107266696</v>
      </c>
      <c r="Q61" s="234">
        <f t="shared" si="6"/>
        <v>0.95011764705882329</v>
      </c>
      <c r="R61" s="637"/>
      <c r="S61" s="40">
        <v>0.70833333333333337</v>
      </c>
      <c r="T61" s="40">
        <v>0.76736111111111116</v>
      </c>
      <c r="U61" s="232" t="str">
        <f t="shared" si="38"/>
        <v/>
      </c>
      <c r="V61" s="235">
        <f t="shared" si="37"/>
        <v>85.000000000000014</v>
      </c>
      <c r="W61" s="23"/>
      <c r="X61" s="23"/>
      <c r="Y61" s="26"/>
      <c r="Z61" s="26"/>
      <c r="AA61" s="627"/>
      <c r="AB61" s="628"/>
      <c r="AC61" s="25"/>
      <c r="AD61" s="25"/>
      <c r="AE61" s="19">
        <f t="shared" si="8"/>
        <v>-99.764705882353383</v>
      </c>
      <c r="AF61" s="234">
        <f t="shared" si="9"/>
        <v>0.95011764705882329</v>
      </c>
      <c r="AG61" s="637"/>
    </row>
    <row r="62" spans="1:33" ht="15.75" customHeight="1">
      <c r="A62" s="641" t="s">
        <v>79</v>
      </c>
      <c r="B62" s="42" t="s">
        <v>92</v>
      </c>
      <c r="C62" s="625" t="s">
        <v>420</v>
      </c>
      <c r="D62" s="626"/>
      <c r="E62" s="42">
        <v>58.17</v>
      </c>
      <c r="F62" s="48">
        <v>1000</v>
      </c>
      <c r="G62" s="232">
        <f t="shared" si="35"/>
        <v>58170</v>
      </c>
      <c r="H62" s="37">
        <v>2</v>
      </c>
      <c r="I62" s="233">
        <v>13</v>
      </c>
      <c r="J62" s="39">
        <v>2000</v>
      </c>
      <c r="K62" s="17">
        <f t="shared" si="1"/>
        <v>153.84615384615384</v>
      </c>
      <c r="L62" s="233">
        <v>13</v>
      </c>
      <c r="M62" s="18">
        <f t="shared" si="39"/>
        <v>1935.483870967739</v>
      </c>
      <c r="N62" s="18">
        <f t="shared" si="3"/>
        <v>148.88337468982607</v>
      </c>
      <c r="O62" s="19">
        <f t="shared" si="4"/>
        <v>0</v>
      </c>
      <c r="P62" s="20">
        <f t="shared" si="5"/>
        <v>-4.9627791563277697</v>
      </c>
      <c r="Q62" s="234">
        <f t="shared" si="6"/>
        <v>0.96774193548386944</v>
      </c>
      <c r="R62" s="637"/>
      <c r="S62" s="40">
        <v>0.7729166666666667</v>
      </c>
      <c r="T62" s="40">
        <v>0.79444444444444451</v>
      </c>
      <c r="U62" s="232">
        <f t="shared" si="38"/>
        <v>7.9999999999999716</v>
      </c>
      <c r="V62" s="235">
        <f t="shared" si="37"/>
        <v>31.00000000000005</v>
      </c>
      <c r="W62" s="23"/>
      <c r="X62" s="23"/>
      <c r="Y62" s="26"/>
      <c r="Z62" s="26"/>
      <c r="AA62" s="627"/>
      <c r="AB62" s="628"/>
      <c r="AC62" s="25"/>
      <c r="AD62" s="25"/>
      <c r="AE62" s="19">
        <f t="shared" si="8"/>
        <v>-64.516129032261006</v>
      </c>
      <c r="AF62" s="234">
        <f t="shared" si="9"/>
        <v>0.96774193548386944</v>
      </c>
      <c r="AG62" s="637"/>
    </row>
    <row r="63" spans="1:33" ht="15.75" customHeight="1">
      <c r="A63" s="641" t="s">
        <v>79</v>
      </c>
      <c r="B63" s="42" t="s">
        <v>92</v>
      </c>
      <c r="C63" s="625" t="s">
        <v>114</v>
      </c>
      <c r="D63" s="626"/>
      <c r="E63" s="42">
        <v>54.09</v>
      </c>
      <c r="F63" s="48">
        <v>1000</v>
      </c>
      <c r="G63" s="232">
        <f t="shared" si="35"/>
        <v>54090</v>
      </c>
      <c r="H63" s="37">
        <v>2</v>
      </c>
      <c r="I63" s="233">
        <v>18</v>
      </c>
      <c r="J63" s="39">
        <v>2000</v>
      </c>
      <c r="K63" s="17">
        <f t="shared" si="1"/>
        <v>111.11111111111111</v>
      </c>
      <c r="L63" s="233">
        <v>18</v>
      </c>
      <c r="M63" s="18">
        <f t="shared" si="39"/>
        <v>1935.483870967739</v>
      </c>
      <c r="N63" s="18">
        <f t="shared" si="3"/>
        <v>107.52688172042994</v>
      </c>
      <c r="O63" s="19">
        <f t="shared" si="4"/>
        <v>0</v>
      </c>
      <c r="P63" s="20">
        <f t="shared" si="5"/>
        <v>-3.5842293906811733</v>
      </c>
      <c r="Q63" s="234">
        <f t="shared" si="6"/>
        <v>0.96774193548386944</v>
      </c>
      <c r="R63" s="637"/>
      <c r="S63" s="40">
        <v>0.8</v>
      </c>
      <c r="T63" s="40">
        <v>0.82152777777777786</v>
      </c>
      <c r="U63" s="232">
        <f t="shared" si="38"/>
        <v>7.9999999999999716</v>
      </c>
      <c r="V63" s="235">
        <f t="shared" si="37"/>
        <v>31.00000000000005</v>
      </c>
      <c r="W63" s="23">
        <f>T63</f>
        <v>0.82152777777777786</v>
      </c>
      <c r="X63" s="23">
        <f>S64</f>
        <v>0.8618055555555556</v>
      </c>
      <c r="Y63" s="26"/>
      <c r="Z63" s="26"/>
      <c r="AA63" s="627"/>
      <c r="AB63" s="628"/>
      <c r="AC63" s="25"/>
      <c r="AD63" s="25"/>
      <c r="AE63" s="19">
        <f t="shared" si="8"/>
        <v>-64.516129032261006</v>
      </c>
      <c r="AF63" s="234">
        <f t="shared" si="9"/>
        <v>0.96774193548386944</v>
      </c>
      <c r="AG63" s="637"/>
    </row>
    <row r="64" spans="1:33">
      <c r="A64" s="641" t="s">
        <v>79</v>
      </c>
      <c r="B64" s="42" t="s">
        <v>92</v>
      </c>
      <c r="C64" s="243" t="s">
        <v>420</v>
      </c>
      <c r="D64" s="244"/>
      <c r="E64" s="42">
        <v>58.17</v>
      </c>
      <c r="F64" s="48">
        <v>2105</v>
      </c>
      <c r="G64" s="232">
        <f t="shared" si="35"/>
        <v>122447.85</v>
      </c>
      <c r="H64" s="37" t="s">
        <v>91</v>
      </c>
      <c r="I64" s="233">
        <v>13</v>
      </c>
      <c r="J64" s="39">
        <v>2000</v>
      </c>
      <c r="K64" s="17">
        <f t="shared" si="1"/>
        <v>153.84615384615384</v>
      </c>
      <c r="L64" s="233">
        <v>13</v>
      </c>
      <c r="M64" s="18">
        <f t="shared" si="39"/>
        <v>1913.6363636363658</v>
      </c>
      <c r="N64" s="18">
        <f t="shared" si="3"/>
        <v>147.20279720279737</v>
      </c>
      <c r="O64" s="19">
        <f t="shared" si="4"/>
        <v>0</v>
      </c>
      <c r="P64" s="20">
        <f t="shared" si="5"/>
        <v>-6.6433566433564692</v>
      </c>
      <c r="Q64" s="234">
        <f t="shared" si="6"/>
        <v>0.9568181818181829</v>
      </c>
      <c r="R64" s="637"/>
      <c r="S64" s="40">
        <v>0.8618055555555556</v>
      </c>
      <c r="T64" s="40">
        <v>0.90763888888888888</v>
      </c>
      <c r="U64" s="232">
        <f t="shared" si="38"/>
        <v>57.999999999999957</v>
      </c>
      <c r="V64" s="235">
        <f t="shared" si="37"/>
        <v>65.999999999999929</v>
      </c>
      <c r="W64" s="23"/>
      <c r="X64" s="23"/>
      <c r="Y64" s="26"/>
      <c r="Z64" s="26"/>
      <c r="AA64" s="238"/>
      <c r="AB64" s="239"/>
      <c r="AC64" s="25"/>
      <c r="AD64" s="25"/>
      <c r="AE64" s="19">
        <f t="shared" si="8"/>
        <v>-86.363636363634214</v>
      </c>
      <c r="AF64" s="234">
        <f t="shared" si="9"/>
        <v>0.9568181818181829</v>
      </c>
      <c r="AG64" s="637"/>
    </row>
    <row r="65" spans="1:33">
      <c r="A65" s="642" t="s">
        <v>79</v>
      </c>
      <c r="B65" s="42" t="s">
        <v>1085</v>
      </c>
      <c r="C65" s="638"/>
      <c r="D65" s="638"/>
      <c r="E65" s="240"/>
      <c r="F65" s="44"/>
      <c r="G65" s="17"/>
      <c r="H65" s="237"/>
      <c r="I65" s="29">
        <v>17.333333333333332</v>
      </c>
      <c r="J65" s="39">
        <v>2000</v>
      </c>
      <c r="K65" s="17">
        <f t="shared" si="1"/>
        <v>115.38461538461539</v>
      </c>
      <c r="L65" s="29">
        <v>17.333333333333332</v>
      </c>
      <c r="M65" s="18">
        <f>AVERAGE(M56:M64)</f>
        <v>1917.4163804078821</v>
      </c>
      <c r="N65" s="17">
        <f t="shared" si="3"/>
        <v>110.62017579276244</v>
      </c>
      <c r="O65" s="19">
        <f t="shared" si="4"/>
        <v>0</v>
      </c>
      <c r="P65" s="20">
        <f t="shared" si="5"/>
        <v>-4.7644395918529483</v>
      </c>
      <c r="Q65" s="234">
        <f t="shared" si="6"/>
        <v>0.95870819020394116</v>
      </c>
      <c r="R65" s="637"/>
      <c r="S65" s="40"/>
      <c r="T65" s="40"/>
      <c r="U65" s="232"/>
      <c r="V65" s="235"/>
      <c r="W65" s="17"/>
      <c r="X65" s="17"/>
      <c r="Y65" s="30">
        <f>SUM(Y56:Y64)</f>
        <v>0</v>
      </c>
      <c r="Z65" s="30">
        <f>SUM(Z56:Z64)</f>
        <v>0</v>
      </c>
      <c r="AA65" s="631"/>
      <c r="AB65" s="631"/>
      <c r="AC65" s="30">
        <v>9</v>
      </c>
      <c r="AD65" s="30">
        <f>SUM(AD56:AD64)</f>
        <v>0</v>
      </c>
      <c r="AE65" s="19">
        <f>M65-J65</f>
        <v>-82.583619592117884</v>
      </c>
      <c r="AF65" s="234">
        <f t="shared" si="9"/>
        <v>0.95870819020394105</v>
      </c>
      <c r="AG65" s="637"/>
    </row>
    <row r="66" spans="1:33" ht="15.75" customHeight="1">
      <c r="A66" s="639" t="s">
        <v>1086</v>
      </c>
      <c r="B66" s="237" t="s">
        <v>127</v>
      </c>
      <c r="C66" s="633" t="s">
        <v>141</v>
      </c>
      <c r="D66" s="633"/>
      <c r="E66" s="42">
        <v>35.119999999999997</v>
      </c>
      <c r="F66" s="48">
        <v>4925</v>
      </c>
      <c r="G66" s="232">
        <f t="shared" ref="G66:G69" si="40">E66*F66</f>
        <v>172966</v>
      </c>
      <c r="H66" s="37" t="s">
        <v>91</v>
      </c>
      <c r="I66" s="233">
        <v>10</v>
      </c>
      <c r="J66" s="39">
        <v>3000</v>
      </c>
      <c r="K66" s="17">
        <f t="shared" si="1"/>
        <v>300</v>
      </c>
      <c r="L66" s="233">
        <v>10</v>
      </c>
      <c r="M66" s="18">
        <f t="shared" ref="M66:M69" si="41">F66/V66*60</f>
        <v>2868.9320388349515</v>
      </c>
      <c r="N66" s="17">
        <f t="shared" si="3"/>
        <v>286.89320388349518</v>
      </c>
      <c r="O66" s="19">
        <f t="shared" si="4"/>
        <v>0</v>
      </c>
      <c r="P66" s="20">
        <f t="shared" si="5"/>
        <v>-13.106796116504825</v>
      </c>
      <c r="Q66" s="234">
        <f t="shared" si="6"/>
        <v>0.95631067961165062</v>
      </c>
      <c r="R66" s="637">
        <f>Q70</f>
        <v>0.95497583923929696</v>
      </c>
      <c r="S66" s="40">
        <v>0.20833333333333334</v>
      </c>
      <c r="T66" s="40">
        <v>0.27986111111111112</v>
      </c>
      <c r="U66" s="232"/>
      <c r="V66" s="235">
        <f t="shared" ref="V66:V69" si="42">(T66-S66)*24*60</f>
        <v>103</v>
      </c>
      <c r="W66" s="23"/>
      <c r="X66" s="23"/>
      <c r="Y66" s="28"/>
      <c r="Z66" s="28"/>
      <c r="AA66" s="632"/>
      <c r="AB66" s="632"/>
      <c r="AC66" s="25">
        <v>4</v>
      </c>
      <c r="AD66" s="25"/>
      <c r="AE66" s="19">
        <f t="shared" ref="AE66:AE79" si="43">M66-J66</f>
        <v>-131.06796116504847</v>
      </c>
      <c r="AF66" s="234">
        <f t="shared" si="9"/>
        <v>0.9563106796116505</v>
      </c>
      <c r="AG66" s="637">
        <f>AF70</f>
        <v>0.95497583923929685</v>
      </c>
    </row>
    <row r="67" spans="1:33" ht="15.75" customHeight="1">
      <c r="A67" s="639" t="s">
        <v>1087</v>
      </c>
      <c r="B67" s="237" t="s">
        <v>127</v>
      </c>
      <c r="C67" s="633" t="s">
        <v>142</v>
      </c>
      <c r="D67" s="633"/>
      <c r="E67" s="42">
        <v>26.78</v>
      </c>
      <c r="F67" s="48">
        <v>3056</v>
      </c>
      <c r="G67" s="232">
        <f t="shared" si="40"/>
        <v>81839.680000000008</v>
      </c>
      <c r="H67" s="37" t="s">
        <v>91</v>
      </c>
      <c r="I67" s="233">
        <v>10</v>
      </c>
      <c r="J67" s="39">
        <v>3000</v>
      </c>
      <c r="K67" s="17">
        <f t="shared" si="1"/>
        <v>300</v>
      </c>
      <c r="L67" s="233">
        <v>10</v>
      </c>
      <c r="M67" s="18">
        <f t="shared" si="41"/>
        <v>2864.9999999999995</v>
      </c>
      <c r="N67" s="17">
        <f t="shared" si="3"/>
        <v>286.49999999999994</v>
      </c>
      <c r="O67" s="19">
        <f t="shared" si="4"/>
        <v>0</v>
      </c>
      <c r="P67" s="20">
        <f t="shared" si="5"/>
        <v>-13.500000000000057</v>
      </c>
      <c r="Q67" s="234">
        <f t="shared" si="6"/>
        <v>0.95499999999999985</v>
      </c>
      <c r="R67" s="637"/>
      <c r="S67" s="40">
        <v>0.28402777777777777</v>
      </c>
      <c r="T67" s="40">
        <v>0.32847222222222222</v>
      </c>
      <c r="U67" s="232">
        <f t="shared" ref="U67:U69" si="44">(S67-T66)*24*60</f>
        <v>5.9999999999999787</v>
      </c>
      <c r="V67" s="235">
        <f t="shared" si="42"/>
        <v>64.000000000000014</v>
      </c>
      <c r="W67" s="232"/>
      <c r="X67" s="232"/>
      <c r="Y67" s="232"/>
      <c r="Z67" s="232"/>
      <c r="AA67" s="632"/>
      <c r="AB67" s="632"/>
      <c r="AC67" s="25"/>
      <c r="AD67" s="25"/>
      <c r="AE67" s="19">
        <f t="shared" si="43"/>
        <v>-135.00000000000045</v>
      </c>
      <c r="AF67" s="234">
        <f t="shared" si="9"/>
        <v>0.95499999999999985</v>
      </c>
      <c r="AG67" s="637"/>
    </row>
    <row r="68" spans="1:33" ht="15.75" customHeight="1">
      <c r="A68" s="639" t="s">
        <v>1087</v>
      </c>
      <c r="B68" s="237" t="s">
        <v>127</v>
      </c>
      <c r="C68" s="633" t="s">
        <v>143</v>
      </c>
      <c r="D68" s="633"/>
      <c r="E68" s="42">
        <v>36.14</v>
      </c>
      <c r="F68" s="48">
        <v>1811</v>
      </c>
      <c r="G68" s="232">
        <f t="shared" si="40"/>
        <v>65449.54</v>
      </c>
      <c r="H68" s="37" t="s">
        <v>91</v>
      </c>
      <c r="I68" s="233">
        <v>11</v>
      </c>
      <c r="J68" s="39">
        <v>3000</v>
      </c>
      <c r="K68" s="17">
        <f t="shared" si="1"/>
        <v>272.72727272727275</v>
      </c>
      <c r="L68" s="233">
        <v>11</v>
      </c>
      <c r="M68" s="18">
        <f t="shared" si="41"/>
        <v>2859.473684210524</v>
      </c>
      <c r="N68" s="17">
        <f t="shared" si="3"/>
        <v>259.95215311004762</v>
      </c>
      <c r="O68" s="19">
        <f t="shared" si="4"/>
        <v>0</v>
      </c>
      <c r="P68" s="20">
        <f t="shared" si="5"/>
        <v>-12.77511961722513</v>
      </c>
      <c r="Q68" s="234">
        <f t="shared" si="6"/>
        <v>0.9531578947368412</v>
      </c>
      <c r="R68" s="637"/>
      <c r="S68" s="40">
        <v>0.33263888888888887</v>
      </c>
      <c r="T68" s="40">
        <v>0.35902777777777778</v>
      </c>
      <c r="U68" s="232">
        <f t="shared" si="44"/>
        <v>5.9999999999999787</v>
      </c>
      <c r="V68" s="235">
        <f t="shared" si="42"/>
        <v>38.000000000000028</v>
      </c>
      <c r="W68" s="232"/>
      <c r="X68" s="232"/>
      <c r="Y68" s="232"/>
      <c r="Z68" s="232"/>
      <c r="AA68" s="632"/>
      <c r="AB68" s="632"/>
      <c r="AC68" s="25"/>
      <c r="AD68" s="25"/>
      <c r="AE68" s="19">
        <f t="shared" si="43"/>
        <v>-140.52631578947603</v>
      </c>
      <c r="AF68" s="234">
        <f t="shared" si="9"/>
        <v>0.95315789473684132</v>
      </c>
      <c r="AG68" s="637"/>
    </row>
    <row r="69" spans="1:33" ht="15.75" customHeight="1">
      <c r="A69" s="639" t="s">
        <v>1086</v>
      </c>
      <c r="B69" s="237" t="s">
        <v>127</v>
      </c>
      <c r="C69" s="633" t="s">
        <v>144</v>
      </c>
      <c r="D69" s="633"/>
      <c r="E69" s="42">
        <v>35.869999999999997</v>
      </c>
      <c r="F69" s="48">
        <v>4395</v>
      </c>
      <c r="G69" s="232">
        <f t="shared" si="40"/>
        <v>157648.65</v>
      </c>
      <c r="H69" s="37" t="s">
        <v>91</v>
      </c>
      <c r="I69" s="233">
        <v>10</v>
      </c>
      <c r="J69" s="39">
        <v>3000</v>
      </c>
      <c r="K69" s="17">
        <f t="shared" ref="K69:K79" si="45">J69/I69</f>
        <v>300</v>
      </c>
      <c r="L69" s="233">
        <v>10</v>
      </c>
      <c r="M69" s="18">
        <f t="shared" si="41"/>
        <v>2866.304347826087</v>
      </c>
      <c r="N69" s="17">
        <f t="shared" ref="N69:N79" si="46">M69/L69</f>
        <v>286.63043478260869</v>
      </c>
      <c r="O69" s="19">
        <f t="shared" ref="O69:O79" si="47">L69-I69</f>
        <v>0</v>
      </c>
      <c r="P69" s="20">
        <f t="shared" ref="P69:P79" si="48">N69-K69</f>
        <v>-13.369565217391312</v>
      </c>
      <c r="Q69" s="234">
        <f t="shared" ref="Q69:Q79" si="49">N69/K69</f>
        <v>0.95543478260869563</v>
      </c>
      <c r="R69" s="637"/>
      <c r="S69" s="40">
        <v>0.36388888888888887</v>
      </c>
      <c r="T69" s="40">
        <v>0.42777777777777776</v>
      </c>
      <c r="U69" s="232">
        <f t="shared" si="44"/>
        <v>6.9999999999999751</v>
      </c>
      <c r="V69" s="235">
        <f t="shared" si="42"/>
        <v>92</v>
      </c>
      <c r="W69" s="232"/>
      <c r="X69" s="232"/>
      <c r="Y69" s="232"/>
      <c r="Z69" s="232"/>
      <c r="AA69" s="632"/>
      <c r="AB69" s="632"/>
      <c r="AC69" s="25"/>
      <c r="AD69" s="25"/>
      <c r="AE69" s="19">
        <f t="shared" si="43"/>
        <v>-133.695652173913</v>
      </c>
      <c r="AF69" s="234">
        <f t="shared" ref="AF69:AF79" si="50">M69/J69</f>
        <v>0.95543478260869563</v>
      </c>
      <c r="AG69" s="637"/>
    </row>
    <row r="70" spans="1:33">
      <c r="A70" s="640" t="s">
        <v>1088</v>
      </c>
      <c r="B70" s="42" t="s">
        <v>1073</v>
      </c>
      <c r="C70" s="638"/>
      <c r="D70" s="638"/>
      <c r="E70" s="240"/>
      <c r="F70" s="44"/>
      <c r="G70" s="17"/>
      <c r="H70" s="237"/>
      <c r="I70" s="29">
        <v>10.25</v>
      </c>
      <c r="J70" s="39">
        <v>3000</v>
      </c>
      <c r="K70" s="17">
        <f t="shared" si="45"/>
        <v>292.6829268292683</v>
      </c>
      <c r="L70" s="29">
        <v>10.25</v>
      </c>
      <c r="M70" s="18">
        <f>AVERAGE(M66:M69)</f>
        <v>2864.9275177178906</v>
      </c>
      <c r="N70" s="17">
        <f t="shared" si="46"/>
        <v>279.50512367979422</v>
      </c>
      <c r="O70" s="19">
        <f t="shared" si="47"/>
        <v>0</v>
      </c>
      <c r="P70" s="20">
        <f t="shared" si="48"/>
        <v>-13.177803149474073</v>
      </c>
      <c r="Q70" s="234">
        <f t="shared" si="49"/>
        <v>0.95497583923929696</v>
      </c>
      <c r="R70" s="637"/>
      <c r="S70" s="40"/>
      <c r="T70" s="40"/>
      <c r="U70" s="17"/>
      <c r="V70" s="235"/>
      <c r="W70" s="17"/>
      <c r="X70" s="17"/>
      <c r="Y70" s="30">
        <f>SUM(Y66:Y69)</f>
        <v>0</v>
      </c>
      <c r="Z70" s="30">
        <f>SUM(Z66:Z69)</f>
        <v>0</v>
      </c>
      <c r="AA70" s="631"/>
      <c r="AB70" s="631"/>
      <c r="AC70" s="30">
        <v>4</v>
      </c>
      <c r="AD70" s="30">
        <f>SUM(AD66:AD69)</f>
        <v>0</v>
      </c>
      <c r="AE70" s="19">
        <f t="shared" si="43"/>
        <v>-135.07248228210938</v>
      </c>
      <c r="AF70" s="234">
        <f t="shared" si="50"/>
        <v>0.95497583923929685</v>
      </c>
      <c r="AG70" s="637"/>
    </row>
    <row r="71" spans="1:33" ht="15.75" customHeight="1">
      <c r="A71" s="634" t="s">
        <v>1089</v>
      </c>
      <c r="B71" s="237" t="s">
        <v>116</v>
      </c>
      <c r="C71" s="633" t="s">
        <v>145</v>
      </c>
      <c r="D71" s="633"/>
      <c r="E71" s="42">
        <v>19.02</v>
      </c>
      <c r="F71" s="237">
        <v>5900</v>
      </c>
      <c r="G71" s="232">
        <f t="shared" ref="G71:G78" si="51">E71*F71</f>
        <v>112218</v>
      </c>
      <c r="H71" s="37">
        <v>2</v>
      </c>
      <c r="I71" s="233">
        <v>14</v>
      </c>
      <c r="J71" s="39">
        <v>2400</v>
      </c>
      <c r="K71" s="17">
        <f t="shared" si="45"/>
        <v>171.42857142857142</v>
      </c>
      <c r="L71" s="233">
        <v>14</v>
      </c>
      <c r="M71" s="18">
        <f t="shared" ref="M71:M78" si="52">F71/V71*60</f>
        <v>2283.8709677419356</v>
      </c>
      <c r="N71" s="17">
        <f t="shared" si="46"/>
        <v>163.13364055299539</v>
      </c>
      <c r="O71" s="19">
        <f t="shared" si="47"/>
        <v>0</v>
      </c>
      <c r="P71" s="20">
        <f t="shared" si="48"/>
        <v>-8.2949308755760285</v>
      </c>
      <c r="Q71" s="234">
        <f t="shared" si="49"/>
        <v>0.95161290322580649</v>
      </c>
      <c r="R71" s="637">
        <f>Q79</f>
        <v>0.95788951029484726</v>
      </c>
      <c r="S71" s="40">
        <v>8.3333333333333329E-2</v>
      </c>
      <c r="T71" s="40">
        <v>0.19097222222222221</v>
      </c>
      <c r="U71" s="28"/>
      <c r="V71" s="235">
        <f t="shared" ref="V71:V78" si="53">(T71-S71)*24*60</f>
        <v>154.99999999999997</v>
      </c>
      <c r="W71" s="261">
        <f>T71</f>
        <v>0.19097222222222221</v>
      </c>
      <c r="X71" s="23">
        <f>S72</f>
        <v>0.20902777777777776</v>
      </c>
      <c r="Y71" s="23"/>
      <c r="Z71" s="23"/>
      <c r="AA71" s="632"/>
      <c r="AB71" s="632"/>
      <c r="AC71" s="25">
        <v>8</v>
      </c>
      <c r="AD71" s="25"/>
      <c r="AE71" s="19">
        <f t="shared" si="43"/>
        <v>-116.1290322580644</v>
      </c>
      <c r="AF71" s="234">
        <f t="shared" si="50"/>
        <v>0.95161290322580649</v>
      </c>
      <c r="AG71" s="637">
        <f>AF79</f>
        <v>0.95788951029484715</v>
      </c>
    </row>
    <row r="72" spans="1:33" ht="15.75" customHeight="1">
      <c r="A72" s="635" t="s">
        <v>1089</v>
      </c>
      <c r="B72" s="237" t="s">
        <v>116</v>
      </c>
      <c r="C72" s="633" t="s">
        <v>146</v>
      </c>
      <c r="D72" s="633"/>
      <c r="E72" s="42">
        <v>20.36</v>
      </c>
      <c r="F72" s="237">
        <v>2400</v>
      </c>
      <c r="G72" s="232">
        <f t="shared" si="51"/>
        <v>48864</v>
      </c>
      <c r="H72" s="37">
        <v>2</v>
      </c>
      <c r="I72" s="233">
        <v>17</v>
      </c>
      <c r="J72" s="39">
        <v>2400</v>
      </c>
      <c r="K72" s="17">
        <f t="shared" si="45"/>
        <v>141.1764705882353</v>
      </c>
      <c r="L72" s="233">
        <v>17</v>
      </c>
      <c r="M72" s="18">
        <f t="shared" si="52"/>
        <v>2285.7142857142853</v>
      </c>
      <c r="N72" s="17">
        <f t="shared" si="46"/>
        <v>134.45378151260502</v>
      </c>
      <c r="O72" s="19">
        <f t="shared" si="47"/>
        <v>0</v>
      </c>
      <c r="P72" s="20">
        <f t="shared" si="48"/>
        <v>-6.7226890756302851</v>
      </c>
      <c r="Q72" s="234">
        <f t="shared" si="49"/>
        <v>0.95238095238095211</v>
      </c>
      <c r="R72" s="637"/>
      <c r="S72" s="40">
        <v>0.20902777777777776</v>
      </c>
      <c r="T72" s="40">
        <v>0.25277777777777777</v>
      </c>
      <c r="U72" s="232">
        <f t="shared" ref="U72:U78" si="54">(S72-T71)*24*60</f>
        <v>25.999999999999986</v>
      </c>
      <c r="V72" s="235">
        <f t="shared" si="53"/>
        <v>63.000000000000014</v>
      </c>
      <c r="W72" s="23"/>
      <c r="X72" s="23"/>
      <c r="Y72" s="23"/>
      <c r="Z72" s="23"/>
      <c r="AA72" s="632"/>
      <c r="AB72" s="632"/>
      <c r="AC72" s="25"/>
      <c r="AD72" s="25"/>
      <c r="AE72" s="19">
        <f t="shared" si="43"/>
        <v>-114.28571428571468</v>
      </c>
      <c r="AF72" s="234">
        <f t="shared" si="50"/>
        <v>0.95238095238095222</v>
      </c>
      <c r="AG72" s="637"/>
    </row>
    <row r="73" spans="1:33" ht="15.75" customHeight="1">
      <c r="A73" s="635" t="s">
        <v>1089</v>
      </c>
      <c r="B73" s="237" t="s">
        <v>116</v>
      </c>
      <c r="C73" s="633" t="s">
        <v>120</v>
      </c>
      <c r="D73" s="633"/>
      <c r="E73" s="42">
        <v>25.99</v>
      </c>
      <c r="F73" s="237">
        <v>1283</v>
      </c>
      <c r="G73" s="232">
        <f t="shared" si="51"/>
        <v>33345.17</v>
      </c>
      <c r="H73" s="37" t="s">
        <v>91</v>
      </c>
      <c r="I73" s="233">
        <v>18</v>
      </c>
      <c r="J73" s="39">
        <v>2400</v>
      </c>
      <c r="K73" s="17">
        <f t="shared" si="45"/>
        <v>133.33333333333334</v>
      </c>
      <c r="L73" s="233">
        <v>18</v>
      </c>
      <c r="M73" s="18">
        <f t="shared" si="52"/>
        <v>2332.7272727272693</v>
      </c>
      <c r="N73" s="17">
        <f t="shared" si="46"/>
        <v>129.59595959595941</v>
      </c>
      <c r="O73" s="19">
        <f t="shared" si="47"/>
        <v>0</v>
      </c>
      <c r="P73" s="20">
        <f t="shared" si="48"/>
        <v>-3.7373737373739289</v>
      </c>
      <c r="Q73" s="234">
        <f t="shared" si="49"/>
        <v>0.97196969696969548</v>
      </c>
      <c r="R73" s="637"/>
      <c r="S73" s="40">
        <v>0.25624999999999998</v>
      </c>
      <c r="T73" s="40">
        <v>0.27916666666666667</v>
      </c>
      <c r="U73" s="232">
        <f t="shared" si="54"/>
        <v>4.9999999999999822</v>
      </c>
      <c r="V73" s="235">
        <f t="shared" si="53"/>
        <v>33.000000000000043</v>
      </c>
      <c r="W73" s="23"/>
      <c r="X73" s="23"/>
      <c r="Y73" s="23"/>
      <c r="Z73" s="23"/>
      <c r="AA73" s="632"/>
      <c r="AB73" s="632"/>
      <c r="AC73" s="25"/>
      <c r="AD73" s="25"/>
      <c r="AE73" s="19">
        <f t="shared" si="43"/>
        <v>-67.272727272730663</v>
      </c>
      <c r="AF73" s="234">
        <f t="shared" si="50"/>
        <v>0.9719696969696956</v>
      </c>
      <c r="AG73" s="637"/>
    </row>
    <row r="74" spans="1:33" ht="15.75" customHeight="1">
      <c r="A74" s="635" t="s">
        <v>1089</v>
      </c>
      <c r="B74" s="237" t="s">
        <v>116</v>
      </c>
      <c r="C74" s="633" t="s">
        <v>148</v>
      </c>
      <c r="D74" s="633"/>
      <c r="E74" s="42">
        <v>28.29</v>
      </c>
      <c r="F74" s="237">
        <v>4127</v>
      </c>
      <c r="G74" s="232">
        <f t="shared" si="51"/>
        <v>116752.83</v>
      </c>
      <c r="H74" s="37" t="s">
        <v>91</v>
      </c>
      <c r="I74" s="233">
        <v>21</v>
      </c>
      <c r="J74" s="39">
        <v>2400</v>
      </c>
      <c r="K74" s="17">
        <f t="shared" si="45"/>
        <v>114.28571428571429</v>
      </c>
      <c r="L74" s="233">
        <v>21</v>
      </c>
      <c r="M74" s="18">
        <f t="shared" si="52"/>
        <v>2292.7777777777774</v>
      </c>
      <c r="N74" s="17">
        <f t="shared" si="46"/>
        <v>109.17989417989416</v>
      </c>
      <c r="O74" s="19">
        <f t="shared" si="47"/>
        <v>0</v>
      </c>
      <c r="P74" s="20">
        <f t="shared" si="48"/>
        <v>-5.1058201058201291</v>
      </c>
      <c r="Q74" s="234">
        <f t="shared" si="49"/>
        <v>0.95532407407407383</v>
      </c>
      <c r="R74" s="637"/>
      <c r="S74" s="40">
        <v>0.28263888888888888</v>
      </c>
      <c r="T74" s="40">
        <v>0.3576388888888889</v>
      </c>
      <c r="U74" s="232">
        <f t="shared" si="54"/>
        <v>4.9999999999999822</v>
      </c>
      <c r="V74" s="235">
        <f t="shared" si="53"/>
        <v>108.00000000000001</v>
      </c>
      <c r="W74" s="23"/>
      <c r="X74" s="23"/>
      <c r="Y74" s="23"/>
      <c r="Z74" s="23"/>
      <c r="AA74" s="632"/>
      <c r="AB74" s="632"/>
      <c r="AC74" s="25"/>
      <c r="AD74" s="25"/>
      <c r="AE74" s="19">
        <f t="shared" si="43"/>
        <v>-107.22222222222263</v>
      </c>
      <c r="AF74" s="234">
        <f t="shared" si="50"/>
        <v>0.95532407407407394</v>
      </c>
      <c r="AG74" s="637"/>
    </row>
    <row r="75" spans="1:33" ht="15.75" customHeight="1">
      <c r="A75" s="635" t="s">
        <v>1089</v>
      </c>
      <c r="B75" s="237" t="s">
        <v>116</v>
      </c>
      <c r="C75" s="633" t="s">
        <v>149</v>
      </c>
      <c r="D75" s="633"/>
      <c r="E75" s="42">
        <v>24.25</v>
      </c>
      <c r="F75" s="237">
        <v>4109</v>
      </c>
      <c r="G75" s="232">
        <f t="shared" si="51"/>
        <v>99643.25</v>
      </c>
      <c r="H75" s="37" t="s">
        <v>91</v>
      </c>
      <c r="I75" s="233">
        <v>16</v>
      </c>
      <c r="J75" s="39">
        <v>2400</v>
      </c>
      <c r="K75" s="17">
        <f t="shared" si="45"/>
        <v>150</v>
      </c>
      <c r="L75" s="233">
        <v>16</v>
      </c>
      <c r="M75" s="18">
        <f t="shared" si="52"/>
        <v>2304.1121495327097</v>
      </c>
      <c r="N75" s="17">
        <f t="shared" si="46"/>
        <v>144.00700934579436</v>
      </c>
      <c r="O75" s="19">
        <f t="shared" si="47"/>
        <v>0</v>
      </c>
      <c r="P75" s="20">
        <f t="shared" si="48"/>
        <v>-5.9929906542056415</v>
      </c>
      <c r="Q75" s="234">
        <f t="shared" si="49"/>
        <v>0.96004672897196242</v>
      </c>
      <c r="R75" s="637"/>
      <c r="S75" s="40">
        <v>0.36180555555555555</v>
      </c>
      <c r="T75" s="40">
        <v>0.43611111111111112</v>
      </c>
      <c r="U75" s="232">
        <f t="shared" si="54"/>
        <v>5.9999999999999787</v>
      </c>
      <c r="V75" s="235">
        <f t="shared" si="53"/>
        <v>107.00000000000001</v>
      </c>
      <c r="W75" s="23"/>
      <c r="X75" s="23"/>
      <c r="Y75" s="23"/>
      <c r="Z75" s="23"/>
      <c r="AA75" s="632"/>
      <c r="AB75" s="632"/>
      <c r="AC75" s="25"/>
      <c r="AD75" s="25"/>
      <c r="AE75" s="19">
        <f t="shared" si="43"/>
        <v>-95.887850467290264</v>
      </c>
      <c r="AF75" s="234">
        <f t="shared" si="50"/>
        <v>0.96004672897196242</v>
      </c>
      <c r="AG75" s="637"/>
    </row>
    <row r="76" spans="1:33" ht="15.75" customHeight="1">
      <c r="A76" s="635" t="s">
        <v>1089</v>
      </c>
      <c r="B76" s="237" t="s">
        <v>116</v>
      </c>
      <c r="C76" s="633" t="s">
        <v>150</v>
      </c>
      <c r="D76" s="633"/>
      <c r="E76" s="42">
        <v>23.89</v>
      </c>
      <c r="F76" s="237">
        <v>3853</v>
      </c>
      <c r="G76" s="232">
        <f t="shared" si="51"/>
        <v>92048.17</v>
      </c>
      <c r="H76" s="37" t="s">
        <v>91</v>
      </c>
      <c r="I76" s="233">
        <v>13</v>
      </c>
      <c r="J76" s="39">
        <v>2400</v>
      </c>
      <c r="K76" s="17">
        <f t="shared" si="45"/>
        <v>184.61538461538461</v>
      </c>
      <c r="L76" s="233">
        <v>13</v>
      </c>
      <c r="M76" s="18">
        <f t="shared" si="52"/>
        <v>2288.91089108911</v>
      </c>
      <c r="N76" s="17">
        <f t="shared" si="46"/>
        <v>176.07006854531616</v>
      </c>
      <c r="O76" s="19">
        <f t="shared" si="47"/>
        <v>0</v>
      </c>
      <c r="P76" s="20">
        <f t="shared" si="48"/>
        <v>-8.5453160700684521</v>
      </c>
      <c r="Q76" s="234">
        <f t="shared" si="49"/>
        <v>0.95371287128712923</v>
      </c>
      <c r="R76" s="637"/>
      <c r="S76" s="40">
        <v>0.44027777777777777</v>
      </c>
      <c r="T76" s="40">
        <v>0.51041666666666663</v>
      </c>
      <c r="U76" s="232">
        <f t="shared" si="54"/>
        <v>5.9999999999999787</v>
      </c>
      <c r="V76" s="235">
        <f t="shared" si="53"/>
        <v>100.99999999999996</v>
      </c>
      <c r="W76" s="23">
        <f>T76</f>
        <v>0.51041666666666663</v>
      </c>
      <c r="X76" s="23">
        <f>S77</f>
        <v>0.55069444444444438</v>
      </c>
      <c r="Y76" s="23"/>
      <c r="Z76" s="23"/>
      <c r="AA76" s="632"/>
      <c r="AB76" s="632"/>
      <c r="AC76" s="25"/>
      <c r="AD76" s="25"/>
      <c r="AE76" s="19">
        <f t="shared" si="43"/>
        <v>-111.08910891088999</v>
      </c>
      <c r="AF76" s="234">
        <f t="shared" si="50"/>
        <v>0.95371287128712912</v>
      </c>
      <c r="AG76" s="637"/>
    </row>
    <row r="77" spans="1:33" ht="15.75" customHeight="1">
      <c r="A77" s="635" t="s">
        <v>1089</v>
      </c>
      <c r="B77" s="237" t="s">
        <v>116</v>
      </c>
      <c r="C77" s="625" t="s">
        <v>145</v>
      </c>
      <c r="D77" s="626"/>
      <c r="E77" s="42">
        <v>19.02</v>
      </c>
      <c r="F77" s="237">
        <v>4932</v>
      </c>
      <c r="G77" s="232">
        <f t="shared" si="51"/>
        <v>93806.64</v>
      </c>
      <c r="H77" s="37" t="s">
        <v>91</v>
      </c>
      <c r="I77" s="233">
        <v>14</v>
      </c>
      <c r="J77" s="39">
        <v>2400</v>
      </c>
      <c r="K77" s="17">
        <f t="shared" si="45"/>
        <v>171.42857142857142</v>
      </c>
      <c r="L77" s="233">
        <v>14</v>
      </c>
      <c r="M77" s="18">
        <f t="shared" si="52"/>
        <v>2293.9534883720926</v>
      </c>
      <c r="N77" s="17">
        <f t="shared" si="46"/>
        <v>163.85382059800662</v>
      </c>
      <c r="O77" s="19">
        <f t="shared" si="47"/>
        <v>0</v>
      </c>
      <c r="P77" s="20">
        <f t="shared" si="48"/>
        <v>-7.5747508305647955</v>
      </c>
      <c r="Q77" s="234">
        <f t="shared" si="49"/>
        <v>0.95581395348837206</v>
      </c>
      <c r="R77" s="637"/>
      <c r="S77" s="40">
        <v>0.55069444444444438</v>
      </c>
      <c r="T77" s="40">
        <v>0.64027777777777772</v>
      </c>
      <c r="U77" s="232">
        <f t="shared" si="54"/>
        <v>57.999999999999957</v>
      </c>
      <c r="V77" s="235">
        <f t="shared" si="53"/>
        <v>129.00000000000003</v>
      </c>
      <c r="W77" s="23"/>
      <c r="X77" s="23"/>
      <c r="Y77" s="26"/>
      <c r="Z77" s="26"/>
      <c r="AA77" s="627"/>
      <c r="AB77" s="628"/>
      <c r="AC77" s="25"/>
      <c r="AD77" s="25"/>
      <c r="AE77" s="19">
        <f t="shared" si="43"/>
        <v>-106.04651162790742</v>
      </c>
      <c r="AF77" s="234">
        <f t="shared" si="50"/>
        <v>0.95581395348837195</v>
      </c>
      <c r="AG77" s="637"/>
    </row>
    <row r="78" spans="1:33" ht="15.75" customHeight="1">
      <c r="A78" s="635" t="s">
        <v>1089</v>
      </c>
      <c r="B78" s="237" t="s">
        <v>116</v>
      </c>
      <c r="C78" s="625" t="s">
        <v>146</v>
      </c>
      <c r="D78" s="626"/>
      <c r="E78" s="42">
        <v>20.36</v>
      </c>
      <c r="F78" s="237">
        <v>1963</v>
      </c>
      <c r="G78" s="232">
        <f t="shared" si="51"/>
        <v>39966.68</v>
      </c>
      <c r="H78" s="37" t="s">
        <v>91</v>
      </c>
      <c r="I78" s="233">
        <v>17</v>
      </c>
      <c r="J78" s="39">
        <v>2400</v>
      </c>
      <c r="K78" s="17">
        <f t="shared" si="45"/>
        <v>141.1764705882353</v>
      </c>
      <c r="L78" s="233">
        <v>17</v>
      </c>
      <c r="M78" s="18">
        <f t="shared" si="52"/>
        <v>2309.4117647058833</v>
      </c>
      <c r="N78" s="17">
        <f t="shared" si="46"/>
        <v>135.84775086505195</v>
      </c>
      <c r="O78" s="19">
        <f t="shared" si="47"/>
        <v>0</v>
      </c>
      <c r="P78" s="20">
        <f t="shared" si="48"/>
        <v>-5.3287197231833545</v>
      </c>
      <c r="Q78" s="234">
        <f t="shared" si="49"/>
        <v>0.96225490196078456</v>
      </c>
      <c r="R78" s="637"/>
      <c r="S78" s="40">
        <v>0.64513888888888882</v>
      </c>
      <c r="T78" s="40">
        <v>0.68055555555555547</v>
      </c>
      <c r="U78" s="232">
        <f t="shared" si="54"/>
        <v>6.9999999999999751</v>
      </c>
      <c r="V78" s="235">
        <f t="shared" si="53"/>
        <v>50.999999999999979</v>
      </c>
      <c r="W78" s="23"/>
      <c r="X78" s="23"/>
      <c r="Y78" s="26"/>
      <c r="Z78" s="26"/>
      <c r="AA78" s="627"/>
      <c r="AB78" s="628"/>
      <c r="AC78" s="25"/>
      <c r="AD78" s="25"/>
      <c r="AE78" s="19">
        <f t="shared" si="43"/>
        <v>-90.588235294116657</v>
      </c>
      <c r="AF78" s="234">
        <f t="shared" si="50"/>
        <v>0.96225490196078478</v>
      </c>
      <c r="AG78" s="637"/>
    </row>
    <row r="79" spans="1:33" ht="16.5" customHeight="1">
      <c r="A79" s="636" t="s">
        <v>1089</v>
      </c>
      <c r="B79" s="42" t="s">
        <v>1073</v>
      </c>
      <c r="C79" s="629"/>
      <c r="D79" s="630"/>
      <c r="E79" s="240"/>
      <c r="F79" s="44"/>
      <c r="G79" s="17"/>
      <c r="H79" s="237"/>
      <c r="I79" s="29">
        <v>16.25</v>
      </c>
      <c r="J79" s="39">
        <v>2400</v>
      </c>
      <c r="K79" s="17">
        <f t="shared" si="45"/>
        <v>147.69230769230768</v>
      </c>
      <c r="L79" s="29">
        <v>16.25</v>
      </c>
      <c r="M79" s="18">
        <f>AVERAGE(M71:M78)</f>
        <v>2298.9348247076332</v>
      </c>
      <c r="N79" s="17">
        <f t="shared" si="46"/>
        <v>141.4729122897005</v>
      </c>
      <c r="O79" s="19">
        <f t="shared" si="47"/>
        <v>0</v>
      </c>
      <c r="P79" s="20">
        <f t="shared" si="48"/>
        <v>-6.2193954026071765</v>
      </c>
      <c r="Q79" s="234">
        <f t="shared" si="49"/>
        <v>0.95788951029484726</v>
      </c>
      <c r="R79" s="637"/>
      <c r="S79" s="40"/>
      <c r="T79" s="40"/>
      <c r="U79" s="17"/>
      <c r="V79" s="235"/>
      <c r="W79" s="17"/>
      <c r="X79" s="17"/>
      <c r="Y79" s="30">
        <f>SUM(Y71:Y78)</f>
        <v>0</v>
      </c>
      <c r="Z79" s="30">
        <f>SUM(Z71:Z78)</f>
        <v>0</v>
      </c>
      <c r="AA79" s="631"/>
      <c r="AB79" s="631"/>
      <c r="AC79" s="30">
        <v>8</v>
      </c>
      <c r="AD79" s="30">
        <f>SUM(AD71:AD78)</f>
        <v>0</v>
      </c>
      <c r="AE79" s="19">
        <f t="shared" si="43"/>
        <v>-101.0651752923668</v>
      </c>
      <c r="AF79" s="234">
        <f t="shared" si="50"/>
        <v>0.95788951029484715</v>
      </c>
      <c r="AG79" s="637"/>
    </row>
    <row r="80" spans="1:33">
      <c r="D80" s="33"/>
      <c r="E80" s="33"/>
    </row>
  </sheetData>
  <mergeCells count="203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10:A16"/>
    <mergeCell ref="C10:D10"/>
    <mergeCell ref="R10:R16"/>
    <mergeCell ref="AA10:AB10"/>
    <mergeCell ref="AG10:AG16"/>
    <mergeCell ref="C11:D11"/>
    <mergeCell ref="AA11:AB11"/>
    <mergeCell ref="C12:D12"/>
    <mergeCell ref="AA12:AB12"/>
    <mergeCell ref="C13:D13"/>
    <mergeCell ref="AG17:AG24"/>
    <mergeCell ref="C18:D18"/>
    <mergeCell ref="AA18:AB18"/>
    <mergeCell ref="C19:D19"/>
    <mergeCell ref="AA19:AB19"/>
    <mergeCell ref="C20:D20"/>
    <mergeCell ref="AA13:AB13"/>
    <mergeCell ref="C14:D14"/>
    <mergeCell ref="AA14:AB14"/>
    <mergeCell ref="C15:D15"/>
    <mergeCell ref="AA15:AB15"/>
    <mergeCell ref="C16:D16"/>
    <mergeCell ref="AA16:AB16"/>
    <mergeCell ref="AA20:AB20"/>
    <mergeCell ref="C21:D21"/>
    <mergeCell ref="AA21:AB21"/>
    <mergeCell ref="C24:D24"/>
    <mergeCell ref="AA24:AB24"/>
    <mergeCell ref="A25:A33"/>
    <mergeCell ref="C25:D25"/>
    <mergeCell ref="R25:R33"/>
    <mergeCell ref="AA25:AB25"/>
    <mergeCell ref="AA30:AB30"/>
    <mergeCell ref="A17:A24"/>
    <mergeCell ref="C17:D17"/>
    <mergeCell ref="R17:R24"/>
    <mergeCell ref="AA17:AB17"/>
    <mergeCell ref="AG25:AG33"/>
    <mergeCell ref="C26:D26"/>
    <mergeCell ref="AA26:AB26"/>
    <mergeCell ref="C27:D27"/>
    <mergeCell ref="AA27:AB27"/>
    <mergeCell ref="C28:D28"/>
    <mergeCell ref="AA28:AB28"/>
    <mergeCell ref="C29:D29"/>
    <mergeCell ref="AA29:AB29"/>
    <mergeCell ref="C30:D30"/>
    <mergeCell ref="C31:D31"/>
    <mergeCell ref="AA31:AB31"/>
    <mergeCell ref="C33:D33"/>
    <mergeCell ref="AA33:AB33"/>
    <mergeCell ref="AA50:AB50"/>
    <mergeCell ref="A34:A41"/>
    <mergeCell ref="C34:D34"/>
    <mergeCell ref="R34:R41"/>
    <mergeCell ref="AA34:AB34"/>
    <mergeCell ref="AA39:AB39"/>
    <mergeCell ref="C40:D40"/>
    <mergeCell ref="AG34:AG41"/>
    <mergeCell ref="C35:D35"/>
    <mergeCell ref="AA35:AB35"/>
    <mergeCell ref="C36:D36"/>
    <mergeCell ref="AA36:AB36"/>
    <mergeCell ref="C37:D37"/>
    <mergeCell ref="AA37:AB37"/>
    <mergeCell ref="C38:D38"/>
    <mergeCell ref="AA38:AB38"/>
    <mergeCell ref="C39:D39"/>
    <mergeCell ref="AA40:AB40"/>
    <mergeCell ref="C41:D41"/>
    <mergeCell ref="AA41:AB41"/>
    <mergeCell ref="A51:A55"/>
    <mergeCell ref="C51:D51"/>
    <mergeCell ref="R51:R55"/>
    <mergeCell ref="AA51:AB51"/>
    <mergeCell ref="AG42:AG50"/>
    <mergeCell ref="C43:D43"/>
    <mergeCell ref="AA43:AB43"/>
    <mergeCell ref="C44:D44"/>
    <mergeCell ref="AA44:AB44"/>
    <mergeCell ref="C45:D45"/>
    <mergeCell ref="AA45:AB45"/>
    <mergeCell ref="C46:D46"/>
    <mergeCell ref="AA46:AB46"/>
    <mergeCell ref="C47:D47"/>
    <mergeCell ref="A42:A50"/>
    <mergeCell ref="C42:D42"/>
    <mergeCell ref="R42:R50"/>
    <mergeCell ref="AA42:AB42"/>
    <mergeCell ref="AA47:AB47"/>
    <mergeCell ref="C48:D48"/>
    <mergeCell ref="AA48:AB48"/>
    <mergeCell ref="C49:D49"/>
    <mergeCell ref="AA49:AB49"/>
    <mergeCell ref="C50:D50"/>
    <mergeCell ref="AG56:AG65"/>
    <mergeCell ref="C57:D57"/>
    <mergeCell ref="AA57:AB57"/>
    <mergeCell ref="C58:D58"/>
    <mergeCell ref="AA58:AB58"/>
    <mergeCell ref="AA59:AB59"/>
    <mergeCell ref="AG51:AG55"/>
    <mergeCell ref="C52:D52"/>
    <mergeCell ref="AA52:AB52"/>
    <mergeCell ref="C53:D53"/>
    <mergeCell ref="AA53:AB53"/>
    <mergeCell ref="C54:D54"/>
    <mergeCell ref="AA54:AB54"/>
    <mergeCell ref="C55:D55"/>
    <mergeCell ref="AA55:AB55"/>
    <mergeCell ref="C65:D65"/>
    <mergeCell ref="AA65:AB65"/>
    <mergeCell ref="A66:A70"/>
    <mergeCell ref="C66:D66"/>
    <mergeCell ref="R66:R70"/>
    <mergeCell ref="AA66:AB66"/>
    <mergeCell ref="AA60:AB60"/>
    <mergeCell ref="C61:D61"/>
    <mergeCell ref="AA61:AB61"/>
    <mergeCell ref="C62:D62"/>
    <mergeCell ref="AA62:AB62"/>
    <mergeCell ref="C63:D63"/>
    <mergeCell ref="AA63:AB63"/>
    <mergeCell ref="A56:A65"/>
    <mergeCell ref="C56:D56"/>
    <mergeCell ref="R56:R65"/>
    <mergeCell ref="AA56:AB56"/>
    <mergeCell ref="AG66:AG70"/>
    <mergeCell ref="C67:D67"/>
    <mergeCell ref="AA67:AB67"/>
    <mergeCell ref="C68:D68"/>
    <mergeCell ref="AA68:AB68"/>
    <mergeCell ref="C69:D69"/>
    <mergeCell ref="AA69:AB69"/>
    <mergeCell ref="C70:D70"/>
    <mergeCell ref="AA70:AB70"/>
    <mergeCell ref="A71:A79"/>
    <mergeCell ref="C71:D71"/>
    <mergeCell ref="R71:R79"/>
    <mergeCell ref="AA71:AB71"/>
    <mergeCell ref="AG71:AG79"/>
    <mergeCell ref="C72:D72"/>
    <mergeCell ref="AA72:AB72"/>
    <mergeCell ref="C73:D73"/>
    <mergeCell ref="AA73:AB73"/>
    <mergeCell ref="C74:D74"/>
    <mergeCell ref="C78:D78"/>
    <mergeCell ref="AA78:AB78"/>
    <mergeCell ref="C79:D79"/>
    <mergeCell ref="AA79:AB79"/>
    <mergeCell ref="AA74:AB74"/>
    <mergeCell ref="C75:D75"/>
    <mergeCell ref="AA75:AB75"/>
    <mergeCell ref="C76:D76"/>
    <mergeCell ref="AA76:AB76"/>
    <mergeCell ref="C77:D77"/>
    <mergeCell ref="AA77:AB77"/>
  </mergeCells>
  <phoneticPr fontId="3" type="noConversion"/>
  <conditionalFormatting sqref="O69:O76 O65:O66 O79 O5:O10 O16:O18 O24:O61">
    <cfRule type="cellIs" dxfId="859" priority="69" operator="greaterThan">
      <formula>0</formula>
    </cfRule>
  </conditionalFormatting>
  <conditionalFormatting sqref="P5:P8 P69 AE69 P71:P76 P34:P40 P66 P10 P16:P18 P25:P32 P56:P61 P42:P54 AE5:AE66 AE71:AE79">
    <cfRule type="cellIs" dxfId="858" priority="73" operator="lessThan">
      <formula>0</formula>
    </cfRule>
  </conditionalFormatting>
  <conditionalFormatting sqref="AF69 Q69:Q76 Q65:Q66 Q79 Q5:Q10 Q16:Q18 Q24:Q61 AF5:AF66 AF71:AF79">
    <cfRule type="cellIs" dxfId="857" priority="70" operator="greaterThan">
      <formula>1</formula>
    </cfRule>
    <cfRule type="cellIs" dxfId="856" priority="71" operator="lessThan">
      <formula>0.8</formula>
    </cfRule>
  </conditionalFormatting>
  <conditionalFormatting sqref="AG17:AG18 R17:R18 AG69 R69:R76 R24:R30 AG24:AG30 AG65:AG66 R65:R66 R79 AG5:AG10 R5:R10 AG33:AG61 R33:R61">
    <cfRule type="cellIs" dxfId="855" priority="75" operator="lessThan">
      <formula>0.8</formula>
    </cfRule>
  </conditionalFormatting>
  <conditionalFormatting sqref="AG51">
    <cfRule type="cellIs" dxfId="854" priority="77" operator="lessThan">
      <formula>0.8</formula>
    </cfRule>
  </conditionalFormatting>
  <conditionalFormatting sqref="AG25:AG30">
    <cfRule type="cellIs" dxfId="853" priority="74" operator="lessThan">
      <formula>0.8</formula>
    </cfRule>
  </conditionalFormatting>
  <conditionalFormatting sqref="AG34">
    <cfRule type="cellIs" dxfId="852" priority="76" operator="lessThan">
      <formula>0.8</formula>
    </cfRule>
  </conditionalFormatting>
  <conditionalFormatting sqref="AG42:AG49">
    <cfRule type="cellIs" dxfId="851" priority="72" operator="lessThan">
      <formula>0.8</formula>
    </cfRule>
  </conditionalFormatting>
  <conditionalFormatting sqref="AE70">
    <cfRule type="cellIs" dxfId="850" priority="68" operator="lessThan">
      <formula>0</formula>
    </cfRule>
  </conditionalFormatting>
  <conditionalFormatting sqref="AF70">
    <cfRule type="cellIs" dxfId="849" priority="66" operator="greaterThan">
      <formula>1</formula>
    </cfRule>
    <cfRule type="cellIs" dxfId="848" priority="67" operator="lessThan">
      <formula>0.8</formula>
    </cfRule>
  </conditionalFormatting>
  <conditionalFormatting sqref="O19:O20">
    <cfRule type="cellIs" dxfId="847" priority="61" operator="greaterThan">
      <formula>0</formula>
    </cfRule>
  </conditionalFormatting>
  <conditionalFormatting sqref="P19:P20">
    <cfRule type="cellIs" dxfId="846" priority="64" operator="lessThan">
      <formula>0</formula>
    </cfRule>
  </conditionalFormatting>
  <conditionalFormatting sqref="Q19:Q20">
    <cfRule type="cellIs" dxfId="845" priority="62" operator="greaterThan">
      <formula>1</formula>
    </cfRule>
    <cfRule type="cellIs" dxfId="844" priority="63" operator="lessThan">
      <formula>0.8</formula>
    </cfRule>
  </conditionalFormatting>
  <conditionalFormatting sqref="R19:R20 AG19:AG20">
    <cfRule type="cellIs" dxfId="843" priority="65" operator="lessThan">
      <formula>0.8</formula>
    </cfRule>
  </conditionalFormatting>
  <conditionalFormatting sqref="O11:O15">
    <cfRule type="cellIs" dxfId="842" priority="57" operator="greaterThan">
      <formula>0</formula>
    </cfRule>
  </conditionalFormatting>
  <conditionalFormatting sqref="P11:P15">
    <cfRule type="cellIs" dxfId="841" priority="60" operator="lessThan">
      <formula>0</formula>
    </cfRule>
  </conditionalFormatting>
  <conditionalFormatting sqref="Q11:Q15">
    <cfRule type="cellIs" dxfId="840" priority="58" operator="greaterThan">
      <formula>1</formula>
    </cfRule>
    <cfRule type="cellIs" dxfId="839" priority="59" operator="lessThan">
      <formula>0.8</formula>
    </cfRule>
  </conditionalFormatting>
  <conditionalFormatting sqref="O62">
    <cfRule type="cellIs" dxfId="838" priority="52" operator="greaterThan">
      <formula>0</formula>
    </cfRule>
  </conditionalFormatting>
  <conditionalFormatting sqref="P62">
    <cfRule type="cellIs" dxfId="837" priority="55" operator="lessThan">
      <formula>0</formula>
    </cfRule>
  </conditionalFormatting>
  <conditionalFormatting sqref="Q62">
    <cfRule type="cellIs" dxfId="836" priority="53" operator="greaterThan">
      <formula>1</formula>
    </cfRule>
    <cfRule type="cellIs" dxfId="835" priority="54" operator="lessThan">
      <formula>0.8</formula>
    </cfRule>
  </conditionalFormatting>
  <conditionalFormatting sqref="R62 AG62">
    <cfRule type="cellIs" dxfId="834" priority="56" operator="lessThan">
      <formula>0.8</formula>
    </cfRule>
  </conditionalFormatting>
  <conditionalFormatting sqref="AG32 R32">
    <cfRule type="cellIs" dxfId="833" priority="51" operator="lessThan">
      <formula>0.8</formula>
    </cfRule>
  </conditionalFormatting>
  <conditionalFormatting sqref="O68">
    <cfRule type="cellIs" dxfId="832" priority="46" operator="greaterThan">
      <formula>0</formula>
    </cfRule>
  </conditionalFormatting>
  <conditionalFormatting sqref="P68 AE68">
    <cfRule type="cellIs" dxfId="831" priority="49" operator="lessThan">
      <formula>0</formula>
    </cfRule>
  </conditionalFormatting>
  <conditionalFormatting sqref="Q68 AF68">
    <cfRule type="cellIs" dxfId="830" priority="47" operator="greaterThan">
      <formula>1</formula>
    </cfRule>
    <cfRule type="cellIs" dxfId="829" priority="48" operator="lessThan">
      <formula>0.8</formula>
    </cfRule>
  </conditionalFormatting>
  <conditionalFormatting sqref="R68 AG68">
    <cfRule type="cellIs" dxfId="828" priority="50" operator="lessThan">
      <formula>0.8</formula>
    </cfRule>
  </conditionalFormatting>
  <conditionalFormatting sqref="O77">
    <cfRule type="cellIs" dxfId="827" priority="41" operator="greaterThan">
      <formula>0</formula>
    </cfRule>
  </conditionalFormatting>
  <conditionalFormatting sqref="P77">
    <cfRule type="cellIs" dxfId="826" priority="44" operator="lessThan">
      <formula>0</formula>
    </cfRule>
  </conditionalFormatting>
  <conditionalFormatting sqref="Q77">
    <cfRule type="cellIs" dxfId="825" priority="42" operator="greaterThan">
      <formula>1</formula>
    </cfRule>
    <cfRule type="cellIs" dxfId="824" priority="43" operator="lessThan">
      <formula>0.8</formula>
    </cfRule>
  </conditionalFormatting>
  <conditionalFormatting sqref="R77">
    <cfRule type="cellIs" dxfId="823" priority="45" operator="lessThan">
      <formula>0.8</formula>
    </cfRule>
  </conditionalFormatting>
  <conditionalFormatting sqref="O21:O22">
    <cfRule type="cellIs" dxfId="822" priority="36" operator="greaterThan">
      <formula>0</formula>
    </cfRule>
  </conditionalFormatting>
  <conditionalFormatting sqref="P21:P22">
    <cfRule type="cellIs" dxfId="821" priority="39" operator="lessThan">
      <formula>0</formula>
    </cfRule>
  </conditionalFormatting>
  <conditionalFormatting sqref="Q21:Q22">
    <cfRule type="cellIs" dxfId="820" priority="37" operator="greaterThan">
      <formula>1</formula>
    </cfRule>
    <cfRule type="cellIs" dxfId="819" priority="38" operator="lessThan">
      <formula>0.8</formula>
    </cfRule>
  </conditionalFormatting>
  <conditionalFormatting sqref="R21:R22 AG21:AG22">
    <cfRule type="cellIs" dxfId="818" priority="40" operator="lessThan">
      <formula>0.8</formula>
    </cfRule>
  </conditionalFormatting>
  <conditionalFormatting sqref="O63">
    <cfRule type="cellIs" dxfId="817" priority="31" operator="greaterThan">
      <formula>0</formula>
    </cfRule>
  </conditionalFormatting>
  <conditionalFormatting sqref="P63">
    <cfRule type="cellIs" dxfId="816" priority="34" operator="lessThan">
      <formula>0</formula>
    </cfRule>
  </conditionalFormatting>
  <conditionalFormatting sqref="Q63">
    <cfRule type="cellIs" dxfId="815" priority="32" operator="greaterThan">
      <formula>1</formula>
    </cfRule>
    <cfRule type="cellIs" dxfId="814" priority="33" operator="lessThan">
      <formula>0.8</formula>
    </cfRule>
  </conditionalFormatting>
  <conditionalFormatting sqref="AG63 R63">
    <cfRule type="cellIs" dxfId="813" priority="35" operator="lessThan">
      <formula>0.8</formula>
    </cfRule>
  </conditionalFormatting>
  <conditionalFormatting sqref="R31 AG31">
    <cfRule type="cellIs" dxfId="812" priority="30" operator="lessThan">
      <formula>0.8</formula>
    </cfRule>
  </conditionalFormatting>
  <conditionalFormatting sqref="AG31">
    <cfRule type="cellIs" dxfId="811" priority="29" operator="lessThan">
      <formula>0.8</formula>
    </cfRule>
  </conditionalFormatting>
  <conditionalFormatting sqref="O67">
    <cfRule type="cellIs" dxfId="810" priority="24" operator="greaterThan">
      <formula>0</formula>
    </cfRule>
  </conditionalFormatting>
  <conditionalFormatting sqref="P67 AE67">
    <cfRule type="cellIs" dxfId="809" priority="27" operator="lessThan">
      <formula>0</formula>
    </cfRule>
  </conditionalFormatting>
  <conditionalFormatting sqref="Q67 AF67">
    <cfRule type="cellIs" dxfId="808" priority="25" operator="greaterThan">
      <formula>1</formula>
    </cfRule>
    <cfRule type="cellIs" dxfId="807" priority="26" operator="lessThan">
      <formula>0.8</formula>
    </cfRule>
  </conditionalFormatting>
  <conditionalFormatting sqref="R67 AG67">
    <cfRule type="cellIs" dxfId="806" priority="28" operator="lessThan">
      <formula>0.8</formula>
    </cfRule>
  </conditionalFormatting>
  <conditionalFormatting sqref="O23">
    <cfRule type="cellIs" dxfId="805" priority="19" operator="greaterThan">
      <formula>0</formula>
    </cfRule>
  </conditionalFormatting>
  <conditionalFormatting sqref="P23">
    <cfRule type="cellIs" dxfId="804" priority="22" operator="lessThan">
      <formula>0</formula>
    </cfRule>
  </conditionalFormatting>
  <conditionalFormatting sqref="Q23">
    <cfRule type="cellIs" dxfId="803" priority="20" operator="greaterThan">
      <formula>1</formula>
    </cfRule>
    <cfRule type="cellIs" dxfId="802" priority="21" operator="lessThan">
      <formula>0.8</formula>
    </cfRule>
  </conditionalFormatting>
  <conditionalFormatting sqref="AG23 R23">
    <cfRule type="cellIs" dxfId="801" priority="23" operator="lessThan">
      <formula>0.8</formula>
    </cfRule>
  </conditionalFormatting>
  <conditionalFormatting sqref="P9">
    <cfRule type="cellIs" dxfId="800" priority="18" operator="lessThan">
      <formula>0</formula>
    </cfRule>
  </conditionalFormatting>
  <conditionalFormatting sqref="P24">
    <cfRule type="cellIs" dxfId="799" priority="17" operator="lessThan">
      <formula>0</formula>
    </cfRule>
  </conditionalFormatting>
  <conditionalFormatting sqref="P33">
    <cfRule type="cellIs" dxfId="798" priority="16" operator="lessThan">
      <formula>0</formula>
    </cfRule>
  </conditionalFormatting>
  <conditionalFormatting sqref="P41">
    <cfRule type="cellIs" dxfId="797" priority="15" operator="lessThan">
      <formula>0</formula>
    </cfRule>
  </conditionalFormatting>
  <conditionalFormatting sqref="P55">
    <cfRule type="cellIs" dxfId="796" priority="14" operator="lessThan">
      <formula>0</formula>
    </cfRule>
  </conditionalFormatting>
  <conditionalFormatting sqref="P65">
    <cfRule type="cellIs" dxfId="795" priority="13" operator="lessThan">
      <formula>0</formula>
    </cfRule>
  </conditionalFormatting>
  <conditionalFormatting sqref="P70">
    <cfRule type="cellIs" dxfId="794" priority="12" operator="lessThan">
      <formula>0</formula>
    </cfRule>
  </conditionalFormatting>
  <conditionalFormatting sqref="P79">
    <cfRule type="cellIs" dxfId="793" priority="11" operator="lessThan">
      <formula>0</formula>
    </cfRule>
  </conditionalFormatting>
  <conditionalFormatting sqref="O78">
    <cfRule type="cellIs" dxfId="792" priority="6" operator="greaterThan">
      <formula>0</formula>
    </cfRule>
  </conditionalFormatting>
  <conditionalFormatting sqref="P78">
    <cfRule type="cellIs" dxfId="791" priority="9" operator="lessThan">
      <formula>0</formula>
    </cfRule>
  </conditionalFormatting>
  <conditionalFormatting sqref="Q78">
    <cfRule type="cellIs" dxfId="790" priority="7" operator="greaterThan">
      <formula>1</formula>
    </cfRule>
    <cfRule type="cellIs" dxfId="789" priority="8" operator="lessThan">
      <formula>0.8</formula>
    </cfRule>
  </conditionalFormatting>
  <conditionalFormatting sqref="R78">
    <cfRule type="cellIs" dxfId="788" priority="10" operator="lessThan">
      <formula>0.8</formula>
    </cfRule>
  </conditionalFormatting>
  <conditionalFormatting sqref="O64">
    <cfRule type="cellIs" dxfId="787" priority="1" operator="greaterThan">
      <formula>0</formula>
    </cfRule>
  </conditionalFormatting>
  <conditionalFormatting sqref="P64">
    <cfRule type="cellIs" dxfId="786" priority="4" operator="lessThan">
      <formula>0</formula>
    </cfRule>
  </conditionalFormatting>
  <conditionalFormatting sqref="Q64">
    <cfRule type="cellIs" dxfId="785" priority="2" operator="greaterThan">
      <formula>1</formula>
    </cfRule>
    <cfRule type="cellIs" dxfId="784" priority="3" operator="lessThan">
      <formula>0.8</formula>
    </cfRule>
  </conditionalFormatting>
  <conditionalFormatting sqref="AG64 R64">
    <cfRule type="cellIs" dxfId="783" priority="5" operator="lessThan">
      <formula>0.8</formula>
    </cfRule>
  </conditionalFormatting>
  <dataValidations count="1">
    <dataValidation type="list" allowBlank="1" showInputMessage="1" showErrorMessage="1" sqref="AB9 AA5:AB8 AA9:AA69 AB11:AB66 AA70:AB79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6" sqref="A6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612" t="s">
        <v>927</v>
      </c>
      <c r="C1" s="612"/>
      <c r="D1" s="612"/>
      <c r="E1" s="612"/>
      <c r="F1" s="612"/>
      <c r="G1" s="612"/>
      <c r="H1" s="612"/>
      <c r="I1" s="612"/>
      <c r="J1" s="612"/>
      <c r="K1" s="51"/>
      <c r="L1" s="51"/>
      <c r="M1" s="51"/>
      <c r="N1" s="51"/>
      <c r="O1" s="51"/>
      <c r="P1" s="51"/>
    </row>
    <row r="2" spans="2:17" ht="27.75" customHeight="1">
      <c r="B2" s="613"/>
      <c r="C2" s="613"/>
      <c r="D2" s="613"/>
      <c r="E2" s="613"/>
      <c r="F2" s="613"/>
      <c r="G2" s="613"/>
      <c r="H2" s="613"/>
      <c r="I2" s="613"/>
      <c r="J2" s="613"/>
      <c r="K2" s="53"/>
      <c r="L2" s="53"/>
      <c r="M2" s="53"/>
      <c r="N2" s="51"/>
      <c r="O2" s="51"/>
      <c r="P2" s="51"/>
    </row>
    <row r="3" spans="2:17" ht="46.5" customHeight="1">
      <c r="B3" s="54" t="s">
        <v>152</v>
      </c>
      <c r="C3" s="614" t="str">
        <f>TEXT('0809 4度C'!A2,"yyyy.mm.ddaaaa")</f>
        <v>2026.08.09星期日</v>
      </c>
      <c r="D3" s="615"/>
      <c r="E3" s="54" t="s">
        <v>928</v>
      </c>
      <c r="F3" s="616">
        <f>'0809 4度C'!D1</f>
        <v>201330</v>
      </c>
      <c r="G3" s="617"/>
      <c r="H3" s="54" t="s">
        <v>929</v>
      </c>
      <c r="I3" s="618">
        <f>'0809 4度C'!F1</f>
        <v>6975864.2899999991</v>
      </c>
      <c r="J3" s="619"/>
      <c r="K3" s="55"/>
      <c r="L3" s="56"/>
      <c r="M3" s="57"/>
      <c r="N3" s="57"/>
    </row>
    <row r="4" spans="2:17" ht="28.5" customHeight="1">
      <c r="B4" s="620" t="s">
        <v>930</v>
      </c>
      <c r="C4" s="606" t="s">
        <v>931</v>
      </c>
      <c r="D4" s="607"/>
      <c r="E4" s="623" t="s">
        <v>157</v>
      </c>
      <c r="F4" s="624"/>
      <c r="G4" s="623" t="s">
        <v>158</v>
      </c>
      <c r="H4" s="624"/>
      <c r="I4" s="623" t="s">
        <v>932</v>
      </c>
      <c r="J4" s="624"/>
      <c r="K4" s="604" t="s">
        <v>933</v>
      </c>
      <c r="L4" s="605"/>
      <c r="M4" s="605" t="s">
        <v>934</v>
      </c>
      <c r="N4" s="605"/>
    </row>
    <row r="5" spans="2:17" ht="28.5" customHeight="1">
      <c r="B5" s="621"/>
      <c r="C5" s="606" t="s">
        <v>935</v>
      </c>
      <c r="D5" s="607"/>
      <c r="E5" s="606" t="s">
        <v>936</v>
      </c>
      <c r="F5" s="607"/>
      <c r="G5" s="608" t="s">
        <v>937</v>
      </c>
      <c r="H5" s="609"/>
      <c r="I5" s="610" t="s">
        <v>938</v>
      </c>
      <c r="J5" s="611"/>
      <c r="K5" s="58" t="s">
        <v>939</v>
      </c>
      <c r="L5" s="59" t="s">
        <v>167</v>
      </c>
      <c r="M5" s="58" t="s">
        <v>939</v>
      </c>
      <c r="N5" s="59" t="s">
        <v>940</v>
      </c>
    </row>
    <row r="6" spans="2:17" ht="28.5" customHeight="1">
      <c r="B6" s="621"/>
      <c r="C6" s="606" t="s">
        <v>169</v>
      </c>
      <c r="D6" s="607"/>
      <c r="E6" s="598">
        <f>AVERAGE(D13:M13)</f>
        <v>158.84009132871455</v>
      </c>
      <c r="F6" s="599">
        <f>AVERAGE(D31:O31,D13:J13)</f>
        <v>167.7837690532308</v>
      </c>
      <c r="G6" s="600">
        <f>AVERAGE(D13:J13)</f>
        <v>167.7837690532308</v>
      </c>
      <c r="H6" s="601"/>
      <c r="I6" s="600">
        <f>AVERAGE(K13:M13)</f>
        <v>137.97150997150996</v>
      </c>
      <c r="J6" s="601"/>
      <c r="K6" s="602">
        <f>'0809 4度C'!Y2</f>
        <v>0</v>
      </c>
      <c r="L6" s="587">
        <f>'0809 4度C'!Z2</f>
        <v>0</v>
      </c>
      <c r="M6" s="603">
        <f>'0809 4度C'!AC2</f>
        <v>67</v>
      </c>
      <c r="N6" s="587">
        <f>'0809 4度C'!AD2</f>
        <v>0</v>
      </c>
    </row>
    <row r="7" spans="2:17" ht="28.5" customHeight="1">
      <c r="B7" s="621"/>
      <c r="C7" s="588" t="s">
        <v>170</v>
      </c>
      <c r="D7" s="589"/>
      <c r="E7" s="590">
        <f>AVERAGE(D14:M14)</f>
        <v>152.49884892617558</v>
      </c>
      <c r="F7" s="591">
        <f>AVERAGE(D32:O32,D14:J14)</f>
        <v>161.32467054674504</v>
      </c>
      <c r="G7" s="592">
        <f>AVERAGE(D14:J14)</f>
        <v>161.32467054674504</v>
      </c>
      <c r="H7" s="593"/>
      <c r="I7" s="592">
        <f>AVERAGE(K14:M14)</f>
        <v>131.90526514484682</v>
      </c>
      <c r="J7" s="593"/>
      <c r="K7" s="602"/>
      <c r="L7" s="587"/>
      <c r="M7" s="603"/>
      <c r="N7" s="587"/>
    </row>
    <row r="8" spans="2:17" ht="28.5" customHeight="1">
      <c r="B8" s="622"/>
      <c r="C8" s="588" t="s">
        <v>171</v>
      </c>
      <c r="D8" s="589"/>
      <c r="E8" s="594">
        <f>AVERAGE(D15:M15)</f>
        <v>0.95890900151015224</v>
      </c>
      <c r="F8" s="595">
        <f>AVERAGE(D15:J15,D33:O33)</f>
        <v>0.96013271222268926</v>
      </c>
      <c r="G8" s="596">
        <f>AVERAGE(D15:J15)</f>
        <v>0.96013271222268926</v>
      </c>
      <c r="H8" s="597"/>
      <c r="I8" s="596">
        <f>AVERAGE(K15:M15)</f>
        <v>0.9560536765142329</v>
      </c>
      <c r="J8" s="597"/>
      <c r="K8" s="602"/>
      <c r="L8" s="587"/>
      <c r="M8" s="603"/>
      <c r="N8" s="587"/>
    </row>
    <row r="9" spans="2:17" ht="28.5" customHeight="1" thickBot="1">
      <c r="H9" s="61"/>
      <c r="K9" s="62" t="s">
        <v>941</v>
      </c>
      <c r="N9" s="57"/>
      <c r="O9" s="57"/>
      <c r="P9" s="57"/>
      <c r="Q9" s="57"/>
    </row>
    <row r="10" spans="2:17" ht="30" customHeight="1">
      <c r="B10" s="570" t="s">
        <v>942</v>
      </c>
      <c r="C10" s="571"/>
      <c r="D10" s="572" t="s">
        <v>943</v>
      </c>
      <c r="E10" s="573"/>
      <c r="F10" s="573"/>
      <c r="G10" s="573"/>
      <c r="H10" s="573"/>
      <c r="I10" s="573"/>
      <c r="J10" s="574"/>
      <c r="K10" s="575" t="s">
        <v>944</v>
      </c>
      <c r="L10" s="576"/>
      <c r="M10" s="577"/>
      <c r="P10" s="63"/>
      <c r="Q10" s="63"/>
    </row>
    <row r="11" spans="2:17" ht="17.25" customHeight="1">
      <c r="B11" s="578" t="s">
        <v>945</v>
      </c>
      <c r="C11" s="579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80"/>
      <c r="C12" s="581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582" t="s">
        <v>946</v>
      </c>
      <c r="C13" s="70" t="s">
        <v>947</v>
      </c>
      <c r="D13" s="71">
        <f>SUMIFS('0809 4度C'!$K:$K,'0809 4度C'!$A:$A,"新豐6線",'0809 4度C'!$B:$B,"平均")</f>
        <v>129.03225806451613</v>
      </c>
      <c r="E13" s="72">
        <f>SUMIFS('0809 4度C'!$K:$K,'0809 4度C'!$A:$A,"新豐2線",'0809 4度C'!$B:$B,"平均")</f>
        <v>84.905660377358487</v>
      </c>
      <c r="F13" s="73">
        <f>SUMIFS('0809 4度C'!$K:$K,'0809 4度C'!$A:$A,"新豐5線",'0809 4度C'!$B:$B,"平均")</f>
        <v>90.225563909774436</v>
      </c>
      <c r="G13" s="73">
        <f>SUMIFS('0809 4度C'!$K:$K,'0809 4度C'!$A:$A,"新豐7線",'0809 4度C'!$B:$B,"平均")</f>
        <v>137.93103448275863</v>
      </c>
      <c r="H13" s="73">
        <f>SUMIFS('0809 4度C'!$K:$K,'0809 4度C'!$A:$A,"新豐3線",'0809 4度C'!$B:$B,"平均")</f>
        <v>324.32432432432432</v>
      </c>
      <c r="I13" s="73">
        <f>SUMIFS('0809 4度C'!$K:$K,'0809 4度C'!$A:$A,"新豐1線",'0809 4度C'!$B:$B,"平均")</f>
        <v>115.38461538461539</v>
      </c>
      <c r="J13" s="74">
        <f>SUMIFS('0809 4度C'!$K:$K,'0809 4度C'!$A:$A,"新豐10線",'0809 4度C'!$B:$B,"平均")</f>
        <v>292.6829268292683</v>
      </c>
      <c r="K13" s="75">
        <f>SUMIFS('0809 4度C'!$K:$K,'0809 4度C'!$A:$A,"新豐8線",'0809 4度C'!$B:$B,"平均")</f>
        <v>147.69230769230768</v>
      </c>
      <c r="L13" s="76">
        <f>SUMIFS('0809 4度C'!$K:$K,'0809 4度C'!$A:$A,"新豐9線",'0809 4度C'!$B:$B,"平均")</f>
        <v>122.22222222222223</v>
      </c>
      <c r="M13" s="74">
        <f>SUMIFS('0809 4度C'!$K:$K,'0809 4度C'!$A:$A,"新豐4線",'0809 4度C'!$B:$B,"平均")</f>
        <v>144</v>
      </c>
    </row>
    <row r="14" spans="2:17" ht="39.6" customHeight="1">
      <c r="B14" s="583"/>
      <c r="C14" s="77" t="s">
        <v>948</v>
      </c>
      <c r="D14" s="78">
        <f>SUMIFS('0809 4度C'!$N:$N,'0809 4度C'!$A:$A,"新豐6線",'0809 4度C'!$B:$B,"平均")</f>
        <v>123.81954640412931</v>
      </c>
      <c r="E14" s="79">
        <f>SUMIFS('0809 4度C'!$N:$N,'0809 4度C'!$A:$A,"新豐2線",'0809 4度C'!$B:$B,"平均")</f>
        <v>81.177494749979076</v>
      </c>
      <c r="F14" s="79">
        <f>SUMIFS('0809 4度C'!$N:$N,'0809 4度C'!$A:$A,"新豐5線",'0809 4度C'!$B:$B,"平均")</f>
        <v>86.470814060940967</v>
      </c>
      <c r="G14" s="79">
        <f>SUMIFS('0809 4度C'!$N:$N,'0809 4度C'!$A:$A,"新豐7線",'0809 4度C'!$B:$B,"平均")</f>
        <v>132.48349355209317</v>
      </c>
      <c r="H14" s="79">
        <f>SUMIFS('0809 4度C'!$N:$N,'0809 4度C'!$A:$A,"新豐3線",'0809 4度C'!$B:$B,"平均")</f>
        <v>314.4391105714634</v>
      </c>
      <c r="I14" s="79">
        <f>SUMIFS('0809 4度C'!$N:$N,'0809 4度C'!$A:$A,"新豐1線",'0809 4度C'!$B:$B,"平均")</f>
        <v>110.72608209752026</v>
      </c>
      <c r="J14" s="80">
        <f>SUMIFS('0809 4度C'!$N:$N,'0809 4度C'!$A:$A,"新豐10線",'0809 4度C'!$B:$B,"平均")</f>
        <v>280.15615239108917</v>
      </c>
      <c r="K14" s="81">
        <f>SUMIFS('0809 4度C'!$N:$N,'0809 4度C'!$A:$A,"新豐8線",'0809 4度C'!$B:$B,"平均")</f>
        <v>141.12809035633802</v>
      </c>
      <c r="L14" s="82">
        <f>SUMIFS('0809 4度C'!$N:$N,'0809 4度C'!$A:$A,"新豐9線",'0809 4度C'!$B:$B,"平均")</f>
        <v>116.88956421616412</v>
      </c>
      <c r="M14" s="80">
        <f>SUMIFS('0809 4度C'!$N:$N,'0809 4度C'!$A:$A,"新豐4線",'0809 4度C'!$B:$B,"平均")</f>
        <v>137.6981408620384</v>
      </c>
    </row>
    <row r="15" spans="2:17" ht="40.15" customHeight="1">
      <c r="B15" s="584"/>
      <c r="C15" s="83" t="s">
        <v>949</v>
      </c>
      <c r="D15" s="84">
        <f t="shared" ref="D15:M15" si="0">D14/D13</f>
        <v>0.95960148463200212</v>
      </c>
      <c r="E15" s="85">
        <f t="shared" si="0"/>
        <v>0.95609049372197585</v>
      </c>
      <c r="F15" s="85">
        <f t="shared" si="0"/>
        <v>0.95838485584209576</v>
      </c>
      <c r="G15" s="85">
        <f t="shared" si="0"/>
        <v>0.96050532825267532</v>
      </c>
      <c r="H15" s="85">
        <f t="shared" si="0"/>
        <v>0.96952059092867882</v>
      </c>
      <c r="I15" s="85">
        <f t="shared" si="0"/>
        <v>0.95962604484517555</v>
      </c>
      <c r="J15" s="86">
        <f t="shared" si="0"/>
        <v>0.95720018733622125</v>
      </c>
      <c r="K15" s="84">
        <f t="shared" si="0"/>
        <v>0.95555477845437209</v>
      </c>
      <c r="L15" s="85">
        <f t="shared" si="0"/>
        <v>0.95636916176861542</v>
      </c>
      <c r="M15" s="86">
        <f t="shared" si="0"/>
        <v>0.95623708931971108</v>
      </c>
    </row>
    <row r="16" spans="2:17" ht="17.25" customHeight="1">
      <c r="B16" s="585" t="s">
        <v>950</v>
      </c>
      <c r="C16" s="87" t="s">
        <v>951</v>
      </c>
      <c r="D16" s="88">
        <f>VLOOKUP("新豐6線",'0809 4度C'!$A:$T,19,0)</f>
        <v>0.70833333333333337</v>
      </c>
      <c r="E16" s="89">
        <f>VLOOKUP("新豐2線",'0809 4度C'!$A:$T,19,0)</f>
        <v>8.3333333333333329E-2</v>
      </c>
      <c r="F16" s="89">
        <f>VLOOKUP("新豐5線",'0809 4度C'!$A:$T,19,0)</f>
        <v>0.20833333333333334</v>
      </c>
      <c r="G16" s="89">
        <f>VLOOKUP("新豐7線",'0809 4度C'!$A:$T,19,0)</f>
        <v>0.20833333333333334</v>
      </c>
      <c r="H16" s="89">
        <f>VLOOKUP("新豐3線",'0809 4度C'!$A:$T,19,0)</f>
        <v>0.20833333333333334</v>
      </c>
      <c r="I16" s="89">
        <f>VLOOKUP("新豐1線",'0809 4度C'!$A:$T,19,0)</f>
        <v>0.20833333333333334</v>
      </c>
      <c r="J16" s="90">
        <f>VLOOKUP("新豐10線",'0809 4度C'!$A:$T,19,0)</f>
        <v>0.20833333333333334</v>
      </c>
      <c r="K16" s="91">
        <f>VLOOKUP("新豐8線",'0809 4度C'!$A:$T,19,0)</f>
        <v>8.3333333333333329E-2</v>
      </c>
      <c r="L16" s="92">
        <f>VLOOKUP("新豐9線",'0809 4度C'!$A:$T,19,0)</f>
        <v>8.3333333333333329E-2</v>
      </c>
      <c r="M16" s="93">
        <f>VLOOKUP("新豐4線",'0809 4度C'!$A:$T,19,0)</f>
        <v>8.3333333333333329E-2</v>
      </c>
    </row>
    <row r="17" spans="2:13" ht="17.25" customHeight="1">
      <c r="B17" s="586"/>
      <c r="C17" s="87" t="s">
        <v>952</v>
      </c>
      <c r="D17" s="91">
        <f>LOOKUP(2,1/(('0809 4度C'!$A:$A="新豐6線")*('0809 4度C'!$T:$T&lt;&gt;"")),'0809 4度C'!$T:$T)</f>
        <v>0.92222222222222228</v>
      </c>
      <c r="E17" s="89">
        <f>LOOKUP(2,1/(('0809 4度C'!$A:$A="新豐2線")*('0809 4度C'!$T:$T&lt;&gt;"")),'0809 4度C'!$T:$T)</f>
        <v>0.70138888888888884</v>
      </c>
      <c r="F17" s="89">
        <f>LOOKUP(2,1/(('0809 4度C'!$A:$A="新豐5線")*('0809 4度C'!$T:$T&lt;&gt;"")),'0809 4度C'!$T:$T)</f>
        <v>0.92291666666666661</v>
      </c>
      <c r="G17" s="89">
        <f>LOOKUP(2,1/(('0809 4度C'!$A:$A="新豐7線")*('0809 4度C'!$T:$T&lt;&gt;"")),'0809 4度C'!$T:$T)</f>
        <v>0.91388888888888886</v>
      </c>
      <c r="H17" s="89">
        <f>LOOKUP(2,1/(('0809 4度C'!$A:$A="新豐3線")*('0809 4度C'!$T:$T&lt;&gt;"")),'0809 4度C'!$T:$T)</f>
        <v>0.43263888888888885</v>
      </c>
      <c r="I17" s="89">
        <f>LOOKUP(2,1/(('0809 4度C'!$A:$A="新豐1線")*('0809 4度C'!$T:$T&lt;&gt;"")),'0809 4度C'!$T:$T)</f>
        <v>0.90347222222222223</v>
      </c>
      <c r="J17" s="90">
        <f>LOOKUP(2,1/(('0809 4度C'!$A:$A="新豐10線")*('0809 4度C'!$T:$T&lt;&gt;"")),'0809 4度C'!$T:$T)</f>
        <v>0.42847222222222214</v>
      </c>
      <c r="K17" s="88">
        <f>LOOKUP(2,1/(('0809 4度C'!$A:$A="新豐8線")*('0809 4度C'!$T:$T&lt;&gt;"")),'0809 4度C'!$T:$T)</f>
        <v>0.77361111111111103</v>
      </c>
      <c r="L17" s="89">
        <f>LOOKUP(2,1/(('0809 4度C'!$A:$A="新豐9線")*('0809 4度C'!$T:$T&lt;&gt;"")),'0809 4度C'!$T:$T)</f>
        <v>0.76736111111111105</v>
      </c>
      <c r="M17" s="90">
        <f>LOOKUP(2,1/(('0809 4度C'!$A:$A="新豐4線")*('0809 4度C'!$T:$T&lt;&gt;"")),'0809 4度C'!$T:$T)</f>
        <v>0.73888888888888871</v>
      </c>
    </row>
    <row r="18" spans="2:13" ht="17.25" customHeight="1">
      <c r="B18" s="564" t="s">
        <v>194</v>
      </c>
      <c r="C18" s="94" t="s">
        <v>953</v>
      </c>
      <c r="D18" s="95">
        <f>SUMIFS('0809 4度C'!$Y:$Y,'0809 4度C'!$A:$A,"新豐6線",'0809 4度C'!$B:$B,"平均")</f>
        <v>0</v>
      </c>
      <c r="E18" s="96">
        <f>SUMIFS('0809 4度C'!$Y:$Y,'0809 4度C'!$A:$A,"新豐2線",'0809 4度C'!$B:$B,"平均")</f>
        <v>0</v>
      </c>
      <c r="F18" s="96">
        <f>SUMIFS('0809 4度C'!$Y:$Y,'0809 4度C'!$A:$A,"新豐5線",'0809 4度C'!$B:$B,"平均")</f>
        <v>0</v>
      </c>
      <c r="G18" s="96">
        <f>SUMIFS('0809 4度C'!$Y:$Y,'0809 4度C'!$A:$A,"新豐7線",'0809 4度C'!$B:$B,"平均")</f>
        <v>0</v>
      </c>
      <c r="H18" s="96">
        <f>SUMIFS('0809 4度C'!$Y:$Y,'0809 4度C'!$A:$A,"新豐3線",'0809 4度C'!$B:$B,"平均")</f>
        <v>0</v>
      </c>
      <c r="I18" s="96">
        <f>SUMIFS('0809 4度C'!$Y:$Y,'0809 4度C'!$A:$A,"新豐1線",'0809 4度C'!$B:$B,"平均")</f>
        <v>0</v>
      </c>
      <c r="J18" s="97">
        <f>SUMIFS('0809 4度C'!$Y:$Y,'0809 4度C'!$A:$A,"新豐10線",'0809 4度C'!$B:$B,"平均")</f>
        <v>0</v>
      </c>
      <c r="K18" s="98">
        <f>SUMIFS('0809 4度C'!$Y:$Y,'0809 4度C'!$A:$A,"新豐8線",'0809 4度C'!$B:$B,"平均")</f>
        <v>0</v>
      </c>
      <c r="L18" s="96">
        <f>SUMIFS('0809 4度C'!$Y:$Y,'0809 4度C'!$A:$A,"新豐9線",'0809 4度C'!$B:$B,"平均")</f>
        <v>0</v>
      </c>
      <c r="M18" s="97">
        <f>SUMIFS('0809 4度C'!$Y:$Y,'0809 4度C'!$A:$A,"新豐4線",'0809 4度C'!$B:$B,"平均")</f>
        <v>0</v>
      </c>
    </row>
    <row r="19" spans="2:13" ht="17.25" customHeight="1">
      <c r="B19" s="565"/>
      <c r="C19" s="94" t="s">
        <v>954</v>
      </c>
      <c r="D19" s="95">
        <f>SUMIFS('0809 4度C'!$Z:$Z,'0809 4度C'!$A:$A,"新豐6線",'0809 4度C'!$B:$B,"平均")</f>
        <v>0</v>
      </c>
      <c r="E19" s="96">
        <f>SUMIFS('0809 4度C'!$Z:$Z,'0809 4度C'!$A:$A,"新豐2線",'0809 4度C'!$B:$B,"平均")</f>
        <v>0</v>
      </c>
      <c r="F19" s="96">
        <f>SUMIFS('0809 4度C'!$Z:$Z,'0809 4度C'!$A:$A,"新豐5線",'0809 4度C'!$B:$B,"平均")</f>
        <v>0</v>
      </c>
      <c r="G19" s="96">
        <f>SUMIFS('0809 4度C'!$Z:$Z,'0809 4度C'!$A:$A,"新豐7線",'0809 4度C'!$B:$B,"平均")</f>
        <v>0</v>
      </c>
      <c r="H19" s="96">
        <f>SUMIFS('0809 4度C'!$Z:$Z,'0809 4度C'!$A:$A,"新豐3線",'0809 4度C'!$B:$B,"平均")</f>
        <v>0</v>
      </c>
      <c r="I19" s="96">
        <f>SUMIFS('0809 4度C'!$Z:$Z,'0809 4度C'!$A:$A,"新豐1線",'0809 4度C'!$B:$B,"平均")</f>
        <v>0</v>
      </c>
      <c r="J19" s="97">
        <f>SUMIFS('0809 4度C'!$Z:$Z,'0809 4度C'!$A:$A,"新豐10線",'0809 4度C'!$B:$B,"平均")</f>
        <v>0</v>
      </c>
      <c r="K19" s="98">
        <f>SUMIFS('0809 4度C'!$Z:$Z,'0809 4度C'!$A:$A,"新豐8線",'0809 4度C'!$B:$B,"平均")</f>
        <v>0</v>
      </c>
      <c r="L19" s="96">
        <f>SUMIFS('0809 4度C'!$Z:$Z,'0809 4度C'!$A:$A,"新豐9線",'0809 4度C'!$B:$B,"平均")</f>
        <v>0</v>
      </c>
      <c r="M19" s="97">
        <f>SUMIFS('0809 4度C'!$Z:$Z,'0809 4度C'!$A:$A,"新豐4線",'0809 4度C'!$B:$B,"平均")</f>
        <v>0</v>
      </c>
    </row>
    <row r="20" spans="2:13" ht="17.25" customHeight="1">
      <c r="B20" s="564" t="s">
        <v>955</v>
      </c>
      <c r="C20" s="94" t="s">
        <v>956</v>
      </c>
      <c r="D20" s="95">
        <f>SUMIFS('0809 4度C'!$AC:$AC,'0809 4度C'!$A:$A,"新豐6線",'0809 4度C'!$B:$B,"平均")</f>
        <v>4</v>
      </c>
      <c r="E20" s="96">
        <f>SUMIFS('0809 4度C'!$AC:$AC,'0809 4度C'!$A:$A,"新豐2線",'0809 4度C'!$B:$B,"平均")</f>
        <v>6</v>
      </c>
      <c r="F20" s="96">
        <f>SUMIFS('0809 4度C'!$AC:$AC,'0809 4度C'!$A:$A,"新豐5線",'0809 4度C'!$B:$B,"平均")</f>
        <v>7</v>
      </c>
      <c r="G20" s="96">
        <f>SUMIFS('0809 4度C'!$AC:$AC,'0809 4度C'!$A:$A,"新豐7線",'0809 4度C'!$B:$B,"平均")</f>
        <v>8</v>
      </c>
      <c r="H20" s="96">
        <f>SUMIFS('0809 4度C'!$AC:$AC,'0809 4度C'!$A:$A,"新豐3線",'0809 4度C'!$B:$B,"平均")</f>
        <v>4</v>
      </c>
      <c r="I20" s="96">
        <f>SUMIFS('0809 4度C'!$AC:$AC,'0809 4度C'!$A:$A,"新豐1線",'0809 4度C'!$B:$B,"平均")</f>
        <v>9</v>
      </c>
      <c r="J20" s="97">
        <f>SUMIFS('0809 4度C'!$AC:$AC,'0809 4度C'!$A:$A,"新豐10線",'0809 4度C'!$B:$B,"平均")</f>
        <v>4</v>
      </c>
      <c r="K20" s="98">
        <f>SUMIFS('0809 4度C'!$AC:$AC,'0809 4度C'!$A:$A,"新豐8線",'0809 4度C'!$B:$B,"平均")</f>
        <v>8</v>
      </c>
      <c r="L20" s="96">
        <f>SUMIFS('0809 4度C'!$AC:$AC,'0809 4度C'!$A:$A,"新豐9線",'0809 4度C'!$B:$B,"平均")</f>
        <v>8</v>
      </c>
      <c r="M20" s="97">
        <f>SUMIFS('0809 4度C'!$AC:$AC,'0809 4度C'!$A:$A,"新豐4線",'0809 4度C'!$B:$B,"平均")</f>
        <v>9</v>
      </c>
    </row>
    <row r="21" spans="2:13" ht="17.25" customHeight="1">
      <c r="B21" s="565"/>
      <c r="C21" s="94" t="s">
        <v>957</v>
      </c>
      <c r="D21" s="95">
        <f>SUMIFS('0809 4度C'!$AD:$AD,'0809 4度C'!$A:$A,"新豐6線",'0809 4度C'!$B:$B,"平均")</f>
        <v>0</v>
      </c>
      <c r="E21" s="96">
        <f>SUMIFS('0809 4度C'!$AD:$AD,'0809 4度C'!$A:$A,"新豐2線",'0809 4度C'!$B:$B,"平均")</f>
        <v>0</v>
      </c>
      <c r="F21" s="96">
        <f>SUMIFS('0809 4度C'!$AD:$AD,'0809 4度C'!$A:$A,"新豐5線",'0809 4度C'!$B:$B,"平均")</f>
        <v>0</v>
      </c>
      <c r="G21" s="96">
        <f>SUMIFS('0809 4度C'!$AD:$AD,'0809 4度C'!$A:$A,"新豐7線",'0809 4度C'!$B:$B,"平均")</f>
        <v>0</v>
      </c>
      <c r="H21" s="96">
        <f>SUMIFS('0809 4度C'!$AD:$AD,'0809 4度C'!$A:$A,"新豐3線",'0809 4度C'!$B:$B,"平均")</f>
        <v>0</v>
      </c>
      <c r="I21" s="96">
        <f>SUMIFS('0809 4度C'!$AD:$AD,'0809 4度C'!$A:$A,"新豐1線",'0809 4度C'!$B:$B,"平均")</f>
        <v>0</v>
      </c>
      <c r="J21" s="97">
        <f>SUMIFS('0809 4度C'!$AD:$AD,'0809 4度C'!$A:$A,"新豐10線",'0809 4度C'!$B:$B,"平均")</f>
        <v>0</v>
      </c>
      <c r="K21" s="98">
        <f>SUMIFS('0809 4度C'!$AD:$AD,'0809 4度C'!$A:$A,"新豐8線",'0809 4度C'!$B:$B,"平均")</f>
        <v>0</v>
      </c>
      <c r="L21" s="96">
        <f>SUMIFS('0809 4度C'!$AD:$AD,'0809 4度C'!$A:$A,"新豐9線",'0809 4度C'!$B:$B,"平均")</f>
        <v>0</v>
      </c>
      <c r="M21" s="97">
        <f>SUMIFS('0809 4度C'!$AD:$AD,'0809 4度C'!$A:$A,"新豐4線",'0809 4度C'!$B:$B,"平均")</f>
        <v>0</v>
      </c>
    </row>
    <row r="22" spans="2:13" ht="17.25" customHeight="1">
      <c r="B22" s="566" t="s">
        <v>200</v>
      </c>
      <c r="C22" s="567"/>
      <c r="D22" s="99">
        <f>SUMIFS('0809 4度C'!$I:$I,'0809 4度C'!$A:$A,"新豐6線",'0809 4度C'!$B:$B,"平均")</f>
        <v>15.5</v>
      </c>
      <c r="E22" s="100">
        <f>SUMIFS('0809 4度C'!$I:$I,'0809 4度C'!$A:$A,"新豐2線",'0809 4度C'!$B:$B,"平均")</f>
        <v>17.666666666666668</v>
      </c>
      <c r="F22" s="100">
        <f>SUMIFS('0809 4度C'!$I:$I,'0809 4度C'!$A:$A,"新豐5線",'0809 4度C'!$B:$B,"平均")</f>
        <v>19</v>
      </c>
      <c r="G22" s="100">
        <f>SUMIFS('0809 4度C'!$I:$I,'0809 4度C'!$A:$A,"新豐7線",'0809 4度C'!$B:$B,"平均")</f>
        <v>14.5</v>
      </c>
      <c r="H22" s="100">
        <f>SUMIFS('0809 4度C'!$I:$I,'0809 4度C'!$A:$A,"新豐3線",'0809 4度C'!$B:$B,"平均")</f>
        <v>9.25</v>
      </c>
      <c r="I22" s="100">
        <f>SUMIFS('0809 4度C'!$I:$I,'0809 4度C'!$A:$A,"新豐1線",'0809 4度C'!$B:$B,"平均")</f>
        <v>17.333333333333332</v>
      </c>
      <c r="J22" s="101">
        <f>SUMIFS('0809 4度C'!$I:$I,'0809 4度C'!$A:$A,"新豐10線",'0809 4度C'!$B:$B,"平均")</f>
        <v>10.25</v>
      </c>
      <c r="K22" s="99">
        <f>SUMIFS('0809 4度C'!$I:$I,'0809 4度C'!$A:$A,"新豐8線",'0809 4度C'!$B:$B,"平均")</f>
        <v>16.25</v>
      </c>
      <c r="L22" s="100">
        <f>SUMIFS('0809 4度C'!$I:$I,'0809 4度C'!$A:$A,"新豐9線",'0809 4度C'!$B:$B,"平均")</f>
        <v>18</v>
      </c>
      <c r="M22" s="101">
        <f>SUMIFS('0809 4度C'!$I:$I,'0809 4度C'!$A:$A,"新豐4線",'0809 4度C'!$B:$B,"平均")</f>
        <v>16.666666666666668</v>
      </c>
    </row>
    <row r="23" spans="2:13" ht="17.25" customHeight="1">
      <c r="B23" s="566" t="s">
        <v>958</v>
      </c>
      <c r="C23" s="567"/>
      <c r="D23" s="102" t="s">
        <v>202</v>
      </c>
      <c r="E23" s="103" t="s">
        <v>203</v>
      </c>
      <c r="F23" s="103" t="s">
        <v>959</v>
      </c>
      <c r="G23" s="103" t="s">
        <v>959</v>
      </c>
      <c r="H23" s="103" t="s">
        <v>205</v>
      </c>
      <c r="I23" s="103" t="s">
        <v>202</v>
      </c>
      <c r="J23" s="104" t="s">
        <v>205</v>
      </c>
      <c r="K23" s="102" t="s">
        <v>960</v>
      </c>
      <c r="L23" s="103" t="s">
        <v>960</v>
      </c>
      <c r="M23" s="104" t="s">
        <v>960</v>
      </c>
    </row>
    <row r="24" spans="2:13" ht="17.25" customHeight="1">
      <c r="B24" s="566" t="s">
        <v>961</v>
      </c>
      <c r="C24" s="567"/>
      <c r="D24" s="102"/>
      <c r="E24" s="103"/>
      <c r="F24" s="103" t="s">
        <v>962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68" t="s">
        <v>963</v>
      </c>
      <c r="C25" s="569"/>
      <c r="D25" s="105"/>
      <c r="E25" s="106" t="s">
        <v>964</v>
      </c>
      <c r="F25" s="562" t="s">
        <v>965</v>
      </c>
      <c r="G25" s="563"/>
      <c r="H25" s="106" t="s">
        <v>966</v>
      </c>
      <c r="I25" s="106" t="s">
        <v>967</v>
      </c>
      <c r="J25" s="107" t="s">
        <v>966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782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82"/>
  <sheetViews>
    <sheetView zoomScale="80" zoomScaleNormal="80" workbookViewId="0">
      <pane ySplit="4" topLeftCell="A5" activePane="bottomLeft" state="frozen"/>
      <selection activeCell="A11" sqref="A11"/>
      <selection pane="bottomLeft" activeCell="A10" sqref="A10:A16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41" customWidth="1"/>
    <col min="20" max="20" width="7.625" style="41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0</v>
      </c>
      <c r="B1" s="1"/>
      <c r="C1" s="2" t="s">
        <v>1</v>
      </c>
      <c r="D1" s="3">
        <f>SUM(F5:F81)</f>
        <v>201330</v>
      </c>
      <c r="E1" s="218" t="s">
        <v>2</v>
      </c>
      <c r="F1" s="1">
        <f>SUM(G5:G81)</f>
        <v>6975864.2899999991</v>
      </c>
      <c r="G1" s="1" t="s">
        <v>3</v>
      </c>
      <c r="H1" s="5">
        <f>L9+L16+L56+L66+L24+L71+L42+L51+L33+L81</f>
        <v>154.41666666666666</v>
      </c>
      <c r="I1" s="676" t="s">
        <v>4</v>
      </c>
      <c r="J1" s="676"/>
      <c r="K1" s="676"/>
      <c r="L1" s="676" t="s">
        <v>5</v>
      </c>
      <c r="M1" s="676"/>
      <c r="N1" s="676"/>
      <c r="O1" s="676" t="s">
        <v>6</v>
      </c>
      <c r="P1" s="676"/>
      <c r="Q1" s="676"/>
      <c r="R1" s="676"/>
      <c r="S1" s="676" t="s">
        <v>7</v>
      </c>
      <c r="T1" s="676"/>
      <c r="U1" s="676"/>
      <c r="V1" s="676"/>
      <c r="W1" s="676"/>
      <c r="X1" s="676"/>
      <c r="Y1" s="6" t="s">
        <v>8</v>
      </c>
      <c r="Z1" s="7" t="s">
        <v>968</v>
      </c>
      <c r="AA1" s="677" t="s">
        <v>10</v>
      </c>
      <c r="AB1" s="677"/>
      <c r="AC1" s="8" t="s">
        <v>8</v>
      </c>
      <c r="AD1" s="7" t="s">
        <v>11</v>
      </c>
      <c r="AE1" s="676" t="s">
        <v>969</v>
      </c>
      <c r="AF1" s="678"/>
      <c r="AG1" s="678"/>
    </row>
    <row r="2" spans="1:33" ht="26.25" customHeight="1">
      <c r="A2" s="35">
        <v>46243</v>
      </c>
      <c r="B2" s="36" t="s">
        <v>278</v>
      </c>
      <c r="C2" s="2" t="s">
        <v>13</v>
      </c>
      <c r="D2" s="10">
        <f>AVERAGE(N9,N16,N56,N66,N24,N71,N33,N42,N51,N81)</f>
        <v>152.49884892617558</v>
      </c>
      <c r="E2" s="11" t="s">
        <v>14</v>
      </c>
      <c r="F2" s="12">
        <f>F1/D1</f>
        <v>34.648906223612968</v>
      </c>
      <c r="G2" s="1" t="s">
        <v>380</v>
      </c>
      <c r="H2" s="228">
        <f>COUNT(H5:H81)</f>
        <v>15</v>
      </c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14">
        <f>SUM(Y9+Y16+Y24+Y33+Y42+Y51+Y56+Y66+Y71+Y81)</f>
        <v>0</v>
      </c>
      <c r="Z2" s="14">
        <f>SUM(Z9+Z16+Z24+Z33+Z42+Z51+Z56+Z66+Z71+Z81)</f>
        <v>0</v>
      </c>
      <c r="AA2" s="677"/>
      <c r="AB2" s="677"/>
      <c r="AC2" s="14">
        <v>67</v>
      </c>
      <c r="AD2" s="14">
        <f>SUM(AD9+AD16+AD24+AD33+AD42+AD51+AD56+AD66+AD71+AD81)</f>
        <v>0</v>
      </c>
      <c r="AE2" s="678"/>
      <c r="AF2" s="678"/>
      <c r="AG2" s="678"/>
    </row>
    <row r="3" spans="1:33" ht="40.5" customHeight="1">
      <c r="A3" s="632" t="s">
        <v>16</v>
      </c>
      <c r="B3" s="632" t="s">
        <v>282</v>
      </c>
      <c r="C3" s="632" t="s">
        <v>18</v>
      </c>
      <c r="D3" s="632"/>
      <c r="E3" s="674" t="s">
        <v>384</v>
      </c>
      <c r="F3" s="632" t="s">
        <v>970</v>
      </c>
      <c r="G3" s="674" t="s">
        <v>21</v>
      </c>
      <c r="H3" s="667" t="s">
        <v>22</v>
      </c>
      <c r="I3" s="665" t="s">
        <v>971</v>
      </c>
      <c r="J3" s="662" t="s">
        <v>24</v>
      </c>
      <c r="K3" s="672" t="s">
        <v>13</v>
      </c>
      <c r="L3" s="665" t="s">
        <v>25</v>
      </c>
      <c r="M3" s="662" t="s">
        <v>24</v>
      </c>
      <c r="N3" s="672" t="s">
        <v>13</v>
      </c>
      <c r="O3" s="665" t="s">
        <v>25</v>
      </c>
      <c r="P3" s="672" t="s">
        <v>13</v>
      </c>
      <c r="Q3" s="663" t="s">
        <v>37</v>
      </c>
      <c r="R3" s="641" t="s">
        <v>28</v>
      </c>
      <c r="S3" s="673" t="s">
        <v>29</v>
      </c>
      <c r="T3" s="673"/>
      <c r="U3" s="667" t="s">
        <v>30</v>
      </c>
      <c r="V3" s="667" t="s">
        <v>31</v>
      </c>
      <c r="W3" s="632" t="s">
        <v>972</v>
      </c>
      <c r="X3" s="632"/>
      <c r="Y3" s="668" t="s">
        <v>973</v>
      </c>
      <c r="Z3" s="631"/>
      <c r="AA3" s="669" t="s">
        <v>34</v>
      </c>
      <c r="AB3" s="670"/>
      <c r="AC3" s="668" t="s">
        <v>35</v>
      </c>
      <c r="AD3" s="631"/>
      <c r="AE3" s="662" t="s">
        <v>24</v>
      </c>
      <c r="AF3" s="663" t="s">
        <v>974</v>
      </c>
      <c r="AG3" s="641" t="s">
        <v>28</v>
      </c>
    </row>
    <row r="4" spans="1:33" ht="15.75" customHeight="1">
      <c r="A4" s="632"/>
      <c r="B4" s="632"/>
      <c r="C4" s="632"/>
      <c r="D4" s="632"/>
      <c r="E4" s="675"/>
      <c r="F4" s="632"/>
      <c r="G4" s="675"/>
      <c r="H4" s="667"/>
      <c r="I4" s="665"/>
      <c r="J4" s="662"/>
      <c r="K4" s="672"/>
      <c r="L4" s="665"/>
      <c r="M4" s="662"/>
      <c r="N4" s="672"/>
      <c r="O4" s="665"/>
      <c r="P4" s="672"/>
      <c r="Q4" s="663"/>
      <c r="R4" s="641"/>
      <c r="S4" s="227" t="s">
        <v>39</v>
      </c>
      <c r="T4" s="227" t="s">
        <v>40</v>
      </c>
      <c r="U4" s="667"/>
      <c r="V4" s="667"/>
      <c r="W4" s="218" t="s">
        <v>975</v>
      </c>
      <c r="X4" s="218" t="s">
        <v>42</v>
      </c>
      <c r="Y4" s="217" t="s">
        <v>43</v>
      </c>
      <c r="Z4" s="217" t="s">
        <v>44</v>
      </c>
      <c r="AA4" s="671"/>
      <c r="AB4" s="670"/>
      <c r="AC4" s="217" t="s">
        <v>976</v>
      </c>
      <c r="AD4" s="217" t="s">
        <v>977</v>
      </c>
      <c r="AE4" s="662"/>
      <c r="AF4" s="663"/>
      <c r="AG4" s="641"/>
    </row>
    <row r="5" spans="1:33">
      <c r="A5" s="664" t="s">
        <v>47</v>
      </c>
      <c r="B5" s="42" t="s">
        <v>92</v>
      </c>
      <c r="C5" s="666" t="s">
        <v>93</v>
      </c>
      <c r="D5" s="666"/>
      <c r="E5" s="42">
        <v>50.92</v>
      </c>
      <c r="F5" s="227">
        <v>2550</v>
      </c>
      <c r="G5" s="218">
        <f t="shared" ref="G5:G8" si="0">E5*F5</f>
        <v>129846</v>
      </c>
      <c r="H5" s="37" t="s">
        <v>91</v>
      </c>
      <c r="I5" s="225">
        <v>15</v>
      </c>
      <c r="J5" s="39">
        <v>2000</v>
      </c>
      <c r="K5" s="17">
        <f t="shared" ref="K5:K68" si="1">J5/I5</f>
        <v>133.33333333333334</v>
      </c>
      <c r="L5" s="225">
        <v>15</v>
      </c>
      <c r="M5" s="18">
        <f t="shared" ref="M5:M8" si="2">F5/V5*60</f>
        <v>1912.4999999999993</v>
      </c>
      <c r="N5" s="17">
        <f t="shared" ref="N5:N68" si="3">M5/L5</f>
        <v>127.49999999999996</v>
      </c>
      <c r="O5" s="19">
        <f t="shared" ref="O5:O68" si="4">L5-I5</f>
        <v>0</v>
      </c>
      <c r="P5" s="20">
        <f t="shared" ref="P5:P68" si="5">N5-K5</f>
        <v>-5.8333333333333854</v>
      </c>
      <c r="Q5" s="223">
        <f t="shared" ref="Q5:Q68" si="6">N5/K5</f>
        <v>0.9562499999999996</v>
      </c>
      <c r="R5" s="637">
        <f>Q9</f>
        <v>0.95960148463200212</v>
      </c>
      <c r="S5" s="40">
        <v>0.70833333333333337</v>
      </c>
      <c r="T5" s="40">
        <v>0.76388888888888895</v>
      </c>
      <c r="U5" s="218"/>
      <c r="V5" s="226">
        <f t="shared" ref="V5:V8" si="7">(T5-S5)*24*60</f>
        <v>80.000000000000028</v>
      </c>
      <c r="W5" s="23"/>
      <c r="X5" s="23"/>
      <c r="Y5" s="24"/>
      <c r="Z5" s="24"/>
      <c r="AA5" s="632"/>
      <c r="AB5" s="632"/>
      <c r="AC5" s="25">
        <v>4</v>
      </c>
      <c r="AD5" s="25"/>
      <c r="AE5" s="19">
        <f t="shared" ref="AE5:AE65" si="8">M5-J5</f>
        <v>-87.500000000000682</v>
      </c>
      <c r="AF5" s="223">
        <f t="shared" ref="AF5:AF68" si="9">M5/J5</f>
        <v>0.95624999999999971</v>
      </c>
      <c r="AG5" s="637">
        <f>AF9</f>
        <v>0.95960148463200223</v>
      </c>
    </row>
    <row r="6" spans="1:33">
      <c r="A6" s="665" t="s">
        <v>978</v>
      </c>
      <c r="B6" s="42" t="s">
        <v>92</v>
      </c>
      <c r="C6" s="666" t="s">
        <v>94</v>
      </c>
      <c r="D6" s="666"/>
      <c r="E6" s="42">
        <v>50.98</v>
      </c>
      <c r="F6" s="227">
        <v>1000</v>
      </c>
      <c r="G6" s="218">
        <f t="shared" si="0"/>
        <v>50980</v>
      </c>
      <c r="H6" s="37">
        <v>2</v>
      </c>
      <c r="I6" s="225">
        <v>16</v>
      </c>
      <c r="J6" s="39">
        <v>2000</v>
      </c>
      <c r="K6" s="17">
        <f t="shared" si="1"/>
        <v>125</v>
      </c>
      <c r="L6" s="225">
        <v>16</v>
      </c>
      <c r="M6" s="18">
        <f t="shared" si="2"/>
        <v>1935.483870967739</v>
      </c>
      <c r="N6" s="17">
        <f t="shared" si="3"/>
        <v>120.96774193548369</v>
      </c>
      <c r="O6" s="19">
        <f t="shared" si="4"/>
        <v>0</v>
      </c>
      <c r="P6" s="20">
        <f t="shared" si="5"/>
        <v>-4.0322580645163129</v>
      </c>
      <c r="Q6" s="223">
        <f t="shared" si="6"/>
        <v>0.96774193548386944</v>
      </c>
      <c r="R6" s="637"/>
      <c r="S6" s="40">
        <v>0.76736111111111116</v>
      </c>
      <c r="T6" s="40">
        <v>0.78888888888888897</v>
      </c>
      <c r="U6" s="218">
        <f t="shared" ref="U6:U8" si="10">IF(S6=TIME(17,0,0),"",(S6-T5)*24*60)</f>
        <v>4.9999999999999822</v>
      </c>
      <c r="V6" s="226">
        <f t="shared" si="7"/>
        <v>31.00000000000005</v>
      </c>
      <c r="W6" s="23"/>
      <c r="X6" s="23"/>
      <c r="Y6" s="23"/>
      <c r="Z6" s="23"/>
      <c r="AA6" s="632"/>
      <c r="AB6" s="632"/>
      <c r="AC6" s="25"/>
      <c r="AD6" s="25"/>
      <c r="AE6" s="19">
        <f t="shared" si="8"/>
        <v>-64.516129032261006</v>
      </c>
      <c r="AF6" s="223">
        <f t="shared" si="9"/>
        <v>0.96774193548386944</v>
      </c>
      <c r="AG6" s="637"/>
    </row>
    <row r="7" spans="1:33">
      <c r="A7" s="665" t="s">
        <v>47</v>
      </c>
      <c r="B7" s="42" t="s">
        <v>92</v>
      </c>
      <c r="C7" s="660" t="s">
        <v>109</v>
      </c>
      <c r="D7" s="661"/>
      <c r="E7" s="42">
        <v>50.49</v>
      </c>
      <c r="F7" s="227">
        <v>2317</v>
      </c>
      <c r="G7" s="218">
        <f t="shared" si="0"/>
        <v>116985.33</v>
      </c>
      <c r="H7" s="37" t="s">
        <v>91</v>
      </c>
      <c r="I7" s="225">
        <v>15</v>
      </c>
      <c r="J7" s="39">
        <v>2000</v>
      </c>
      <c r="K7" s="17">
        <f t="shared" si="1"/>
        <v>133.33333333333334</v>
      </c>
      <c r="L7" s="225">
        <v>15</v>
      </c>
      <c r="M7" s="18">
        <f t="shared" si="2"/>
        <v>1904.3835616438341</v>
      </c>
      <c r="N7" s="17">
        <f t="shared" si="3"/>
        <v>126.95890410958894</v>
      </c>
      <c r="O7" s="19">
        <f t="shared" si="4"/>
        <v>0</v>
      </c>
      <c r="P7" s="20">
        <f t="shared" si="5"/>
        <v>-6.3744292237444</v>
      </c>
      <c r="Q7" s="223">
        <f t="shared" si="6"/>
        <v>0.95219178082191702</v>
      </c>
      <c r="R7" s="637"/>
      <c r="S7" s="40">
        <v>0.79236111111111118</v>
      </c>
      <c r="T7" s="40">
        <v>0.84305555555555567</v>
      </c>
      <c r="U7" s="218">
        <f t="shared" si="10"/>
        <v>4.9999999999999822</v>
      </c>
      <c r="V7" s="226">
        <f t="shared" si="7"/>
        <v>73.000000000000057</v>
      </c>
      <c r="W7" s="23">
        <f>T7</f>
        <v>0.84305555555555567</v>
      </c>
      <c r="X7" s="23">
        <f>S8</f>
        <v>0.8847222222222223</v>
      </c>
      <c r="Y7" s="26"/>
      <c r="Z7" s="26"/>
      <c r="AA7" s="627"/>
      <c r="AB7" s="628"/>
      <c r="AC7" s="27"/>
      <c r="AD7" s="27"/>
      <c r="AE7" s="19">
        <f t="shared" si="8"/>
        <v>-95.616438356165872</v>
      </c>
      <c r="AF7" s="223">
        <f t="shared" si="9"/>
        <v>0.95219178082191702</v>
      </c>
      <c r="AG7" s="637"/>
    </row>
    <row r="8" spans="1:33">
      <c r="A8" s="665" t="s">
        <v>47</v>
      </c>
      <c r="B8" s="42" t="s">
        <v>92</v>
      </c>
      <c r="C8" s="660" t="s">
        <v>94</v>
      </c>
      <c r="D8" s="661"/>
      <c r="E8" s="42">
        <v>50.98</v>
      </c>
      <c r="F8" s="227">
        <v>1732</v>
      </c>
      <c r="G8" s="218">
        <f t="shared" si="0"/>
        <v>88297.36</v>
      </c>
      <c r="H8" s="37" t="s">
        <v>91</v>
      </c>
      <c r="I8" s="225">
        <v>16</v>
      </c>
      <c r="J8" s="39">
        <v>2000</v>
      </c>
      <c r="K8" s="17">
        <f t="shared" si="1"/>
        <v>125</v>
      </c>
      <c r="L8" s="225">
        <v>16</v>
      </c>
      <c r="M8" s="18">
        <f t="shared" si="2"/>
        <v>1924.4444444444455</v>
      </c>
      <c r="N8" s="17">
        <f t="shared" si="3"/>
        <v>120.27777777777784</v>
      </c>
      <c r="O8" s="19">
        <f t="shared" si="4"/>
        <v>0</v>
      </c>
      <c r="P8" s="20">
        <f t="shared" si="5"/>
        <v>-4.7222222222221575</v>
      </c>
      <c r="Q8" s="223">
        <f t="shared" si="6"/>
        <v>0.96222222222222276</v>
      </c>
      <c r="R8" s="637"/>
      <c r="S8" s="40">
        <v>0.8847222222222223</v>
      </c>
      <c r="T8" s="40">
        <v>0.92222222222222228</v>
      </c>
      <c r="U8" s="218">
        <f t="shared" si="10"/>
        <v>59.999999999999943</v>
      </c>
      <c r="V8" s="226">
        <f t="shared" si="7"/>
        <v>53.999999999999972</v>
      </c>
      <c r="W8" s="28"/>
      <c r="X8" s="28"/>
      <c r="Y8" s="136"/>
      <c r="Z8" s="136"/>
      <c r="AA8" s="627"/>
      <c r="AB8" s="628"/>
      <c r="AC8" s="27"/>
      <c r="AD8" s="27"/>
      <c r="AE8" s="19">
        <f t="shared" si="8"/>
        <v>-75.55555555555452</v>
      </c>
      <c r="AF8" s="223">
        <f t="shared" si="9"/>
        <v>0.96222222222222276</v>
      </c>
      <c r="AG8" s="637"/>
    </row>
    <row r="9" spans="1:33">
      <c r="A9" s="665" t="s">
        <v>47</v>
      </c>
      <c r="B9" s="42" t="s">
        <v>52</v>
      </c>
      <c r="C9" s="638"/>
      <c r="D9" s="638"/>
      <c r="E9" s="224"/>
      <c r="F9" s="44"/>
      <c r="G9" s="17"/>
      <c r="H9" s="227"/>
      <c r="I9" s="29">
        <v>15.5</v>
      </c>
      <c r="J9" s="39">
        <v>2000</v>
      </c>
      <c r="K9" s="17">
        <f t="shared" si="1"/>
        <v>129.03225806451613</v>
      </c>
      <c r="L9" s="29">
        <v>15.5</v>
      </c>
      <c r="M9" s="18">
        <f>AVERAGE(M5:M8)</f>
        <v>1919.2029692640044</v>
      </c>
      <c r="N9" s="17">
        <f t="shared" si="3"/>
        <v>123.81954640412931</v>
      </c>
      <c r="O9" s="19">
        <f t="shared" si="4"/>
        <v>0</v>
      </c>
      <c r="P9" s="20">
        <f t="shared" si="5"/>
        <v>-5.212711660386816</v>
      </c>
      <c r="Q9" s="223">
        <f t="shared" si="6"/>
        <v>0.95960148463200212</v>
      </c>
      <c r="R9" s="637"/>
      <c r="S9" s="40"/>
      <c r="T9" s="40"/>
      <c r="U9" s="218"/>
      <c r="V9" s="226"/>
      <c r="W9" s="17"/>
      <c r="X9" s="17"/>
      <c r="Y9" s="30">
        <f>SUM(Y5:Y8)</f>
        <v>0</v>
      </c>
      <c r="Z9" s="30">
        <f>SUM(Z5:Z8)</f>
        <v>0</v>
      </c>
      <c r="AA9" s="631"/>
      <c r="AB9" s="631"/>
      <c r="AC9" s="30">
        <v>4</v>
      </c>
      <c r="AD9" s="30">
        <f>SUM(AD5:AD8)</f>
        <v>0</v>
      </c>
      <c r="AE9" s="19">
        <f t="shared" si="8"/>
        <v>-80.797030735995577</v>
      </c>
      <c r="AF9" s="223">
        <f t="shared" si="9"/>
        <v>0.95960148463200223</v>
      </c>
      <c r="AG9" s="637"/>
    </row>
    <row r="10" spans="1:33" ht="15.75" customHeight="1">
      <c r="A10" s="659" t="s">
        <v>50</v>
      </c>
      <c r="B10" s="42" t="s">
        <v>96</v>
      </c>
      <c r="C10" s="660" t="s">
        <v>97</v>
      </c>
      <c r="D10" s="661"/>
      <c r="E10" s="42">
        <v>39.799999999999997</v>
      </c>
      <c r="F10" s="227">
        <v>4400</v>
      </c>
      <c r="G10" s="218">
        <f t="shared" ref="G10:G15" si="11">E10*F10</f>
        <v>175120</v>
      </c>
      <c r="H10" s="37">
        <v>2</v>
      </c>
      <c r="I10" s="225">
        <v>17</v>
      </c>
      <c r="J10" s="39">
        <v>1500</v>
      </c>
      <c r="K10" s="17">
        <f t="shared" si="1"/>
        <v>88.235294117647058</v>
      </c>
      <c r="L10" s="225">
        <v>17</v>
      </c>
      <c r="M10" s="18">
        <f t="shared" ref="M10:M15" si="12">F10/V10*60</f>
        <v>1434.7826086956518</v>
      </c>
      <c r="N10" s="17">
        <f t="shared" si="3"/>
        <v>84.398976982097167</v>
      </c>
      <c r="O10" s="19">
        <f t="shared" si="4"/>
        <v>0</v>
      </c>
      <c r="P10" s="20">
        <f t="shared" si="5"/>
        <v>-3.8363171355498906</v>
      </c>
      <c r="Q10" s="223">
        <f t="shared" si="6"/>
        <v>0.95652173913043459</v>
      </c>
      <c r="R10" s="637">
        <f>Q16</f>
        <v>0.95609049372197585</v>
      </c>
      <c r="S10" s="40">
        <v>8.3333333333333329E-2</v>
      </c>
      <c r="T10" s="40">
        <v>0.21111111111111114</v>
      </c>
      <c r="U10" s="218"/>
      <c r="V10" s="226">
        <f t="shared" ref="V10:V15" si="13">(T10-S10)*24*60</f>
        <v>184.00000000000006</v>
      </c>
      <c r="W10" s="23">
        <f>T10</f>
        <v>0.21111111111111114</v>
      </c>
      <c r="X10" s="23">
        <f>S11</f>
        <v>0.23263888888888892</v>
      </c>
      <c r="Y10" s="23"/>
      <c r="Z10" s="23"/>
      <c r="AA10" s="632"/>
      <c r="AB10" s="632"/>
      <c r="AC10" s="25">
        <v>6</v>
      </c>
      <c r="AD10" s="25"/>
      <c r="AE10" s="19">
        <f t="shared" si="8"/>
        <v>-65.217391304348212</v>
      </c>
      <c r="AF10" s="223">
        <f t="shared" si="9"/>
        <v>0.95652173913043448</v>
      </c>
      <c r="AG10" s="637">
        <f>AF16</f>
        <v>0.95609049372197585</v>
      </c>
    </row>
    <row r="11" spans="1:33" ht="15.75" customHeight="1">
      <c r="A11" s="659" t="s">
        <v>50</v>
      </c>
      <c r="B11" s="42" t="s">
        <v>96</v>
      </c>
      <c r="C11" s="660" t="s">
        <v>98</v>
      </c>
      <c r="D11" s="661"/>
      <c r="E11" s="42">
        <v>39.46</v>
      </c>
      <c r="F11" s="227">
        <v>2829</v>
      </c>
      <c r="G11" s="218">
        <f t="shared" si="11"/>
        <v>111632.34</v>
      </c>
      <c r="H11" s="37" t="s">
        <v>91</v>
      </c>
      <c r="I11" s="225">
        <v>15</v>
      </c>
      <c r="J11" s="39">
        <v>1500</v>
      </c>
      <c r="K11" s="17">
        <f t="shared" si="1"/>
        <v>100</v>
      </c>
      <c r="L11" s="225">
        <v>15</v>
      </c>
      <c r="M11" s="18">
        <f t="shared" si="12"/>
        <v>1438.4745762711864</v>
      </c>
      <c r="N11" s="17">
        <f t="shared" si="3"/>
        <v>95.898305084745758</v>
      </c>
      <c r="O11" s="19">
        <f t="shared" si="4"/>
        <v>0</v>
      </c>
      <c r="P11" s="20">
        <f t="shared" si="5"/>
        <v>-4.1016949152542423</v>
      </c>
      <c r="Q11" s="223">
        <f t="shared" si="6"/>
        <v>0.95898305084745761</v>
      </c>
      <c r="R11" s="637"/>
      <c r="S11" s="40">
        <v>0.23263888888888892</v>
      </c>
      <c r="T11" s="40">
        <v>0.31458333333333338</v>
      </c>
      <c r="U11" s="218">
        <f t="shared" ref="U11:U15" si="14">IF(S11=TIME(17,0,0),"",(S11-T10)*24*60)</f>
        <v>31.000000000000011</v>
      </c>
      <c r="V11" s="226">
        <f t="shared" si="13"/>
        <v>118.00000000000001</v>
      </c>
      <c r="W11" s="23"/>
      <c r="X11" s="23"/>
      <c r="Y11" s="23"/>
      <c r="Z11" s="23"/>
      <c r="AA11" s="632"/>
      <c r="AB11" s="632"/>
      <c r="AC11" s="25"/>
      <c r="AD11" s="25"/>
      <c r="AE11" s="19">
        <f t="shared" si="8"/>
        <v>-61.525423728813621</v>
      </c>
      <c r="AF11" s="223">
        <f t="shared" si="9"/>
        <v>0.95898305084745761</v>
      </c>
      <c r="AG11" s="637"/>
    </row>
    <row r="12" spans="1:33" ht="15.75" customHeight="1">
      <c r="A12" s="659" t="s">
        <v>979</v>
      </c>
      <c r="B12" s="42" t="s">
        <v>96</v>
      </c>
      <c r="C12" s="660" t="s">
        <v>99</v>
      </c>
      <c r="D12" s="661"/>
      <c r="E12" s="42">
        <v>39.520000000000003</v>
      </c>
      <c r="F12" s="227">
        <v>2490</v>
      </c>
      <c r="G12" s="218">
        <f t="shared" si="11"/>
        <v>98404.800000000003</v>
      </c>
      <c r="H12" s="37" t="s">
        <v>91</v>
      </c>
      <c r="I12" s="225">
        <v>19</v>
      </c>
      <c r="J12" s="39">
        <v>1500</v>
      </c>
      <c r="K12" s="17">
        <f t="shared" si="1"/>
        <v>78.94736842105263</v>
      </c>
      <c r="L12" s="225">
        <v>19</v>
      </c>
      <c r="M12" s="18">
        <f t="shared" si="12"/>
        <v>1436.5384615384612</v>
      </c>
      <c r="N12" s="17">
        <f t="shared" si="3"/>
        <v>75.6072874493927</v>
      </c>
      <c r="O12" s="19">
        <f t="shared" si="4"/>
        <v>0</v>
      </c>
      <c r="P12" s="20">
        <f t="shared" si="5"/>
        <v>-3.3400809716599298</v>
      </c>
      <c r="Q12" s="223">
        <f t="shared" si="6"/>
        <v>0.95769230769230751</v>
      </c>
      <c r="R12" s="637"/>
      <c r="S12" s="40">
        <v>0.31805555555555559</v>
      </c>
      <c r="T12" s="40">
        <v>0.39027777777777783</v>
      </c>
      <c r="U12" s="218">
        <f t="shared" si="14"/>
        <v>4.9999999999999822</v>
      </c>
      <c r="V12" s="226">
        <f t="shared" si="13"/>
        <v>104.00000000000003</v>
      </c>
      <c r="W12" s="23"/>
      <c r="X12" s="23"/>
      <c r="Y12" s="23"/>
      <c r="Z12" s="23"/>
      <c r="AA12" s="632"/>
      <c r="AB12" s="632"/>
      <c r="AC12" s="25"/>
      <c r="AD12" s="25"/>
      <c r="AE12" s="19">
        <f t="shared" si="8"/>
        <v>-63.461538461538794</v>
      </c>
      <c r="AF12" s="223">
        <f t="shared" si="9"/>
        <v>0.95769230769230751</v>
      </c>
      <c r="AG12" s="637"/>
    </row>
    <row r="13" spans="1:33" ht="15.75" customHeight="1">
      <c r="A13" s="659" t="s">
        <v>50</v>
      </c>
      <c r="B13" s="42" t="s">
        <v>96</v>
      </c>
      <c r="C13" s="660" t="s">
        <v>100</v>
      </c>
      <c r="D13" s="661"/>
      <c r="E13" s="42">
        <v>39.619999999999997</v>
      </c>
      <c r="F13" s="227">
        <v>3000</v>
      </c>
      <c r="G13" s="218">
        <f t="shared" si="11"/>
        <v>118859.99999999999</v>
      </c>
      <c r="H13" s="37">
        <v>2</v>
      </c>
      <c r="I13" s="225">
        <v>19</v>
      </c>
      <c r="J13" s="39">
        <v>1500</v>
      </c>
      <c r="K13" s="17">
        <f t="shared" si="1"/>
        <v>78.94736842105263</v>
      </c>
      <c r="L13" s="225">
        <v>19</v>
      </c>
      <c r="M13" s="18">
        <f t="shared" si="12"/>
        <v>1428.5714285714282</v>
      </c>
      <c r="N13" s="17">
        <f t="shared" si="3"/>
        <v>75.187969924812009</v>
      </c>
      <c r="O13" s="19">
        <f t="shared" si="4"/>
        <v>0</v>
      </c>
      <c r="P13" s="20">
        <f t="shared" si="5"/>
        <v>-3.7593984962406211</v>
      </c>
      <c r="Q13" s="223">
        <f t="shared" si="6"/>
        <v>0.95238095238095211</v>
      </c>
      <c r="R13" s="637"/>
      <c r="S13" s="40">
        <v>0.39513888888888893</v>
      </c>
      <c r="T13" s="40">
        <v>0.48263888888888895</v>
      </c>
      <c r="U13" s="218">
        <f t="shared" si="14"/>
        <v>6.9999999999999751</v>
      </c>
      <c r="V13" s="226">
        <f t="shared" si="13"/>
        <v>126.00000000000003</v>
      </c>
      <c r="W13" s="23">
        <f>T13</f>
        <v>0.48263888888888895</v>
      </c>
      <c r="X13" s="23">
        <f>S14</f>
        <v>0.52500000000000002</v>
      </c>
      <c r="Y13" s="23"/>
      <c r="Z13" s="23"/>
      <c r="AA13" s="627"/>
      <c r="AB13" s="628"/>
      <c r="AC13" s="25"/>
      <c r="AD13" s="25"/>
      <c r="AE13" s="19">
        <f t="shared" si="8"/>
        <v>-71.428571428571786</v>
      </c>
      <c r="AF13" s="223">
        <f t="shared" si="9"/>
        <v>0.95238095238095211</v>
      </c>
      <c r="AG13" s="637"/>
    </row>
    <row r="14" spans="1:33" ht="15.75" customHeight="1">
      <c r="A14" s="659" t="s">
        <v>50</v>
      </c>
      <c r="B14" s="42" t="s">
        <v>96</v>
      </c>
      <c r="C14" s="660" t="s">
        <v>97</v>
      </c>
      <c r="D14" s="661"/>
      <c r="E14" s="42">
        <v>39.799999999999997</v>
      </c>
      <c r="F14" s="227">
        <v>3620</v>
      </c>
      <c r="G14" s="218">
        <f t="shared" si="11"/>
        <v>144076</v>
      </c>
      <c r="H14" s="37" t="s">
        <v>91</v>
      </c>
      <c r="I14" s="225">
        <v>17</v>
      </c>
      <c r="J14" s="39">
        <v>1500</v>
      </c>
      <c r="K14" s="17">
        <f t="shared" si="1"/>
        <v>88.235294117647058</v>
      </c>
      <c r="L14" s="225">
        <v>17</v>
      </c>
      <c r="M14" s="18">
        <f t="shared" si="12"/>
        <v>1428.9473684210532</v>
      </c>
      <c r="N14" s="17">
        <f t="shared" si="3"/>
        <v>84.055727554179597</v>
      </c>
      <c r="O14" s="19">
        <f t="shared" si="4"/>
        <v>0</v>
      </c>
      <c r="P14" s="20">
        <f t="shared" si="5"/>
        <v>-4.1795665634674606</v>
      </c>
      <c r="Q14" s="223">
        <f t="shared" si="6"/>
        <v>0.95263157894736883</v>
      </c>
      <c r="R14" s="637"/>
      <c r="S14" s="40">
        <v>0.52500000000000002</v>
      </c>
      <c r="T14" s="40">
        <v>0.63055555555555554</v>
      </c>
      <c r="U14" s="218">
        <f t="shared" si="14"/>
        <v>60.999999999999943</v>
      </c>
      <c r="V14" s="226">
        <f t="shared" si="13"/>
        <v>151.99999999999994</v>
      </c>
      <c r="W14" s="23"/>
      <c r="X14" s="23"/>
      <c r="Y14" s="26"/>
      <c r="Z14" s="26"/>
      <c r="AA14" s="627"/>
      <c r="AB14" s="628"/>
      <c r="AC14" s="25"/>
      <c r="AD14" s="25"/>
      <c r="AE14" s="19">
        <f t="shared" si="8"/>
        <v>-71.05263157894683</v>
      </c>
      <c r="AF14" s="223">
        <f t="shared" si="9"/>
        <v>0.95263157894736883</v>
      </c>
      <c r="AG14" s="637"/>
    </row>
    <row r="15" spans="1:33" ht="15.75" customHeight="1">
      <c r="A15" s="659" t="s">
        <v>50</v>
      </c>
      <c r="B15" s="42" t="s">
        <v>96</v>
      </c>
      <c r="C15" s="660" t="s">
        <v>100</v>
      </c>
      <c r="D15" s="661"/>
      <c r="E15" s="42">
        <v>39.619999999999997</v>
      </c>
      <c r="F15" s="227">
        <v>2300</v>
      </c>
      <c r="G15" s="218">
        <f t="shared" si="11"/>
        <v>91126</v>
      </c>
      <c r="H15" s="37" t="s">
        <v>91</v>
      </c>
      <c r="I15" s="225">
        <v>19</v>
      </c>
      <c r="J15" s="39">
        <v>1500</v>
      </c>
      <c r="K15" s="17">
        <f t="shared" si="1"/>
        <v>78.94736842105263</v>
      </c>
      <c r="L15" s="225">
        <v>19</v>
      </c>
      <c r="M15" s="18">
        <f t="shared" si="12"/>
        <v>1437.5000000000005</v>
      </c>
      <c r="N15" s="17">
        <f t="shared" si="3"/>
        <v>75.657894736842124</v>
      </c>
      <c r="O15" s="19">
        <f t="shared" si="4"/>
        <v>0</v>
      </c>
      <c r="P15" s="20">
        <f t="shared" si="5"/>
        <v>-3.2894736842105061</v>
      </c>
      <c r="Q15" s="223">
        <f t="shared" si="6"/>
        <v>0.95833333333333359</v>
      </c>
      <c r="R15" s="637"/>
      <c r="S15" s="40">
        <v>0.63472222222222219</v>
      </c>
      <c r="T15" s="40">
        <v>0.70138888888888884</v>
      </c>
      <c r="U15" s="218">
        <f t="shared" si="14"/>
        <v>5.9999999999999787</v>
      </c>
      <c r="V15" s="226">
        <f t="shared" si="13"/>
        <v>95.999999999999972</v>
      </c>
      <c r="W15" s="23"/>
      <c r="X15" s="23"/>
      <c r="Y15" s="26"/>
      <c r="Z15" s="26"/>
      <c r="AA15" s="627"/>
      <c r="AB15" s="628"/>
      <c r="AC15" s="25"/>
      <c r="AD15" s="25"/>
      <c r="AE15" s="19">
        <f t="shared" si="8"/>
        <v>-62.499999999999545</v>
      </c>
      <c r="AF15" s="223">
        <f t="shared" si="9"/>
        <v>0.95833333333333359</v>
      </c>
      <c r="AG15" s="637"/>
    </row>
    <row r="16" spans="1:33" ht="16.5" customHeight="1">
      <c r="A16" s="659" t="s">
        <v>979</v>
      </c>
      <c r="B16" s="42" t="s">
        <v>52</v>
      </c>
      <c r="C16" s="638"/>
      <c r="D16" s="638"/>
      <c r="E16" s="224"/>
      <c r="F16" s="39"/>
      <c r="G16" s="18"/>
      <c r="H16" s="227"/>
      <c r="I16" s="29">
        <v>17.666666666666668</v>
      </c>
      <c r="J16" s="39">
        <v>1500</v>
      </c>
      <c r="K16" s="17">
        <f t="shared" si="1"/>
        <v>84.905660377358487</v>
      </c>
      <c r="L16" s="29">
        <v>17.666666666666668</v>
      </c>
      <c r="M16" s="18">
        <f>AVERAGE(M10:M15)</f>
        <v>1434.1357405829638</v>
      </c>
      <c r="N16" s="17">
        <f t="shared" si="3"/>
        <v>81.177494749979076</v>
      </c>
      <c r="O16" s="19">
        <f t="shared" si="4"/>
        <v>0</v>
      </c>
      <c r="P16" s="20">
        <f t="shared" si="5"/>
        <v>-3.7281656273794113</v>
      </c>
      <c r="Q16" s="223">
        <f t="shared" si="6"/>
        <v>0.95609049372197585</v>
      </c>
      <c r="R16" s="637"/>
      <c r="S16" s="40"/>
      <c r="T16" s="40"/>
      <c r="U16" s="17"/>
      <c r="V16" s="226"/>
      <c r="W16" s="17"/>
      <c r="X16" s="17"/>
      <c r="Y16" s="30">
        <f>SUM(Y10:Y15)</f>
        <v>0</v>
      </c>
      <c r="Z16" s="30">
        <f>SUM(Z10:Z15)</f>
        <v>0</v>
      </c>
      <c r="AA16" s="631"/>
      <c r="AB16" s="631"/>
      <c r="AC16" s="30">
        <v>6</v>
      </c>
      <c r="AD16" s="30">
        <f>SUM(AD10:AD15)</f>
        <v>0</v>
      </c>
      <c r="AE16" s="19">
        <f t="shared" si="8"/>
        <v>-65.864259417036237</v>
      </c>
      <c r="AF16" s="223">
        <f t="shared" si="9"/>
        <v>0.95609049372197585</v>
      </c>
      <c r="AG16" s="637"/>
    </row>
    <row r="17" spans="1:33" ht="16.5" customHeight="1">
      <c r="A17" s="657" t="s">
        <v>980</v>
      </c>
      <c r="B17" s="227" t="s">
        <v>103</v>
      </c>
      <c r="C17" s="653" t="s">
        <v>104</v>
      </c>
      <c r="D17" s="653"/>
      <c r="E17" s="42">
        <v>38.619999999999997</v>
      </c>
      <c r="F17" s="227">
        <v>2426</v>
      </c>
      <c r="G17" s="218">
        <f t="shared" ref="G17:G23" si="15">E17*F17</f>
        <v>93692.12</v>
      </c>
      <c r="H17" s="37" t="s">
        <v>91</v>
      </c>
      <c r="I17" s="225">
        <v>24</v>
      </c>
      <c r="J17" s="39">
        <v>1500</v>
      </c>
      <c r="K17" s="17">
        <f t="shared" si="1"/>
        <v>62.5</v>
      </c>
      <c r="L17" s="225">
        <v>24</v>
      </c>
      <c r="M17" s="18">
        <f t="shared" ref="M17:M23" si="16">F17/V17*60</f>
        <v>1441.1881188118812</v>
      </c>
      <c r="N17" s="17">
        <f t="shared" si="3"/>
        <v>60.049504950495049</v>
      </c>
      <c r="O17" s="19">
        <f t="shared" si="4"/>
        <v>0</v>
      </c>
      <c r="P17" s="20">
        <f t="shared" si="5"/>
        <v>-2.4504950495049513</v>
      </c>
      <c r="Q17" s="223">
        <f t="shared" si="6"/>
        <v>0.96079207920792076</v>
      </c>
      <c r="R17" s="637">
        <f>Q24</f>
        <v>0.95838485584209576</v>
      </c>
      <c r="S17" s="40">
        <v>0.20833333333333334</v>
      </c>
      <c r="T17" s="40">
        <v>0.27847222222222223</v>
      </c>
      <c r="U17" s="218"/>
      <c r="V17" s="226">
        <f t="shared" ref="V17:V23" si="17">(T17-S17)*24*60</f>
        <v>101</v>
      </c>
      <c r="W17" s="23"/>
      <c r="X17" s="23"/>
      <c r="Y17" s="28"/>
      <c r="Z17" s="28"/>
      <c r="AA17" s="632"/>
      <c r="AB17" s="632"/>
      <c r="AC17" s="25">
        <v>7</v>
      </c>
      <c r="AD17" s="25"/>
      <c r="AE17" s="19">
        <f t="shared" si="8"/>
        <v>-58.811881188118832</v>
      </c>
      <c r="AF17" s="223">
        <f t="shared" si="9"/>
        <v>0.96079207920792076</v>
      </c>
      <c r="AG17" s="637">
        <f>AF24</f>
        <v>0.95838485584209565</v>
      </c>
    </row>
    <row r="18" spans="1:33" ht="16.5" customHeight="1">
      <c r="A18" s="658" t="s">
        <v>54</v>
      </c>
      <c r="B18" s="227" t="s">
        <v>103</v>
      </c>
      <c r="C18" s="653" t="s">
        <v>105</v>
      </c>
      <c r="D18" s="653"/>
      <c r="E18" s="42">
        <v>41</v>
      </c>
      <c r="F18" s="227">
        <v>1967</v>
      </c>
      <c r="G18" s="218">
        <f t="shared" si="15"/>
        <v>80647</v>
      </c>
      <c r="H18" s="37" t="s">
        <v>91</v>
      </c>
      <c r="I18" s="225">
        <v>26</v>
      </c>
      <c r="J18" s="39">
        <v>1500</v>
      </c>
      <c r="K18" s="17">
        <f t="shared" si="1"/>
        <v>57.692307692307693</v>
      </c>
      <c r="L18" s="225">
        <v>26</v>
      </c>
      <c r="M18" s="18">
        <f t="shared" si="16"/>
        <v>1439.2682926829264</v>
      </c>
      <c r="N18" s="17">
        <f t="shared" si="3"/>
        <v>55.356472795497169</v>
      </c>
      <c r="O18" s="19">
        <f t="shared" si="4"/>
        <v>0</v>
      </c>
      <c r="P18" s="20">
        <f t="shared" si="5"/>
        <v>-2.3358348968105247</v>
      </c>
      <c r="Q18" s="223">
        <f t="shared" si="6"/>
        <v>0.95951219512195096</v>
      </c>
      <c r="R18" s="637"/>
      <c r="S18" s="40">
        <v>0.28194444444444444</v>
      </c>
      <c r="T18" s="40">
        <v>0.33888888888888891</v>
      </c>
      <c r="U18" s="218">
        <f t="shared" ref="U18:U23" si="18">IF(S18=TIME(17,0,0),"",(S18-T17)*24*60)</f>
        <v>4.9999999999999822</v>
      </c>
      <c r="V18" s="226">
        <f t="shared" si="17"/>
        <v>82.000000000000028</v>
      </c>
      <c r="W18" s="23"/>
      <c r="X18" s="23"/>
      <c r="Y18" s="23"/>
      <c r="Z18" s="23"/>
      <c r="AA18" s="632"/>
      <c r="AB18" s="632"/>
      <c r="AC18" s="25"/>
      <c r="AD18" s="25"/>
      <c r="AE18" s="19">
        <f t="shared" si="8"/>
        <v>-60.731707317073642</v>
      </c>
      <c r="AF18" s="223">
        <f t="shared" si="9"/>
        <v>0.95951219512195085</v>
      </c>
      <c r="AG18" s="637"/>
    </row>
    <row r="19" spans="1:33" ht="16.5" customHeight="1">
      <c r="A19" s="658" t="s">
        <v>54</v>
      </c>
      <c r="B19" s="227" t="s">
        <v>92</v>
      </c>
      <c r="C19" s="653" t="s">
        <v>106</v>
      </c>
      <c r="D19" s="653"/>
      <c r="E19" s="42">
        <v>37.03</v>
      </c>
      <c r="F19" s="227">
        <v>3402</v>
      </c>
      <c r="G19" s="218">
        <f t="shared" si="15"/>
        <v>125976.06</v>
      </c>
      <c r="H19" s="37" t="s">
        <v>91</v>
      </c>
      <c r="I19" s="225">
        <v>13</v>
      </c>
      <c r="J19" s="39">
        <v>1500</v>
      </c>
      <c r="K19" s="17">
        <f t="shared" si="1"/>
        <v>115.38461538461539</v>
      </c>
      <c r="L19" s="225">
        <v>13</v>
      </c>
      <c r="M19" s="18">
        <f t="shared" si="16"/>
        <v>1437.4647887323947</v>
      </c>
      <c r="N19" s="17">
        <f t="shared" si="3"/>
        <v>110.57421451787651</v>
      </c>
      <c r="O19" s="19">
        <f t="shared" si="4"/>
        <v>0</v>
      </c>
      <c r="P19" s="20">
        <f t="shared" si="5"/>
        <v>-4.810400866738874</v>
      </c>
      <c r="Q19" s="223">
        <f t="shared" si="6"/>
        <v>0.95830985915492972</v>
      </c>
      <c r="R19" s="637"/>
      <c r="S19" s="40">
        <v>0.34305555555555556</v>
      </c>
      <c r="T19" s="40">
        <v>0.44166666666666665</v>
      </c>
      <c r="U19" s="218">
        <f t="shared" si="18"/>
        <v>5.9999999999999787</v>
      </c>
      <c r="V19" s="226">
        <f t="shared" si="17"/>
        <v>141.99999999999997</v>
      </c>
      <c r="W19" s="23"/>
      <c r="X19" s="23"/>
      <c r="Y19" s="23"/>
      <c r="Z19" s="23"/>
      <c r="AA19" s="632"/>
      <c r="AB19" s="632"/>
      <c r="AC19" s="25"/>
      <c r="AD19" s="25"/>
      <c r="AE19" s="19">
        <f t="shared" si="8"/>
        <v>-62.535211267605291</v>
      </c>
      <c r="AF19" s="223">
        <f t="shared" si="9"/>
        <v>0.95830985915492983</v>
      </c>
      <c r="AG19" s="637"/>
    </row>
    <row r="20" spans="1:33" ht="16.5" customHeight="1">
      <c r="A20" s="658" t="s">
        <v>980</v>
      </c>
      <c r="B20" s="227" t="s">
        <v>92</v>
      </c>
      <c r="C20" s="653" t="s">
        <v>108</v>
      </c>
      <c r="D20" s="653"/>
      <c r="E20" s="42">
        <v>54.5</v>
      </c>
      <c r="F20" s="227">
        <v>1891</v>
      </c>
      <c r="G20" s="218">
        <f t="shared" si="15"/>
        <v>103059.5</v>
      </c>
      <c r="H20" s="37" t="s">
        <v>91</v>
      </c>
      <c r="I20" s="225">
        <v>20</v>
      </c>
      <c r="J20" s="39">
        <v>1500</v>
      </c>
      <c r="K20" s="17">
        <f t="shared" si="1"/>
        <v>75</v>
      </c>
      <c r="L20" s="225">
        <v>20</v>
      </c>
      <c r="M20" s="18">
        <f t="shared" si="16"/>
        <v>1436.2025316455688</v>
      </c>
      <c r="N20" s="17">
        <f t="shared" si="3"/>
        <v>71.810126582278443</v>
      </c>
      <c r="O20" s="19">
        <f t="shared" si="4"/>
        <v>0</v>
      </c>
      <c r="P20" s="20">
        <f t="shared" si="5"/>
        <v>-3.1898734177215573</v>
      </c>
      <c r="Q20" s="223">
        <f t="shared" si="6"/>
        <v>0.95746835443037925</v>
      </c>
      <c r="R20" s="637"/>
      <c r="S20" s="40">
        <v>0.70833333333333337</v>
      </c>
      <c r="T20" s="40">
        <v>0.76319444444444451</v>
      </c>
      <c r="U20" s="218" t="str">
        <f t="shared" si="18"/>
        <v/>
      </c>
      <c r="V20" s="226">
        <f t="shared" si="17"/>
        <v>79.000000000000043</v>
      </c>
      <c r="W20" s="23"/>
      <c r="X20" s="23"/>
      <c r="Y20" s="23"/>
      <c r="Z20" s="23"/>
      <c r="AA20" s="632"/>
      <c r="AB20" s="632"/>
      <c r="AC20" s="25"/>
      <c r="AD20" s="25"/>
      <c r="AE20" s="19">
        <f t="shared" si="8"/>
        <v>-63.797468354431203</v>
      </c>
      <c r="AF20" s="223">
        <f t="shared" si="9"/>
        <v>0.95746835443037914</v>
      </c>
      <c r="AG20" s="637"/>
    </row>
    <row r="21" spans="1:33" ht="16.5" customHeight="1">
      <c r="A21" s="658" t="s">
        <v>54</v>
      </c>
      <c r="B21" s="227" t="s">
        <v>92</v>
      </c>
      <c r="C21" s="653" t="s">
        <v>107</v>
      </c>
      <c r="D21" s="653"/>
      <c r="E21" s="42">
        <v>50.67</v>
      </c>
      <c r="F21" s="227">
        <v>1823</v>
      </c>
      <c r="G21" s="218">
        <f t="shared" si="15"/>
        <v>92371.41</v>
      </c>
      <c r="H21" s="37" t="s">
        <v>91</v>
      </c>
      <c r="I21" s="225">
        <v>17</v>
      </c>
      <c r="J21" s="39">
        <v>2000</v>
      </c>
      <c r="K21" s="17">
        <f t="shared" si="1"/>
        <v>117.64705882352941</v>
      </c>
      <c r="L21" s="225">
        <v>17</v>
      </c>
      <c r="M21" s="18">
        <f t="shared" si="16"/>
        <v>1918.9473684210541</v>
      </c>
      <c r="N21" s="17">
        <f t="shared" si="3"/>
        <v>112.87925696594436</v>
      </c>
      <c r="O21" s="19">
        <f t="shared" si="4"/>
        <v>0</v>
      </c>
      <c r="P21" s="20">
        <f t="shared" si="5"/>
        <v>-4.7678018575850416</v>
      </c>
      <c r="Q21" s="223">
        <f t="shared" si="6"/>
        <v>0.95947368421052714</v>
      </c>
      <c r="R21" s="637"/>
      <c r="S21" s="40">
        <v>0.76666666666666672</v>
      </c>
      <c r="T21" s="40">
        <v>0.80625000000000002</v>
      </c>
      <c r="U21" s="218">
        <f t="shared" si="18"/>
        <v>4.9999999999999822</v>
      </c>
      <c r="V21" s="226">
        <f t="shared" si="17"/>
        <v>56.999999999999957</v>
      </c>
      <c r="W21" s="23"/>
      <c r="X21" s="23"/>
      <c r="Y21" s="23"/>
      <c r="Z21" s="23"/>
      <c r="AA21" s="632"/>
      <c r="AB21" s="632"/>
      <c r="AC21" s="25"/>
      <c r="AD21" s="25"/>
      <c r="AE21" s="19">
        <f t="shared" si="8"/>
        <v>-81.05263157894592</v>
      </c>
      <c r="AF21" s="223">
        <f t="shared" si="9"/>
        <v>0.95947368421052703</v>
      </c>
      <c r="AG21" s="637"/>
    </row>
    <row r="22" spans="1:33" ht="16.5" customHeight="1">
      <c r="A22" s="658" t="s">
        <v>54</v>
      </c>
      <c r="B22" s="227" t="s">
        <v>92</v>
      </c>
      <c r="C22" s="229" t="s">
        <v>95</v>
      </c>
      <c r="D22" s="230"/>
      <c r="E22" s="42">
        <v>50.67</v>
      </c>
      <c r="F22" s="227">
        <v>1689</v>
      </c>
      <c r="G22" s="218">
        <f t="shared" si="15"/>
        <v>85581.63</v>
      </c>
      <c r="H22" s="37" t="s">
        <v>91</v>
      </c>
      <c r="I22" s="225">
        <v>15</v>
      </c>
      <c r="J22" s="39">
        <v>2000</v>
      </c>
      <c r="K22" s="17">
        <f t="shared" si="1"/>
        <v>133.33333333333334</v>
      </c>
      <c r="L22" s="225">
        <v>15</v>
      </c>
      <c r="M22" s="18">
        <f t="shared" si="16"/>
        <v>1912.0754716981141</v>
      </c>
      <c r="N22" s="17">
        <f t="shared" si="3"/>
        <v>127.47169811320761</v>
      </c>
      <c r="O22" s="19">
        <f t="shared" si="4"/>
        <v>0</v>
      </c>
      <c r="P22" s="20">
        <f t="shared" si="5"/>
        <v>-5.8616352201257342</v>
      </c>
      <c r="Q22" s="223">
        <f t="shared" si="6"/>
        <v>0.95603773584905705</v>
      </c>
      <c r="R22" s="637"/>
      <c r="S22" s="40">
        <v>0.80972222222222223</v>
      </c>
      <c r="T22" s="40">
        <v>0.84652777777777777</v>
      </c>
      <c r="U22" s="218">
        <f t="shared" si="18"/>
        <v>4.9999999999999822</v>
      </c>
      <c r="V22" s="226">
        <f t="shared" si="17"/>
        <v>52.999999999999972</v>
      </c>
      <c r="W22" s="23">
        <f>T22</f>
        <v>0.84652777777777777</v>
      </c>
      <c r="X22" s="23">
        <f>S23</f>
        <v>0.88611111111111107</v>
      </c>
      <c r="Y22" s="26"/>
      <c r="Z22" s="26"/>
      <c r="AA22" s="221"/>
      <c r="AB22" s="222"/>
      <c r="AC22" s="25"/>
      <c r="AD22" s="25"/>
      <c r="AE22" s="19">
        <f t="shared" si="8"/>
        <v>-87.924528301885857</v>
      </c>
      <c r="AF22" s="223">
        <f t="shared" si="9"/>
        <v>0.95603773584905705</v>
      </c>
      <c r="AG22" s="637"/>
    </row>
    <row r="23" spans="1:33" ht="16.5" customHeight="1">
      <c r="A23" s="658" t="s">
        <v>54</v>
      </c>
      <c r="B23" s="227" t="s">
        <v>92</v>
      </c>
      <c r="C23" s="229" t="s">
        <v>114</v>
      </c>
      <c r="D23" s="230"/>
      <c r="E23" s="42">
        <v>54.09</v>
      </c>
      <c r="F23" s="227">
        <v>1692</v>
      </c>
      <c r="G23" s="218">
        <f t="shared" si="15"/>
        <v>91520.28</v>
      </c>
      <c r="H23" s="37" t="s">
        <v>91</v>
      </c>
      <c r="I23" s="225">
        <v>18</v>
      </c>
      <c r="J23" s="39">
        <v>2000</v>
      </c>
      <c r="K23" s="17">
        <f t="shared" si="1"/>
        <v>111.11111111111111</v>
      </c>
      <c r="L23" s="225">
        <v>18</v>
      </c>
      <c r="M23" s="18">
        <f t="shared" si="16"/>
        <v>1915.4716981132085</v>
      </c>
      <c r="N23" s="17">
        <f t="shared" si="3"/>
        <v>106.4150943396227</v>
      </c>
      <c r="O23" s="19">
        <f t="shared" si="4"/>
        <v>0</v>
      </c>
      <c r="P23" s="20">
        <f t="shared" si="5"/>
        <v>-4.6960167714884165</v>
      </c>
      <c r="Q23" s="223">
        <f t="shared" si="6"/>
        <v>0.95773584905660425</v>
      </c>
      <c r="R23" s="637"/>
      <c r="S23" s="40">
        <v>0.88611111111111107</v>
      </c>
      <c r="T23" s="40">
        <v>0.92291666666666661</v>
      </c>
      <c r="U23" s="218">
        <f t="shared" si="18"/>
        <v>56.999999999999957</v>
      </c>
      <c r="V23" s="226">
        <f t="shared" si="17"/>
        <v>52.999999999999972</v>
      </c>
      <c r="W23" s="23"/>
      <c r="X23" s="23"/>
      <c r="Y23" s="26"/>
      <c r="Z23" s="26"/>
      <c r="AA23" s="221"/>
      <c r="AB23" s="222"/>
      <c r="AC23" s="25"/>
      <c r="AD23" s="25"/>
      <c r="AE23" s="19">
        <f t="shared" si="8"/>
        <v>-84.528301886791496</v>
      </c>
      <c r="AF23" s="223">
        <f t="shared" si="9"/>
        <v>0.95773584905660425</v>
      </c>
      <c r="AG23" s="637"/>
    </row>
    <row r="24" spans="1:33" ht="16.5" customHeight="1">
      <c r="A24" s="658" t="s">
        <v>54</v>
      </c>
      <c r="B24" s="42" t="s">
        <v>981</v>
      </c>
      <c r="C24" s="638"/>
      <c r="D24" s="638"/>
      <c r="E24" s="224"/>
      <c r="F24" s="44"/>
      <c r="G24" s="17"/>
      <c r="H24" s="227"/>
      <c r="I24" s="29">
        <v>19</v>
      </c>
      <c r="J24" s="39">
        <v>1714.2857142857142</v>
      </c>
      <c r="K24" s="17">
        <f t="shared" si="1"/>
        <v>90.225563909774436</v>
      </c>
      <c r="L24" s="29">
        <v>19</v>
      </c>
      <c r="M24" s="18">
        <f>AVERAGE(M17:M23)</f>
        <v>1642.9454671578783</v>
      </c>
      <c r="N24" s="17">
        <f t="shared" si="3"/>
        <v>86.470814060940967</v>
      </c>
      <c r="O24" s="19">
        <f t="shared" si="4"/>
        <v>0</v>
      </c>
      <c r="P24" s="20">
        <f t="shared" si="5"/>
        <v>-3.7547498488334696</v>
      </c>
      <c r="Q24" s="223">
        <f t="shared" si="6"/>
        <v>0.95838485584209576</v>
      </c>
      <c r="R24" s="637"/>
      <c r="S24" s="40"/>
      <c r="T24" s="40"/>
      <c r="U24" s="218"/>
      <c r="V24" s="226"/>
      <c r="W24" s="17"/>
      <c r="X24" s="17"/>
      <c r="Y24" s="30">
        <f>SUM(Y17:Y23)</f>
        <v>0</v>
      </c>
      <c r="Z24" s="30">
        <f>SUM(Z17:Z23)</f>
        <v>0</v>
      </c>
      <c r="AA24" s="631"/>
      <c r="AB24" s="631"/>
      <c r="AC24" s="30">
        <v>7</v>
      </c>
      <c r="AD24" s="30">
        <f>SUM(AD17:AD23)</f>
        <v>0</v>
      </c>
      <c r="AE24" s="19">
        <f t="shared" si="8"/>
        <v>-71.340247127835937</v>
      </c>
      <c r="AF24" s="223">
        <f t="shared" si="9"/>
        <v>0.95838485584209565</v>
      </c>
      <c r="AG24" s="637"/>
    </row>
    <row r="25" spans="1:33" ht="15.75" customHeight="1">
      <c r="A25" s="655" t="s">
        <v>58</v>
      </c>
      <c r="B25" s="42" t="s">
        <v>92</v>
      </c>
      <c r="C25" s="653" t="s">
        <v>110</v>
      </c>
      <c r="D25" s="653"/>
      <c r="E25" s="42">
        <v>50.67</v>
      </c>
      <c r="F25" s="227">
        <v>1916</v>
      </c>
      <c r="G25" s="218">
        <f t="shared" ref="G25:G32" si="19">E25*F25</f>
        <v>97083.72</v>
      </c>
      <c r="H25" s="37" t="s">
        <v>91</v>
      </c>
      <c r="I25" s="225">
        <v>17</v>
      </c>
      <c r="J25" s="39">
        <v>2000</v>
      </c>
      <c r="K25" s="17">
        <f t="shared" si="1"/>
        <v>117.64705882352941</v>
      </c>
      <c r="L25" s="225">
        <v>17</v>
      </c>
      <c r="M25" s="18">
        <f t="shared" ref="M25:M32" si="20">F25/V25*60</f>
        <v>1916.0000000000005</v>
      </c>
      <c r="N25" s="17">
        <f t="shared" si="3"/>
        <v>112.7058823529412</v>
      </c>
      <c r="O25" s="19">
        <f t="shared" si="4"/>
        <v>0</v>
      </c>
      <c r="P25" s="20">
        <f t="shared" si="5"/>
        <v>-4.9411764705882035</v>
      </c>
      <c r="Q25" s="223">
        <f t="shared" si="6"/>
        <v>0.9580000000000003</v>
      </c>
      <c r="R25" s="637">
        <f>Q33</f>
        <v>0.96050532825267532</v>
      </c>
      <c r="S25" s="40">
        <v>0.20833333333333334</v>
      </c>
      <c r="T25" s="40">
        <v>0.25</v>
      </c>
      <c r="U25" s="218"/>
      <c r="V25" s="226">
        <f t="shared" ref="V25:V32" si="21">(T25-S25)*24*60</f>
        <v>59.999999999999986</v>
      </c>
      <c r="W25" s="23"/>
      <c r="X25" s="23"/>
      <c r="Y25" s="28"/>
      <c r="Z25" s="28"/>
      <c r="AA25" s="632"/>
      <c r="AB25" s="632"/>
      <c r="AC25" s="25">
        <v>8</v>
      </c>
      <c r="AD25" s="25"/>
      <c r="AE25" s="19">
        <f t="shared" si="8"/>
        <v>-83.999999999999545</v>
      </c>
      <c r="AF25" s="223">
        <f t="shared" si="9"/>
        <v>0.95800000000000018</v>
      </c>
      <c r="AG25" s="637">
        <f>AF33</f>
        <v>0.96050532825267543</v>
      </c>
    </row>
    <row r="26" spans="1:33" ht="15.75" customHeight="1">
      <c r="A26" s="656" t="s">
        <v>58</v>
      </c>
      <c r="B26" s="42" t="s">
        <v>92</v>
      </c>
      <c r="C26" s="653" t="s">
        <v>111</v>
      </c>
      <c r="D26" s="653"/>
      <c r="E26" s="42">
        <v>57.73</v>
      </c>
      <c r="F26" s="227">
        <v>2809</v>
      </c>
      <c r="G26" s="218">
        <f t="shared" si="19"/>
        <v>162163.56999999998</v>
      </c>
      <c r="H26" s="37" t="s">
        <v>91</v>
      </c>
      <c r="I26" s="225">
        <v>14</v>
      </c>
      <c r="J26" s="39">
        <v>2000</v>
      </c>
      <c r="K26" s="17">
        <f t="shared" si="1"/>
        <v>142.85714285714286</v>
      </c>
      <c r="L26" s="225">
        <v>14</v>
      </c>
      <c r="M26" s="18">
        <f t="shared" si="20"/>
        <v>1915.2272727272727</v>
      </c>
      <c r="N26" s="17">
        <f t="shared" si="3"/>
        <v>136.80194805194805</v>
      </c>
      <c r="O26" s="19">
        <f t="shared" si="4"/>
        <v>0</v>
      </c>
      <c r="P26" s="20">
        <f t="shared" si="5"/>
        <v>-6.0551948051948159</v>
      </c>
      <c r="Q26" s="223">
        <f t="shared" si="6"/>
        <v>0.95761363636363628</v>
      </c>
      <c r="R26" s="637"/>
      <c r="S26" s="40">
        <v>0.25416666666666665</v>
      </c>
      <c r="T26" s="40">
        <v>0.31527777777777777</v>
      </c>
      <c r="U26" s="218">
        <f t="shared" ref="U26:U32" si="22">IF(S26=TIME(17,0,0),"",(S26-T25)*24*60)</f>
        <v>5.9999999999999787</v>
      </c>
      <c r="V26" s="226">
        <f t="shared" si="21"/>
        <v>88</v>
      </c>
      <c r="W26" s="23"/>
      <c r="X26" s="218"/>
      <c r="Y26" s="218"/>
      <c r="Z26" s="218"/>
      <c r="AA26" s="632"/>
      <c r="AB26" s="632"/>
      <c r="AC26" s="25"/>
      <c r="AD26" s="25"/>
      <c r="AE26" s="19">
        <f t="shared" si="8"/>
        <v>-84.772727272727252</v>
      </c>
      <c r="AF26" s="223">
        <f t="shared" si="9"/>
        <v>0.95761363636363639</v>
      </c>
      <c r="AG26" s="637"/>
    </row>
    <row r="27" spans="1:33" ht="15.75" customHeight="1">
      <c r="A27" s="656" t="s">
        <v>982</v>
      </c>
      <c r="B27" s="42" t="s">
        <v>92</v>
      </c>
      <c r="C27" s="653" t="s">
        <v>112</v>
      </c>
      <c r="D27" s="653"/>
      <c r="E27" s="42">
        <v>53.27</v>
      </c>
      <c r="F27" s="227">
        <v>1551</v>
      </c>
      <c r="G27" s="218">
        <f t="shared" si="19"/>
        <v>82621.77</v>
      </c>
      <c r="H27" s="37" t="s">
        <v>91</v>
      </c>
      <c r="I27" s="225">
        <v>16</v>
      </c>
      <c r="J27" s="39">
        <v>2000</v>
      </c>
      <c r="K27" s="17">
        <f t="shared" si="1"/>
        <v>125</v>
      </c>
      <c r="L27" s="225">
        <v>16</v>
      </c>
      <c r="M27" s="18">
        <f t="shared" si="20"/>
        <v>1938.7500000000005</v>
      </c>
      <c r="N27" s="17">
        <f t="shared" si="3"/>
        <v>121.17187500000003</v>
      </c>
      <c r="O27" s="19">
        <f t="shared" si="4"/>
        <v>0</v>
      </c>
      <c r="P27" s="20">
        <f t="shared" si="5"/>
        <v>-3.8281249999999716</v>
      </c>
      <c r="Q27" s="223">
        <f t="shared" si="6"/>
        <v>0.96937500000000021</v>
      </c>
      <c r="R27" s="637"/>
      <c r="S27" s="40">
        <v>0.31944444444444442</v>
      </c>
      <c r="T27" s="40">
        <v>0.35277777777777775</v>
      </c>
      <c r="U27" s="218">
        <f t="shared" si="22"/>
        <v>5.9999999999999787</v>
      </c>
      <c r="V27" s="226">
        <f t="shared" si="21"/>
        <v>47.999999999999986</v>
      </c>
      <c r="W27" s="23"/>
      <c r="X27" s="218"/>
      <c r="Y27" s="218"/>
      <c r="Z27" s="218"/>
      <c r="AA27" s="632"/>
      <c r="AB27" s="632"/>
      <c r="AC27" s="25"/>
      <c r="AD27" s="25"/>
      <c r="AE27" s="19">
        <f t="shared" si="8"/>
        <v>-61.249999999999545</v>
      </c>
      <c r="AF27" s="223">
        <f t="shared" si="9"/>
        <v>0.96937500000000021</v>
      </c>
      <c r="AG27" s="637"/>
    </row>
    <row r="28" spans="1:33" ht="15.75" customHeight="1">
      <c r="A28" s="656" t="s">
        <v>58</v>
      </c>
      <c r="B28" s="42" t="s">
        <v>101</v>
      </c>
      <c r="C28" s="653" t="s">
        <v>102</v>
      </c>
      <c r="D28" s="653"/>
      <c r="E28" s="42">
        <v>31.11</v>
      </c>
      <c r="F28" s="227">
        <v>4072</v>
      </c>
      <c r="G28" s="218">
        <f t="shared" si="19"/>
        <v>126679.92</v>
      </c>
      <c r="H28" s="37" t="s">
        <v>91</v>
      </c>
      <c r="I28" s="225">
        <v>14</v>
      </c>
      <c r="J28" s="39">
        <v>2000</v>
      </c>
      <c r="K28" s="17">
        <f t="shared" si="1"/>
        <v>142.85714285714286</v>
      </c>
      <c r="L28" s="225">
        <v>14</v>
      </c>
      <c r="M28" s="18">
        <f t="shared" si="20"/>
        <v>1908.7499999999995</v>
      </c>
      <c r="N28" s="17">
        <f t="shared" si="3"/>
        <v>136.33928571428569</v>
      </c>
      <c r="O28" s="19">
        <f t="shared" si="4"/>
        <v>0</v>
      </c>
      <c r="P28" s="20">
        <f t="shared" si="5"/>
        <v>-6.5178571428571672</v>
      </c>
      <c r="Q28" s="223">
        <f t="shared" si="6"/>
        <v>0.95437499999999986</v>
      </c>
      <c r="R28" s="637"/>
      <c r="S28" s="40">
        <v>0.3569444444444444</v>
      </c>
      <c r="T28" s="40">
        <v>0.4458333333333333</v>
      </c>
      <c r="U28" s="218">
        <f t="shared" si="22"/>
        <v>5.9999999999999787</v>
      </c>
      <c r="V28" s="226">
        <f t="shared" si="21"/>
        <v>128.00000000000003</v>
      </c>
      <c r="W28" s="23"/>
      <c r="X28" s="218"/>
      <c r="Y28" s="218"/>
      <c r="Z28" s="218"/>
      <c r="AA28" s="632"/>
      <c r="AB28" s="632"/>
      <c r="AC28" s="25"/>
      <c r="AD28" s="25"/>
      <c r="AE28" s="19">
        <f t="shared" si="8"/>
        <v>-91.250000000000455</v>
      </c>
      <c r="AF28" s="223">
        <f t="shared" si="9"/>
        <v>0.95437499999999975</v>
      </c>
      <c r="AG28" s="637"/>
    </row>
    <row r="29" spans="1:33" ht="15.75" customHeight="1">
      <c r="A29" s="656" t="s">
        <v>58</v>
      </c>
      <c r="B29" s="42" t="s">
        <v>92</v>
      </c>
      <c r="C29" s="653" t="s">
        <v>113</v>
      </c>
      <c r="D29" s="653"/>
      <c r="E29" s="42">
        <v>56.43</v>
      </c>
      <c r="F29" s="227">
        <v>1679</v>
      </c>
      <c r="G29" s="218">
        <f t="shared" si="19"/>
        <v>94745.97</v>
      </c>
      <c r="H29" s="37" t="s">
        <v>91</v>
      </c>
      <c r="I29" s="225">
        <v>13</v>
      </c>
      <c r="J29" s="39">
        <v>2000</v>
      </c>
      <c r="K29" s="17">
        <f t="shared" si="1"/>
        <v>153.84615384615384</v>
      </c>
      <c r="L29" s="225">
        <v>13</v>
      </c>
      <c r="M29" s="18">
        <f t="shared" si="20"/>
        <v>1937.3076923076933</v>
      </c>
      <c r="N29" s="17">
        <f t="shared" si="3"/>
        <v>149.02366863905334</v>
      </c>
      <c r="O29" s="19">
        <f t="shared" si="4"/>
        <v>0</v>
      </c>
      <c r="P29" s="20">
        <f t="shared" si="5"/>
        <v>-4.8224852071004989</v>
      </c>
      <c r="Q29" s="223">
        <f t="shared" si="6"/>
        <v>0.96865384615384675</v>
      </c>
      <c r="R29" s="637"/>
      <c r="S29" s="40">
        <v>0.70833333333333337</v>
      </c>
      <c r="T29" s="40">
        <v>0.74444444444444446</v>
      </c>
      <c r="U29" s="218" t="str">
        <f t="shared" si="22"/>
        <v/>
      </c>
      <c r="V29" s="226">
        <f t="shared" si="21"/>
        <v>51.999999999999972</v>
      </c>
      <c r="W29" s="23"/>
      <c r="X29" s="23"/>
      <c r="Y29" s="218"/>
      <c r="Z29" s="218"/>
      <c r="AA29" s="632"/>
      <c r="AB29" s="632"/>
      <c r="AC29" s="25"/>
      <c r="AD29" s="25"/>
      <c r="AE29" s="19">
        <f t="shared" si="8"/>
        <v>-62.692307692306713</v>
      </c>
      <c r="AF29" s="223">
        <f t="shared" si="9"/>
        <v>0.96865384615384664</v>
      </c>
      <c r="AG29" s="637"/>
    </row>
    <row r="30" spans="1:33" ht="15.75" customHeight="1">
      <c r="A30" s="656" t="s">
        <v>982</v>
      </c>
      <c r="B30" s="42" t="s">
        <v>92</v>
      </c>
      <c r="C30" s="653" t="s">
        <v>115</v>
      </c>
      <c r="D30" s="653"/>
      <c r="E30" s="42">
        <v>57.3</v>
      </c>
      <c r="F30" s="227">
        <v>2003</v>
      </c>
      <c r="G30" s="218">
        <f t="shared" si="19"/>
        <v>114771.9</v>
      </c>
      <c r="H30" s="37" t="s">
        <v>91</v>
      </c>
      <c r="I30" s="225">
        <v>16</v>
      </c>
      <c r="J30" s="39">
        <v>2000</v>
      </c>
      <c r="K30" s="17">
        <f t="shared" si="1"/>
        <v>125</v>
      </c>
      <c r="L30" s="225">
        <v>16</v>
      </c>
      <c r="M30" s="18">
        <f t="shared" si="20"/>
        <v>1907.6190476190495</v>
      </c>
      <c r="N30" s="17">
        <f t="shared" si="3"/>
        <v>119.2261904761906</v>
      </c>
      <c r="O30" s="19">
        <f t="shared" si="4"/>
        <v>0</v>
      </c>
      <c r="P30" s="20">
        <f t="shared" si="5"/>
        <v>-5.7738095238094047</v>
      </c>
      <c r="Q30" s="223">
        <f t="shared" si="6"/>
        <v>0.95380952380952477</v>
      </c>
      <c r="R30" s="637"/>
      <c r="S30" s="40">
        <v>0.74861111111111112</v>
      </c>
      <c r="T30" s="40">
        <v>0.79236111111111107</v>
      </c>
      <c r="U30" s="218">
        <f t="shared" si="22"/>
        <v>5.9999999999999787</v>
      </c>
      <c r="V30" s="226">
        <f t="shared" si="21"/>
        <v>62.999999999999936</v>
      </c>
      <c r="W30" s="23"/>
      <c r="X30" s="28"/>
      <c r="Y30" s="28"/>
      <c r="Z30" s="28"/>
      <c r="AA30" s="632"/>
      <c r="AB30" s="632"/>
      <c r="AC30" s="25"/>
      <c r="AD30" s="25"/>
      <c r="AE30" s="19">
        <f t="shared" si="8"/>
        <v>-92.380952380950475</v>
      </c>
      <c r="AF30" s="223">
        <f t="shared" si="9"/>
        <v>0.95380952380952477</v>
      </c>
      <c r="AG30" s="637"/>
    </row>
    <row r="31" spans="1:33" ht="15.75" customHeight="1">
      <c r="A31" s="656" t="s">
        <v>982</v>
      </c>
      <c r="B31" s="42" t="s">
        <v>92</v>
      </c>
      <c r="C31" s="679" t="s">
        <v>140</v>
      </c>
      <c r="D31" s="680"/>
      <c r="E31" s="42">
        <v>51.06</v>
      </c>
      <c r="F31" s="227">
        <v>1000</v>
      </c>
      <c r="G31" s="218">
        <f t="shared" si="19"/>
        <v>51060</v>
      </c>
      <c r="H31" s="37">
        <v>2</v>
      </c>
      <c r="I31" s="225">
        <v>13</v>
      </c>
      <c r="J31" s="39">
        <v>2000</v>
      </c>
      <c r="K31" s="17">
        <f t="shared" si="1"/>
        <v>153.84615384615384</v>
      </c>
      <c r="L31" s="225">
        <v>13</v>
      </c>
      <c r="M31" s="18">
        <f t="shared" si="20"/>
        <v>1935.483870967739</v>
      </c>
      <c r="N31" s="17">
        <f t="shared" si="3"/>
        <v>148.88337468982607</v>
      </c>
      <c r="O31" s="19">
        <f t="shared" si="4"/>
        <v>0</v>
      </c>
      <c r="P31" s="20">
        <f t="shared" si="5"/>
        <v>-4.9627791563277697</v>
      </c>
      <c r="Q31" s="223">
        <f t="shared" si="6"/>
        <v>0.96774193548386944</v>
      </c>
      <c r="R31" s="637"/>
      <c r="S31" s="40">
        <v>0.79791666666666661</v>
      </c>
      <c r="T31" s="40">
        <v>0.81944444444444442</v>
      </c>
      <c r="U31" s="218">
        <f t="shared" si="22"/>
        <v>7.9999999999999716</v>
      </c>
      <c r="V31" s="226">
        <f t="shared" si="21"/>
        <v>31.00000000000005</v>
      </c>
      <c r="W31" s="23">
        <f>T31</f>
        <v>0.81944444444444442</v>
      </c>
      <c r="X31" s="23">
        <f>S32</f>
        <v>0.86111111111111105</v>
      </c>
      <c r="Y31" s="136"/>
      <c r="Z31" s="136"/>
      <c r="AA31" s="627"/>
      <c r="AB31" s="628"/>
      <c r="AC31" s="25"/>
      <c r="AD31" s="25"/>
      <c r="AE31" s="19">
        <f t="shared" si="8"/>
        <v>-64.516129032261006</v>
      </c>
      <c r="AF31" s="223">
        <f t="shared" si="9"/>
        <v>0.96774193548386944</v>
      </c>
      <c r="AG31" s="637"/>
    </row>
    <row r="32" spans="1:33" ht="15.75" customHeight="1">
      <c r="A32" s="656" t="s">
        <v>58</v>
      </c>
      <c r="B32" s="42" t="s">
        <v>92</v>
      </c>
      <c r="C32" s="229" t="s">
        <v>140</v>
      </c>
      <c r="D32" s="230"/>
      <c r="E32" s="42">
        <v>51.06</v>
      </c>
      <c r="F32" s="227">
        <v>2418</v>
      </c>
      <c r="G32" s="218">
        <f t="shared" si="19"/>
        <v>123463.08</v>
      </c>
      <c r="H32" s="37" t="s">
        <v>91</v>
      </c>
      <c r="I32" s="225">
        <v>13</v>
      </c>
      <c r="J32" s="39">
        <v>2000</v>
      </c>
      <c r="K32" s="17">
        <f t="shared" si="1"/>
        <v>153.84615384615384</v>
      </c>
      <c r="L32" s="225">
        <v>13</v>
      </c>
      <c r="M32" s="18">
        <f t="shared" si="20"/>
        <v>1908.9473684210514</v>
      </c>
      <c r="N32" s="17">
        <f t="shared" si="3"/>
        <v>146.8421052631578</v>
      </c>
      <c r="O32" s="19">
        <f t="shared" si="4"/>
        <v>0</v>
      </c>
      <c r="P32" s="20">
        <f t="shared" si="5"/>
        <v>-7.0040485829960346</v>
      </c>
      <c r="Q32" s="223">
        <f t="shared" si="6"/>
        <v>0.95447368421052581</v>
      </c>
      <c r="R32" s="637"/>
      <c r="S32" s="40">
        <v>0.86111111111111105</v>
      </c>
      <c r="T32" s="40">
        <v>0.91388888888888886</v>
      </c>
      <c r="U32" s="218">
        <f t="shared" si="22"/>
        <v>59.999999999999943</v>
      </c>
      <c r="V32" s="226">
        <f t="shared" si="21"/>
        <v>76.000000000000057</v>
      </c>
      <c r="W32" s="23"/>
      <c r="X32" s="23"/>
      <c r="Y32" s="26"/>
      <c r="Z32" s="26"/>
      <c r="AA32" s="221"/>
      <c r="AB32" s="222"/>
      <c r="AC32" s="25"/>
      <c r="AD32" s="25"/>
      <c r="AE32" s="19">
        <f t="shared" si="8"/>
        <v>-91.052631578948649</v>
      </c>
      <c r="AF32" s="223">
        <f t="shared" si="9"/>
        <v>0.9544736842105257</v>
      </c>
      <c r="AG32" s="637"/>
    </row>
    <row r="33" spans="1:33" ht="15.75" customHeight="1">
      <c r="A33" s="656" t="s">
        <v>58</v>
      </c>
      <c r="B33" s="42" t="s">
        <v>52</v>
      </c>
      <c r="C33" s="638"/>
      <c r="D33" s="638"/>
      <c r="E33" s="224"/>
      <c r="F33" s="227"/>
      <c r="G33" s="218"/>
      <c r="H33" s="227"/>
      <c r="I33" s="29">
        <v>14.5</v>
      </c>
      <c r="J33" s="39">
        <v>2000</v>
      </c>
      <c r="K33" s="17">
        <f t="shared" si="1"/>
        <v>137.93103448275863</v>
      </c>
      <c r="L33" s="29">
        <v>14.5</v>
      </c>
      <c r="M33" s="18">
        <f>AVERAGE(M25:M32)</f>
        <v>1921.0106565053509</v>
      </c>
      <c r="N33" s="17">
        <f t="shared" si="3"/>
        <v>132.48349355209317</v>
      </c>
      <c r="O33" s="19">
        <f t="shared" si="4"/>
        <v>0</v>
      </c>
      <c r="P33" s="20">
        <f t="shared" si="5"/>
        <v>-5.4475409306654683</v>
      </c>
      <c r="Q33" s="223">
        <f t="shared" si="6"/>
        <v>0.96050532825267532</v>
      </c>
      <c r="R33" s="637"/>
      <c r="S33" s="40"/>
      <c r="T33" s="40"/>
      <c r="U33" s="17"/>
      <c r="V33" s="226"/>
      <c r="W33" s="17"/>
      <c r="X33" s="17"/>
      <c r="Y33" s="30">
        <f>SUM(Y25:Y32)</f>
        <v>0</v>
      </c>
      <c r="Z33" s="30">
        <f>SUM(Z25:Z32)</f>
        <v>0</v>
      </c>
      <c r="AA33" s="631"/>
      <c r="AB33" s="631"/>
      <c r="AC33" s="30">
        <v>8</v>
      </c>
      <c r="AD33" s="30">
        <f>SUM(AD25:AD32)</f>
        <v>0</v>
      </c>
      <c r="AE33" s="19">
        <f t="shared" si="8"/>
        <v>-78.98934349464912</v>
      </c>
      <c r="AF33" s="223">
        <f t="shared" si="9"/>
        <v>0.96050532825267543</v>
      </c>
      <c r="AG33" s="637"/>
    </row>
    <row r="34" spans="1:33" ht="15.75" customHeight="1">
      <c r="A34" s="654" t="s">
        <v>983</v>
      </c>
      <c r="B34" s="42" t="s">
        <v>116</v>
      </c>
      <c r="C34" s="653" t="s">
        <v>117</v>
      </c>
      <c r="D34" s="653"/>
      <c r="E34" s="42">
        <v>31.29</v>
      </c>
      <c r="F34" s="227">
        <v>5900</v>
      </c>
      <c r="G34" s="218">
        <f t="shared" ref="G34:G41" si="23">E34*F34</f>
        <v>184611</v>
      </c>
      <c r="H34" s="37">
        <v>2</v>
      </c>
      <c r="I34" s="225">
        <v>18</v>
      </c>
      <c r="J34" s="39">
        <v>2400</v>
      </c>
      <c r="K34" s="17">
        <f t="shared" si="1"/>
        <v>133.33333333333334</v>
      </c>
      <c r="L34" s="225">
        <v>18</v>
      </c>
      <c r="M34" s="18">
        <f t="shared" ref="M34:M41" si="24">F34/V34*60</f>
        <v>2283.8709677419356</v>
      </c>
      <c r="N34" s="17">
        <f t="shared" si="3"/>
        <v>126.88172043010753</v>
      </c>
      <c r="O34" s="19">
        <f t="shared" si="4"/>
        <v>0</v>
      </c>
      <c r="P34" s="20">
        <f t="shared" si="5"/>
        <v>-6.4516129032258078</v>
      </c>
      <c r="Q34" s="223">
        <f t="shared" si="6"/>
        <v>0.95161290322580649</v>
      </c>
      <c r="R34" s="637">
        <f>Q42</f>
        <v>0.95555477845437209</v>
      </c>
      <c r="S34" s="40">
        <v>8.3333333333333329E-2</v>
      </c>
      <c r="T34" s="40">
        <v>0.19097222222222221</v>
      </c>
      <c r="U34" s="218"/>
      <c r="V34" s="226">
        <f t="shared" ref="V34:V41" si="25">(T34-S34)*24*60</f>
        <v>154.99999999999997</v>
      </c>
      <c r="W34" s="23">
        <f>T34</f>
        <v>0.19097222222222221</v>
      </c>
      <c r="X34" s="23">
        <f>S35</f>
        <v>0.20902777777777776</v>
      </c>
      <c r="Y34" s="23"/>
      <c r="Z34" s="23"/>
      <c r="AA34" s="632"/>
      <c r="AB34" s="632"/>
      <c r="AC34" s="25">
        <v>8</v>
      </c>
      <c r="AD34" s="25"/>
      <c r="AE34" s="19">
        <f t="shared" si="8"/>
        <v>-116.1290322580644</v>
      </c>
      <c r="AF34" s="223">
        <f t="shared" si="9"/>
        <v>0.95161290322580649</v>
      </c>
      <c r="AG34" s="637">
        <f>AF42</f>
        <v>0.95555477845437209</v>
      </c>
    </row>
    <row r="35" spans="1:33" ht="15.75" customHeight="1">
      <c r="A35" s="654" t="s">
        <v>62</v>
      </c>
      <c r="B35" s="42" t="s">
        <v>116</v>
      </c>
      <c r="C35" s="653" t="s">
        <v>118</v>
      </c>
      <c r="D35" s="653"/>
      <c r="E35" s="42">
        <v>26.37</v>
      </c>
      <c r="F35" s="227">
        <v>4200</v>
      </c>
      <c r="G35" s="218">
        <f t="shared" si="23"/>
        <v>110754</v>
      </c>
      <c r="H35" s="37">
        <v>2</v>
      </c>
      <c r="I35" s="225">
        <v>18</v>
      </c>
      <c r="J35" s="39">
        <v>2400</v>
      </c>
      <c r="K35" s="17">
        <f t="shared" si="1"/>
        <v>133.33333333333334</v>
      </c>
      <c r="L35" s="225">
        <v>18</v>
      </c>
      <c r="M35" s="18">
        <f t="shared" si="24"/>
        <v>2290.909090909091</v>
      </c>
      <c r="N35" s="17">
        <f t="shared" si="3"/>
        <v>127.27272727272728</v>
      </c>
      <c r="O35" s="19">
        <f t="shared" si="4"/>
        <v>0</v>
      </c>
      <c r="P35" s="20">
        <f t="shared" si="5"/>
        <v>-6.0606060606060623</v>
      </c>
      <c r="Q35" s="223">
        <f t="shared" si="6"/>
        <v>0.95454545454545459</v>
      </c>
      <c r="R35" s="637"/>
      <c r="S35" s="40">
        <v>0.20902777777777776</v>
      </c>
      <c r="T35" s="40">
        <v>0.28541666666666665</v>
      </c>
      <c r="U35" s="218">
        <f t="shared" ref="U35:U41" si="26">(S35-T34)*24*60</f>
        <v>25.999999999999986</v>
      </c>
      <c r="V35" s="226">
        <f t="shared" si="25"/>
        <v>110.00000000000001</v>
      </c>
      <c r="W35" s="23"/>
      <c r="X35" s="23"/>
      <c r="Y35" s="23"/>
      <c r="Z35" s="23"/>
      <c r="AA35" s="632"/>
      <c r="AB35" s="632"/>
      <c r="AC35" s="25"/>
      <c r="AD35" s="25"/>
      <c r="AE35" s="19">
        <f t="shared" si="8"/>
        <v>-109.09090909090901</v>
      </c>
      <c r="AF35" s="223">
        <f t="shared" si="9"/>
        <v>0.95454545454545459</v>
      </c>
      <c r="AG35" s="637"/>
    </row>
    <row r="36" spans="1:33" ht="15.75" customHeight="1">
      <c r="A36" s="654" t="s">
        <v>62</v>
      </c>
      <c r="B36" s="42" t="s">
        <v>116</v>
      </c>
      <c r="C36" s="653" t="s">
        <v>124</v>
      </c>
      <c r="D36" s="653"/>
      <c r="E36" s="42">
        <v>24.43</v>
      </c>
      <c r="F36" s="227">
        <v>4400</v>
      </c>
      <c r="G36" s="218">
        <f t="shared" si="23"/>
        <v>107492</v>
      </c>
      <c r="H36" s="37">
        <v>2</v>
      </c>
      <c r="I36" s="225">
        <v>14</v>
      </c>
      <c r="J36" s="39">
        <v>2400</v>
      </c>
      <c r="K36" s="17">
        <f t="shared" si="1"/>
        <v>171.42857142857142</v>
      </c>
      <c r="L36" s="225">
        <v>14</v>
      </c>
      <c r="M36" s="18">
        <f t="shared" si="24"/>
        <v>2295.652173913044</v>
      </c>
      <c r="N36" s="17">
        <f t="shared" si="3"/>
        <v>163.97515527950313</v>
      </c>
      <c r="O36" s="19">
        <f t="shared" si="4"/>
        <v>0</v>
      </c>
      <c r="P36" s="20">
        <f t="shared" si="5"/>
        <v>-7.4534161490682891</v>
      </c>
      <c r="Q36" s="223">
        <f t="shared" si="6"/>
        <v>0.95652173913043492</v>
      </c>
      <c r="R36" s="637"/>
      <c r="S36" s="40">
        <v>0.28888888888888886</v>
      </c>
      <c r="T36" s="40">
        <v>0.36874999999999997</v>
      </c>
      <c r="U36" s="218">
        <f t="shared" si="26"/>
        <v>4.9999999999999822</v>
      </c>
      <c r="V36" s="226">
        <f t="shared" si="25"/>
        <v>114.99999999999999</v>
      </c>
      <c r="W36" s="23"/>
      <c r="X36" s="23"/>
      <c r="Y36" s="23"/>
      <c r="Z36" s="23"/>
      <c r="AA36" s="632"/>
      <c r="AB36" s="632"/>
      <c r="AC36" s="25"/>
      <c r="AD36" s="25"/>
      <c r="AE36" s="19">
        <f t="shared" si="8"/>
        <v>-104.34782608695605</v>
      </c>
      <c r="AF36" s="223">
        <f t="shared" si="9"/>
        <v>0.95652173913043503</v>
      </c>
      <c r="AG36" s="637"/>
    </row>
    <row r="37" spans="1:33" ht="15.75" customHeight="1">
      <c r="A37" s="654" t="s">
        <v>62</v>
      </c>
      <c r="B37" s="42" t="s">
        <v>116</v>
      </c>
      <c r="C37" s="653" t="s">
        <v>147</v>
      </c>
      <c r="D37" s="653"/>
      <c r="E37" s="42">
        <v>25.98</v>
      </c>
      <c r="F37" s="227">
        <v>3036</v>
      </c>
      <c r="G37" s="218">
        <f t="shared" si="23"/>
        <v>78875.28</v>
      </c>
      <c r="H37" s="37" t="s">
        <v>91</v>
      </c>
      <c r="I37" s="225">
        <v>17</v>
      </c>
      <c r="J37" s="39">
        <v>2400</v>
      </c>
      <c r="K37" s="17">
        <f t="shared" si="1"/>
        <v>141.1764705882353</v>
      </c>
      <c r="L37" s="225">
        <v>17</v>
      </c>
      <c r="M37" s="18">
        <f t="shared" si="24"/>
        <v>2305.8227848101278</v>
      </c>
      <c r="N37" s="17">
        <f t="shared" si="3"/>
        <v>135.63663440059577</v>
      </c>
      <c r="O37" s="19">
        <f t="shared" si="4"/>
        <v>0</v>
      </c>
      <c r="P37" s="20">
        <f t="shared" si="5"/>
        <v>-5.539836187639537</v>
      </c>
      <c r="Q37" s="223">
        <f t="shared" si="6"/>
        <v>0.96075949367088664</v>
      </c>
      <c r="R37" s="637"/>
      <c r="S37" s="40">
        <v>0.37222222222222218</v>
      </c>
      <c r="T37" s="40">
        <v>0.42708333333333326</v>
      </c>
      <c r="U37" s="218">
        <f t="shared" si="26"/>
        <v>4.9999999999999822</v>
      </c>
      <c r="V37" s="226">
        <f t="shared" si="25"/>
        <v>78.999999999999957</v>
      </c>
      <c r="W37" s="23"/>
      <c r="X37" s="23"/>
      <c r="Y37" s="23"/>
      <c r="Z37" s="23"/>
      <c r="AA37" s="632"/>
      <c r="AB37" s="632"/>
      <c r="AC37" s="25"/>
      <c r="AD37" s="25"/>
      <c r="AE37" s="19">
        <f t="shared" si="8"/>
        <v>-94.177215189872186</v>
      </c>
      <c r="AF37" s="223">
        <f t="shared" si="9"/>
        <v>0.96075949367088664</v>
      </c>
      <c r="AG37" s="637"/>
    </row>
    <row r="38" spans="1:33" ht="15.75" customHeight="1">
      <c r="A38" s="654" t="s">
        <v>62</v>
      </c>
      <c r="B38" s="42" t="s">
        <v>116</v>
      </c>
      <c r="C38" s="653" t="s">
        <v>150</v>
      </c>
      <c r="D38" s="653"/>
      <c r="E38" s="42">
        <v>23.89</v>
      </c>
      <c r="F38" s="227">
        <v>4785</v>
      </c>
      <c r="G38" s="218">
        <f t="shared" si="23"/>
        <v>114313.65000000001</v>
      </c>
      <c r="H38" s="37" t="s">
        <v>91</v>
      </c>
      <c r="I38" s="225">
        <v>13</v>
      </c>
      <c r="J38" s="39">
        <v>2400</v>
      </c>
      <c r="K38" s="17">
        <f t="shared" si="1"/>
        <v>184.61538461538461</v>
      </c>
      <c r="L38" s="225">
        <v>13</v>
      </c>
      <c r="M38" s="18">
        <f t="shared" si="24"/>
        <v>2296.7999999999997</v>
      </c>
      <c r="N38" s="17">
        <f t="shared" si="3"/>
        <v>176.67692307692306</v>
      </c>
      <c r="O38" s="19">
        <f t="shared" si="4"/>
        <v>0</v>
      </c>
      <c r="P38" s="20">
        <f t="shared" si="5"/>
        <v>-7.9384615384615529</v>
      </c>
      <c r="Q38" s="223">
        <f t="shared" si="6"/>
        <v>0.95699999999999996</v>
      </c>
      <c r="R38" s="637"/>
      <c r="S38" s="40">
        <v>0.43055555555555547</v>
      </c>
      <c r="T38" s="40">
        <v>0.51736111111111105</v>
      </c>
      <c r="U38" s="218">
        <f t="shared" si="26"/>
        <v>4.9999999999999822</v>
      </c>
      <c r="V38" s="226">
        <f t="shared" si="25"/>
        <v>125.00000000000003</v>
      </c>
      <c r="W38" s="23">
        <f>T38</f>
        <v>0.51736111111111105</v>
      </c>
      <c r="X38" s="23">
        <f>S39</f>
        <v>0.55833333333333324</v>
      </c>
      <c r="Y38" s="23"/>
      <c r="Z38" s="23"/>
      <c r="AA38" s="632"/>
      <c r="AB38" s="632"/>
      <c r="AC38" s="25"/>
      <c r="AD38" s="25"/>
      <c r="AE38" s="19">
        <f t="shared" si="8"/>
        <v>-103.20000000000027</v>
      </c>
      <c r="AF38" s="223">
        <f t="shared" si="9"/>
        <v>0.95699999999999985</v>
      </c>
      <c r="AG38" s="637"/>
    </row>
    <row r="39" spans="1:33" ht="15.75" customHeight="1">
      <c r="A39" s="654" t="s">
        <v>62</v>
      </c>
      <c r="B39" s="42" t="s">
        <v>116</v>
      </c>
      <c r="C39" s="653" t="s">
        <v>117</v>
      </c>
      <c r="D39" s="653"/>
      <c r="E39" s="42">
        <v>31.29</v>
      </c>
      <c r="F39" s="227">
        <v>4695</v>
      </c>
      <c r="G39" s="218">
        <f t="shared" si="23"/>
        <v>146906.54999999999</v>
      </c>
      <c r="H39" s="37" t="s">
        <v>91</v>
      </c>
      <c r="I39" s="225">
        <v>18</v>
      </c>
      <c r="J39" s="39">
        <v>2400</v>
      </c>
      <c r="K39" s="17">
        <f t="shared" si="1"/>
        <v>133.33333333333334</v>
      </c>
      <c r="L39" s="225">
        <v>18</v>
      </c>
      <c r="M39" s="18">
        <f t="shared" si="24"/>
        <v>2290.2439024390237</v>
      </c>
      <c r="N39" s="17">
        <f t="shared" si="3"/>
        <v>127.23577235772353</v>
      </c>
      <c r="O39" s="19">
        <f t="shared" si="4"/>
        <v>0</v>
      </c>
      <c r="P39" s="20">
        <f t="shared" si="5"/>
        <v>-6.0975609756098095</v>
      </c>
      <c r="Q39" s="223">
        <f t="shared" si="6"/>
        <v>0.95426829268292646</v>
      </c>
      <c r="R39" s="637"/>
      <c r="S39" s="40">
        <v>0.55833333333333324</v>
      </c>
      <c r="T39" s="40">
        <v>0.64374999999999993</v>
      </c>
      <c r="U39" s="218">
        <f t="shared" si="26"/>
        <v>58.99999999999995</v>
      </c>
      <c r="V39" s="226">
        <f t="shared" si="25"/>
        <v>123.00000000000004</v>
      </c>
      <c r="W39" s="23"/>
      <c r="X39" s="23"/>
      <c r="Y39" s="23"/>
      <c r="Z39" s="23"/>
      <c r="AA39" s="632"/>
      <c r="AB39" s="632"/>
      <c r="AC39" s="25"/>
      <c r="AD39" s="25"/>
      <c r="AE39" s="19">
        <f t="shared" si="8"/>
        <v>-109.75609756097629</v>
      </c>
      <c r="AF39" s="223">
        <f t="shared" si="9"/>
        <v>0.95426829268292657</v>
      </c>
      <c r="AG39" s="637"/>
    </row>
    <row r="40" spans="1:33" ht="15.75" customHeight="1">
      <c r="A40" s="654" t="s">
        <v>62</v>
      </c>
      <c r="B40" s="42" t="s">
        <v>116</v>
      </c>
      <c r="C40" s="653" t="s">
        <v>124</v>
      </c>
      <c r="D40" s="653"/>
      <c r="E40" s="42">
        <v>24.43</v>
      </c>
      <c r="F40" s="227">
        <v>3620</v>
      </c>
      <c r="G40" s="218">
        <f t="shared" si="23"/>
        <v>88436.6</v>
      </c>
      <c r="H40" s="37" t="s">
        <v>91</v>
      </c>
      <c r="I40" s="225">
        <v>14</v>
      </c>
      <c r="J40" s="39">
        <v>2400</v>
      </c>
      <c r="K40" s="17">
        <f t="shared" si="1"/>
        <v>171.42857142857142</v>
      </c>
      <c r="L40" s="225">
        <v>14</v>
      </c>
      <c r="M40" s="18">
        <f t="shared" si="24"/>
        <v>2286.3157894736842</v>
      </c>
      <c r="N40" s="17">
        <f t="shared" si="3"/>
        <v>163.30827067669173</v>
      </c>
      <c r="O40" s="19">
        <f t="shared" si="4"/>
        <v>0</v>
      </c>
      <c r="P40" s="20">
        <f t="shared" si="5"/>
        <v>-8.1203007518796824</v>
      </c>
      <c r="Q40" s="223">
        <f t="shared" si="6"/>
        <v>0.9526315789473685</v>
      </c>
      <c r="R40" s="637"/>
      <c r="S40" s="40">
        <v>0.64791666666666659</v>
      </c>
      <c r="T40" s="40">
        <v>0.7138888888888888</v>
      </c>
      <c r="U40" s="218">
        <f t="shared" si="26"/>
        <v>5.9999999999999787</v>
      </c>
      <c r="V40" s="226">
        <f t="shared" si="25"/>
        <v>94.999999999999986</v>
      </c>
      <c r="W40" s="23"/>
      <c r="X40" s="23"/>
      <c r="Y40" s="23"/>
      <c r="Z40" s="23"/>
      <c r="AA40" s="632"/>
      <c r="AB40" s="632"/>
      <c r="AC40" s="25"/>
      <c r="AD40" s="25"/>
      <c r="AE40" s="19">
        <f t="shared" si="8"/>
        <v>-113.68421052631584</v>
      </c>
      <c r="AF40" s="223">
        <f t="shared" si="9"/>
        <v>0.95263157894736838</v>
      </c>
      <c r="AG40" s="637"/>
    </row>
    <row r="41" spans="1:33" ht="15.75" customHeight="1">
      <c r="A41" s="654" t="s">
        <v>62</v>
      </c>
      <c r="B41" s="42" t="s">
        <v>116</v>
      </c>
      <c r="C41" s="229" t="s">
        <v>118</v>
      </c>
      <c r="D41" s="230"/>
      <c r="E41" s="42">
        <v>26.37</v>
      </c>
      <c r="F41" s="227">
        <v>3101</v>
      </c>
      <c r="G41" s="218">
        <f t="shared" si="23"/>
        <v>81773.37000000001</v>
      </c>
      <c r="H41" s="37" t="s">
        <v>91</v>
      </c>
      <c r="I41" s="225">
        <v>18</v>
      </c>
      <c r="J41" s="39">
        <v>2400</v>
      </c>
      <c r="K41" s="17">
        <f t="shared" si="1"/>
        <v>133.33333333333334</v>
      </c>
      <c r="L41" s="225">
        <v>18</v>
      </c>
      <c r="M41" s="18">
        <f t="shared" si="24"/>
        <v>2297.037037037036</v>
      </c>
      <c r="N41" s="17">
        <f t="shared" si="3"/>
        <v>127.61316872427977</v>
      </c>
      <c r="O41" s="19">
        <f t="shared" si="4"/>
        <v>0</v>
      </c>
      <c r="P41" s="20">
        <f t="shared" si="5"/>
        <v>-5.7201646090535689</v>
      </c>
      <c r="Q41" s="223">
        <f t="shared" si="6"/>
        <v>0.95709876543209826</v>
      </c>
      <c r="R41" s="637"/>
      <c r="S41" s="40">
        <v>0.71736111111111101</v>
      </c>
      <c r="T41" s="40">
        <v>0.77361111111111103</v>
      </c>
      <c r="U41" s="218">
        <f t="shared" si="26"/>
        <v>4.9999999999999822</v>
      </c>
      <c r="V41" s="226">
        <f t="shared" si="25"/>
        <v>81.000000000000028</v>
      </c>
      <c r="W41" s="23"/>
      <c r="X41" s="23"/>
      <c r="Y41" s="23"/>
      <c r="Z41" s="23"/>
      <c r="AA41" s="221"/>
      <c r="AB41" s="222"/>
      <c r="AC41" s="25"/>
      <c r="AD41" s="25"/>
      <c r="AE41" s="19">
        <f t="shared" si="8"/>
        <v>-102.96296296296396</v>
      </c>
      <c r="AF41" s="223">
        <f t="shared" si="9"/>
        <v>0.95709876543209838</v>
      </c>
      <c r="AG41" s="637"/>
    </row>
    <row r="42" spans="1:33" ht="15.75" customHeight="1">
      <c r="A42" s="654" t="s">
        <v>62</v>
      </c>
      <c r="B42" s="42" t="s">
        <v>984</v>
      </c>
      <c r="C42" s="638"/>
      <c r="D42" s="638"/>
      <c r="E42" s="224"/>
      <c r="F42" s="227"/>
      <c r="G42" s="218"/>
      <c r="H42" s="227"/>
      <c r="I42" s="29">
        <v>16.25</v>
      </c>
      <c r="J42" s="39">
        <v>2400</v>
      </c>
      <c r="K42" s="17">
        <f t="shared" si="1"/>
        <v>147.69230769230768</v>
      </c>
      <c r="L42" s="29">
        <v>16.25</v>
      </c>
      <c r="M42" s="18">
        <f>AVERAGE(M34:M41)</f>
        <v>2293.3314682904929</v>
      </c>
      <c r="N42" s="17">
        <f t="shared" si="3"/>
        <v>141.12809035633802</v>
      </c>
      <c r="O42" s="19">
        <f t="shared" si="4"/>
        <v>0</v>
      </c>
      <c r="P42" s="20">
        <f t="shared" si="5"/>
        <v>-6.5642173359696585</v>
      </c>
      <c r="Q42" s="223">
        <f t="shared" si="6"/>
        <v>0.95555477845437209</v>
      </c>
      <c r="R42" s="637"/>
      <c r="S42" s="40"/>
      <c r="T42" s="40"/>
      <c r="U42" s="218"/>
      <c r="V42" s="226"/>
      <c r="W42" s="218"/>
      <c r="X42" s="218"/>
      <c r="Y42" s="30">
        <f>SUM(Y34:Y41)</f>
        <v>0</v>
      </c>
      <c r="Z42" s="30">
        <f>SUM(Z34:Z41)</f>
        <v>0</v>
      </c>
      <c r="AA42" s="631"/>
      <c r="AB42" s="631"/>
      <c r="AC42" s="30">
        <v>8</v>
      </c>
      <c r="AD42" s="30">
        <f>SUM(AD34:AD41)</f>
        <v>0</v>
      </c>
      <c r="AE42" s="19">
        <f t="shared" si="8"/>
        <v>-106.66853170950708</v>
      </c>
      <c r="AF42" s="223">
        <f t="shared" si="9"/>
        <v>0.95555477845437209</v>
      </c>
      <c r="AG42" s="637"/>
    </row>
    <row r="43" spans="1:33" ht="15.75" customHeight="1">
      <c r="A43" s="651" t="s">
        <v>66</v>
      </c>
      <c r="B43" s="42" t="s">
        <v>116</v>
      </c>
      <c r="C43" s="633" t="s">
        <v>123</v>
      </c>
      <c r="D43" s="633"/>
      <c r="E43" s="42">
        <v>26.18</v>
      </c>
      <c r="F43" s="227">
        <v>3800</v>
      </c>
      <c r="G43" s="218">
        <f t="shared" ref="G43:G50" si="27">E43*F43</f>
        <v>99484</v>
      </c>
      <c r="H43" s="37">
        <v>2</v>
      </c>
      <c r="I43" s="225">
        <v>20</v>
      </c>
      <c r="J43" s="39">
        <v>2400</v>
      </c>
      <c r="K43" s="17">
        <f t="shared" si="1"/>
        <v>120</v>
      </c>
      <c r="L43" s="225">
        <v>20</v>
      </c>
      <c r="M43" s="18">
        <f t="shared" ref="M43:M50" si="28">F43/V43*60</f>
        <v>2303.030303030303</v>
      </c>
      <c r="N43" s="17">
        <f t="shared" si="3"/>
        <v>115.15151515151516</v>
      </c>
      <c r="O43" s="19">
        <f t="shared" si="4"/>
        <v>0</v>
      </c>
      <c r="P43" s="20">
        <f t="shared" si="5"/>
        <v>-4.8484848484848442</v>
      </c>
      <c r="Q43" s="223">
        <f t="shared" si="6"/>
        <v>0.95959595959595967</v>
      </c>
      <c r="R43" s="637">
        <f>Q51</f>
        <v>0.95636916176861542</v>
      </c>
      <c r="S43" s="40">
        <v>8.3333333333333329E-2</v>
      </c>
      <c r="T43" s="40">
        <v>0.15208333333333332</v>
      </c>
      <c r="U43" s="218"/>
      <c r="V43" s="226">
        <f t="shared" ref="V43:V50" si="29">(T43-S43)*24*60</f>
        <v>99</v>
      </c>
      <c r="W43" s="28">
        <f>T43</f>
        <v>0.15208333333333332</v>
      </c>
      <c r="X43" s="28">
        <f>S44</f>
        <v>0.17013888888888887</v>
      </c>
      <c r="Y43" s="28"/>
      <c r="Z43" s="28"/>
      <c r="AA43" s="632"/>
      <c r="AB43" s="632"/>
      <c r="AC43" s="25">
        <v>8</v>
      </c>
      <c r="AD43" s="25"/>
      <c r="AE43" s="19">
        <f t="shared" si="8"/>
        <v>-96.969696969696997</v>
      </c>
      <c r="AF43" s="223">
        <f t="shared" si="9"/>
        <v>0.95959595959595956</v>
      </c>
      <c r="AG43" s="637">
        <f>AF51</f>
        <v>0.95636916176861553</v>
      </c>
    </row>
    <row r="44" spans="1:33" ht="15.75" customHeight="1">
      <c r="A44" s="651" t="s">
        <v>66</v>
      </c>
      <c r="B44" s="42" t="s">
        <v>116</v>
      </c>
      <c r="C44" s="633" t="s">
        <v>125</v>
      </c>
      <c r="D44" s="633"/>
      <c r="E44" s="42">
        <v>25.98</v>
      </c>
      <c r="F44" s="227">
        <v>3683</v>
      </c>
      <c r="G44" s="218">
        <f t="shared" si="27"/>
        <v>95684.34</v>
      </c>
      <c r="H44" s="37" t="s">
        <v>91</v>
      </c>
      <c r="I44" s="225">
        <v>20</v>
      </c>
      <c r="J44" s="39">
        <v>2400</v>
      </c>
      <c r="K44" s="17">
        <f t="shared" si="1"/>
        <v>120</v>
      </c>
      <c r="L44" s="225">
        <v>20</v>
      </c>
      <c r="M44" s="18">
        <f t="shared" si="28"/>
        <v>2301.8749999999995</v>
      </c>
      <c r="N44" s="17">
        <f t="shared" si="3"/>
        <v>115.09374999999997</v>
      </c>
      <c r="O44" s="19">
        <f t="shared" si="4"/>
        <v>0</v>
      </c>
      <c r="P44" s="20">
        <f t="shared" si="5"/>
        <v>-4.9062500000000284</v>
      </c>
      <c r="Q44" s="223">
        <f t="shared" si="6"/>
        <v>0.9591145833333331</v>
      </c>
      <c r="R44" s="637"/>
      <c r="S44" s="40">
        <v>0.17013888888888887</v>
      </c>
      <c r="T44" s="40">
        <v>0.23680555555555555</v>
      </c>
      <c r="U44" s="218">
        <f t="shared" ref="U44:U50" si="30">(S44-T43)*24*60</f>
        <v>25.999999999999986</v>
      </c>
      <c r="V44" s="226">
        <f t="shared" si="29"/>
        <v>96.000000000000014</v>
      </c>
      <c r="W44" s="218"/>
      <c r="X44" s="218"/>
      <c r="Y44" s="218"/>
      <c r="Z44" s="218"/>
      <c r="AA44" s="632"/>
      <c r="AB44" s="632"/>
      <c r="AC44" s="25"/>
      <c r="AD44" s="25"/>
      <c r="AE44" s="19">
        <f t="shared" si="8"/>
        <v>-98.125000000000455</v>
      </c>
      <c r="AF44" s="223">
        <f t="shared" si="9"/>
        <v>0.9591145833333331</v>
      </c>
      <c r="AG44" s="637"/>
    </row>
    <row r="45" spans="1:33">
      <c r="A45" s="652" t="s">
        <v>985</v>
      </c>
      <c r="B45" s="42" t="s">
        <v>116</v>
      </c>
      <c r="C45" s="633" t="s">
        <v>119</v>
      </c>
      <c r="D45" s="633"/>
      <c r="E45" s="42">
        <v>26.18</v>
      </c>
      <c r="F45" s="227">
        <v>5100</v>
      </c>
      <c r="G45" s="218">
        <f t="shared" si="27"/>
        <v>133518</v>
      </c>
      <c r="H45" s="37">
        <v>2</v>
      </c>
      <c r="I45" s="225">
        <v>18</v>
      </c>
      <c r="J45" s="39">
        <v>2400</v>
      </c>
      <c r="K45" s="17">
        <f t="shared" si="1"/>
        <v>133.33333333333334</v>
      </c>
      <c r="L45" s="225">
        <v>18</v>
      </c>
      <c r="M45" s="18">
        <f t="shared" si="28"/>
        <v>2283.5820895522379</v>
      </c>
      <c r="N45" s="17">
        <f t="shared" si="3"/>
        <v>126.865671641791</v>
      </c>
      <c r="O45" s="19">
        <f t="shared" si="4"/>
        <v>0</v>
      </c>
      <c r="P45" s="20">
        <f t="shared" si="5"/>
        <v>-6.4676616915423466</v>
      </c>
      <c r="Q45" s="223">
        <f t="shared" si="6"/>
        <v>0.95149253731343242</v>
      </c>
      <c r="R45" s="637"/>
      <c r="S45" s="40">
        <v>0.24236111111111111</v>
      </c>
      <c r="T45" s="40">
        <v>0.3354166666666667</v>
      </c>
      <c r="U45" s="218">
        <f t="shared" si="30"/>
        <v>8.0000000000000107</v>
      </c>
      <c r="V45" s="226">
        <f t="shared" si="29"/>
        <v>134.00000000000006</v>
      </c>
      <c r="W45" s="218"/>
      <c r="X45" s="218"/>
      <c r="Y45" s="218"/>
      <c r="Z45" s="218"/>
      <c r="AA45" s="632"/>
      <c r="AB45" s="632"/>
      <c r="AC45" s="25"/>
      <c r="AD45" s="25"/>
      <c r="AE45" s="19">
        <f t="shared" si="8"/>
        <v>-116.4179104477621</v>
      </c>
      <c r="AF45" s="223">
        <f t="shared" si="9"/>
        <v>0.95149253731343242</v>
      </c>
      <c r="AG45" s="637"/>
    </row>
    <row r="46" spans="1:33">
      <c r="A46" s="652" t="s">
        <v>66</v>
      </c>
      <c r="B46" s="42" t="s">
        <v>116</v>
      </c>
      <c r="C46" s="633" t="s">
        <v>121</v>
      </c>
      <c r="D46" s="633"/>
      <c r="E46" s="42">
        <v>25.99</v>
      </c>
      <c r="F46" s="227">
        <v>2400</v>
      </c>
      <c r="G46" s="218">
        <f t="shared" si="27"/>
        <v>62375.999999999993</v>
      </c>
      <c r="H46" s="37">
        <v>2</v>
      </c>
      <c r="I46" s="225">
        <v>14</v>
      </c>
      <c r="J46" s="39">
        <v>2400</v>
      </c>
      <c r="K46" s="17">
        <f t="shared" si="1"/>
        <v>171.42857142857142</v>
      </c>
      <c r="L46" s="225">
        <v>14</v>
      </c>
      <c r="M46" s="18">
        <f t="shared" si="28"/>
        <v>2285.7142857142853</v>
      </c>
      <c r="N46" s="17">
        <f t="shared" si="3"/>
        <v>163.26530612244895</v>
      </c>
      <c r="O46" s="19">
        <f t="shared" si="4"/>
        <v>0</v>
      </c>
      <c r="P46" s="20">
        <f t="shared" si="5"/>
        <v>-8.1632653061224687</v>
      </c>
      <c r="Q46" s="223">
        <f t="shared" si="6"/>
        <v>0.95238095238095222</v>
      </c>
      <c r="R46" s="637"/>
      <c r="S46" s="40">
        <v>0.34027777777777779</v>
      </c>
      <c r="T46" s="40">
        <v>0.3840277777777778</v>
      </c>
      <c r="U46" s="218">
        <f t="shared" si="30"/>
        <v>6.9999999999999751</v>
      </c>
      <c r="V46" s="226">
        <f t="shared" si="29"/>
        <v>63.000000000000014</v>
      </c>
      <c r="W46" s="23"/>
      <c r="X46" s="23"/>
      <c r="Y46" s="23"/>
      <c r="Z46" s="23"/>
      <c r="AA46" s="632"/>
      <c r="AB46" s="632"/>
      <c r="AC46" s="25"/>
      <c r="AD46" s="25"/>
      <c r="AE46" s="19">
        <f t="shared" si="8"/>
        <v>-114.28571428571468</v>
      </c>
      <c r="AF46" s="223">
        <f t="shared" si="9"/>
        <v>0.95238095238095222</v>
      </c>
      <c r="AG46" s="637"/>
    </row>
    <row r="47" spans="1:33">
      <c r="A47" s="652" t="s">
        <v>66</v>
      </c>
      <c r="B47" s="42" t="s">
        <v>116</v>
      </c>
      <c r="C47" s="633" t="s">
        <v>126</v>
      </c>
      <c r="D47" s="633"/>
      <c r="E47" s="42">
        <v>34.1</v>
      </c>
      <c r="F47" s="227">
        <v>3900</v>
      </c>
      <c r="G47" s="218">
        <f t="shared" si="27"/>
        <v>132990</v>
      </c>
      <c r="H47" s="37">
        <v>2</v>
      </c>
      <c r="I47" s="225">
        <v>17</v>
      </c>
      <c r="J47" s="39">
        <v>1600</v>
      </c>
      <c r="K47" s="17">
        <f t="shared" si="1"/>
        <v>94.117647058823536</v>
      </c>
      <c r="L47" s="225">
        <v>17</v>
      </c>
      <c r="M47" s="18">
        <f t="shared" si="28"/>
        <v>1529.411764705882</v>
      </c>
      <c r="N47" s="17">
        <f t="shared" si="3"/>
        <v>89.965397923875415</v>
      </c>
      <c r="O47" s="19">
        <f t="shared" si="4"/>
        <v>0</v>
      </c>
      <c r="P47" s="20">
        <f t="shared" si="5"/>
        <v>-4.1522491349481214</v>
      </c>
      <c r="Q47" s="223">
        <f t="shared" si="6"/>
        <v>0.95588235294117618</v>
      </c>
      <c r="R47" s="637"/>
      <c r="S47" s="40">
        <v>0.38750000000000001</v>
      </c>
      <c r="T47" s="40">
        <v>0.49375000000000002</v>
      </c>
      <c r="U47" s="218">
        <f t="shared" si="30"/>
        <v>4.9999999999999822</v>
      </c>
      <c r="V47" s="226">
        <f t="shared" si="29"/>
        <v>153.00000000000003</v>
      </c>
      <c r="W47" s="23">
        <f>T47</f>
        <v>0.49375000000000002</v>
      </c>
      <c r="X47" s="23">
        <f>S48</f>
        <v>0.53611111111111109</v>
      </c>
      <c r="Y47" s="23"/>
      <c r="Z47" s="23"/>
      <c r="AA47" s="632"/>
      <c r="AB47" s="632"/>
      <c r="AC47" s="25"/>
      <c r="AD47" s="25"/>
      <c r="AE47" s="19">
        <f t="shared" si="8"/>
        <v>-70.588235294118022</v>
      </c>
      <c r="AF47" s="223">
        <f t="shared" si="9"/>
        <v>0.95588235294117618</v>
      </c>
      <c r="AG47" s="637"/>
    </row>
    <row r="48" spans="1:33">
      <c r="A48" s="652" t="s">
        <v>66</v>
      </c>
      <c r="B48" s="42" t="s">
        <v>116</v>
      </c>
      <c r="C48" s="633" t="s">
        <v>119</v>
      </c>
      <c r="D48" s="633"/>
      <c r="E48" s="42">
        <v>26.18</v>
      </c>
      <c r="F48" s="227">
        <v>4142</v>
      </c>
      <c r="G48" s="218">
        <f t="shared" si="27"/>
        <v>108437.56</v>
      </c>
      <c r="H48" s="37" t="s">
        <v>91</v>
      </c>
      <c r="I48" s="225">
        <v>18</v>
      </c>
      <c r="J48" s="39">
        <v>2400</v>
      </c>
      <c r="K48" s="17">
        <f t="shared" si="1"/>
        <v>133.33333333333334</v>
      </c>
      <c r="L48" s="225">
        <v>18</v>
      </c>
      <c r="M48" s="18">
        <f t="shared" si="28"/>
        <v>2301.1111111111122</v>
      </c>
      <c r="N48" s="17">
        <f t="shared" si="3"/>
        <v>127.83950617283956</v>
      </c>
      <c r="O48" s="19">
        <f t="shared" si="4"/>
        <v>0</v>
      </c>
      <c r="P48" s="20">
        <f t="shared" si="5"/>
        <v>-5.4938271604937796</v>
      </c>
      <c r="Q48" s="223">
        <f t="shared" si="6"/>
        <v>0.9587962962962967</v>
      </c>
      <c r="R48" s="637"/>
      <c r="S48" s="40">
        <v>0.53611111111111109</v>
      </c>
      <c r="T48" s="40">
        <v>0.61111111111111105</v>
      </c>
      <c r="U48" s="218">
        <f t="shared" si="30"/>
        <v>60.999999999999943</v>
      </c>
      <c r="V48" s="226">
        <f t="shared" si="29"/>
        <v>107.99999999999994</v>
      </c>
      <c r="W48" s="23"/>
      <c r="X48" s="23"/>
      <c r="Y48" s="23"/>
      <c r="Z48" s="23"/>
      <c r="AA48" s="632"/>
      <c r="AB48" s="632"/>
      <c r="AC48" s="25"/>
      <c r="AD48" s="25"/>
      <c r="AE48" s="19">
        <f t="shared" si="8"/>
        <v>-98.888888888887777</v>
      </c>
      <c r="AF48" s="223">
        <f t="shared" si="9"/>
        <v>0.95879629629629681</v>
      </c>
      <c r="AG48" s="637"/>
    </row>
    <row r="49" spans="1:33">
      <c r="A49" s="652" t="s">
        <v>66</v>
      </c>
      <c r="B49" s="42" t="s">
        <v>116</v>
      </c>
      <c r="C49" s="633" t="s">
        <v>123</v>
      </c>
      <c r="D49" s="633"/>
      <c r="E49" s="42">
        <v>26.18</v>
      </c>
      <c r="F49" s="227">
        <v>3030</v>
      </c>
      <c r="G49" s="218">
        <f t="shared" si="27"/>
        <v>79325.399999999994</v>
      </c>
      <c r="H49" s="37" t="s">
        <v>91</v>
      </c>
      <c r="I49" s="225">
        <v>20</v>
      </c>
      <c r="J49" s="39">
        <v>2400</v>
      </c>
      <c r="K49" s="17">
        <f t="shared" si="1"/>
        <v>120</v>
      </c>
      <c r="L49" s="225">
        <v>20</v>
      </c>
      <c r="M49" s="18">
        <f t="shared" si="28"/>
        <v>2301.2658227848087</v>
      </c>
      <c r="N49" s="17">
        <f t="shared" si="3"/>
        <v>115.06329113924043</v>
      </c>
      <c r="O49" s="19">
        <f t="shared" si="4"/>
        <v>0</v>
      </c>
      <c r="P49" s="20">
        <f t="shared" si="5"/>
        <v>-4.9367088607595662</v>
      </c>
      <c r="Q49" s="223">
        <f t="shared" si="6"/>
        <v>0.95886075949367033</v>
      </c>
      <c r="R49" s="637"/>
      <c r="S49" s="40">
        <v>0.61666666666666659</v>
      </c>
      <c r="T49" s="40">
        <v>0.67152777777777772</v>
      </c>
      <c r="U49" s="218">
        <f t="shared" si="30"/>
        <v>7.9999999999999716</v>
      </c>
      <c r="V49" s="226">
        <f t="shared" si="29"/>
        <v>79.000000000000043</v>
      </c>
      <c r="W49" s="23"/>
      <c r="X49" s="23"/>
      <c r="Y49" s="26"/>
      <c r="Z49" s="26"/>
      <c r="AA49" s="627"/>
      <c r="AB49" s="628"/>
      <c r="AC49" s="25"/>
      <c r="AD49" s="25"/>
      <c r="AE49" s="19">
        <f t="shared" si="8"/>
        <v>-98.734177215191266</v>
      </c>
      <c r="AF49" s="223">
        <f t="shared" si="9"/>
        <v>0.95886075949367033</v>
      </c>
      <c r="AG49" s="637"/>
    </row>
    <row r="50" spans="1:33">
      <c r="A50" s="652" t="s">
        <v>985</v>
      </c>
      <c r="B50" s="42" t="s">
        <v>116</v>
      </c>
      <c r="C50" s="633" t="s">
        <v>126</v>
      </c>
      <c r="D50" s="633"/>
      <c r="E50" s="42">
        <v>34.1</v>
      </c>
      <c r="F50" s="227">
        <v>3332</v>
      </c>
      <c r="G50" s="218">
        <f t="shared" si="27"/>
        <v>113621.20000000001</v>
      </c>
      <c r="H50" s="37" t="s">
        <v>91</v>
      </c>
      <c r="I50" s="225">
        <v>17</v>
      </c>
      <c r="J50" s="39">
        <v>1600</v>
      </c>
      <c r="K50" s="17">
        <f t="shared" si="1"/>
        <v>94.117647058823536</v>
      </c>
      <c r="L50" s="225">
        <v>17</v>
      </c>
      <c r="M50" s="18">
        <f t="shared" si="28"/>
        <v>1526.1068702290077</v>
      </c>
      <c r="N50" s="17">
        <f t="shared" si="3"/>
        <v>89.770992366412216</v>
      </c>
      <c r="O50" s="19">
        <f t="shared" si="4"/>
        <v>0</v>
      </c>
      <c r="P50" s="20">
        <f t="shared" si="5"/>
        <v>-4.3466546924113203</v>
      </c>
      <c r="Q50" s="223">
        <f t="shared" si="6"/>
        <v>0.95381679389312968</v>
      </c>
      <c r="R50" s="637"/>
      <c r="S50" s="40">
        <v>0.67638888888888882</v>
      </c>
      <c r="T50" s="40">
        <v>0.76736111111111105</v>
      </c>
      <c r="U50" s="218">
        <f t="shared" si="30"/>
        <v>6.9999999999999751</v>
      </c>
      <c r="V50" s="226">
        <f t="shared" si="29"/>
        <v>131</v>
      </c>
      <c r="W50" s="23"/>
      <c r="X50" s="23"/>
      <c r="Y50" s="26"/>
      <c r="Z50" s="26"/>
      <c r="AA50" s="627"/>
      <c r="AB50" s="628"/>
      <c r="AC50" s="25"/>
      <c r="AD50" s="25"/>
      <c r="AE50" s="19">
        <f t="shared" si="8"/>
        <v>-73.893129770992346</v>
      </c>
      <c r="AF50" s="223">
        <f t="shared" si="9"/>
        <v>0.95381679389312979</v>
      </c>
      <c r="AG50" s="637"/>
    </row>
    <row r="51" spans="1:33">
      <c r="A51" s="652" t="s">
        <v>66</v>
      </c>
      <c r="B51" s="44" t="s">
        <v>52</v>
      </c>
      <c r="C51" s="638"/>
      <c r="D51" s="638"/>
      <c r="E51" s="224"/>
      <c r="F51" s="44"/>
      <c r="G51" s="17"/>
      <c r="H51" s="227"/>
      <c r="I51" s="29">
        <v>18</v>
      </c>
      <c r="J51" s="39">
        <v>2200</v>
      </c>
      <c r="K51" s="17">
        <f t="shared" si="1"/>
        <v>122.22222222222223</v>
      </c>
      <c r="L51" s="29">
        <v>18</v>
      </c>
      <c r="M51" s="18">
        <f>AVERAGE(M43:M50)</f>
        <v>2104.0121558909541</v>
      </c>
      <c r="N51" s="17">
        <f t="shared" si="3"/>
        <v>116.88956421616412</v>
      </c>
      <c r="O51" s="19">
        <f t="shared" si="4"/>
        <v>0</v>
      </c>
      <c r="P51" s="20">
        <f t="shared" si="5"/>
        <v>-5.3326580060581108</v>
      </c>
      <c r="Q51" s="223">
        <f t="shared" si="6"/>
        <v>0.95636916176861542</v>
      </c>
      <c r="R51" s="637"/>
      <c r="S51" s="40"/>
      <c r="T51" s="40"/>
      <c r="U51" s="17"/>
      <c r="V51" s="226"/>
      <c r="W51" s="17"/>
      <c r="X51" s="17"/>
      <c r="Y51" s="30">
        <f>SUM(Y43:Y50)</f>
        <v>0</v>
      </c>
      <c r="Z51" s="30">
        <f>SUM(Z43:Z50)</f>
        <v>0</v>
      </c>
      <c r="AA51" s="631"/>
      <c r="AB51" s="631"/>
      <c r="AC51" s="30">
        <v>8</v>
      </c>
      <c r="AD51" s="30">
        <f>SUM(AD43:AD50)</f>
        <v>0</v>
      </c>
      <c r="AE51" s="19">
        <f t="shared" si="8"/>
        <v>-95.987844109045909</v>
      </c>
      <c r="AF51" s="223">
        <f t="shared" si="9"/>
        <v>0.95636916176861553</v>
      </c>
      <c r="AG51" s="637"/>
    </row>
    <row r="52" spans="1:33" ht="15.75" customHeight="1">
      <c r="A52" s="648" t="s">
        <v>986</v>
      </c>
      <c r="B52" s="42" t="s">
        <v>127</v>
      </c>
      <c r="C52" s="625" t="s">
        <v>128</v>
      </c>
      <c r="D52" s="626"/>
      <c r="E52" s="42">
        <v>21.13</v>
      </c>
      <c r="F52" s="227">
        <v>6196</v>
      </c>
      <c r="G52" s="218">
        <f t="shared" ref="G52:G55" si="31">E52*F52</f>
        <v>130921.48</v>
      </c>
      <c r="H52" s="37" t="s">
        <v>91</v>
      </c>
      <c r="I52" s="225">
        <v>10</v>
      </c>
      <c r="J52" s="39">
        <v>3000</v>
      </c>
      <c r="K52" s="17">
        <f t="shared" si="1"/>
        <v>300</v>
      </c>
      <c r="L52" s="225">
        <v>10</v>
      </c>
      <c r="M52" s="18">
        <f t="shared" ref="M52:M55" si="32">F52/V52*60</f>
        <v>2859.6923076923081</v>
      </c>
      <c r="N52" s="18">
        <f t="shared" si="3"/>
        <v>285.96923076923082</v>
      </c>
      <c r="O52" s="19">
        <f t="shared" si="4"/>
        <v>0</v>
      </c>
      <c r="P52" s="20">
        <f t="shared" si="5"/>
        <v>-14.030769230769181</v>
      </c>
      <c r="Q52" s="223">
        <f t="shared" si="6"/>
        <v>0.95323076923076944</v>
      </c>
      <c r="R52" s="643">
        <f>Q56</f>
        <v>0.96952059092867882</v>
      </c>
      <c r="S52" s="40">
        <v>0.20833333333333334</v>
      </c>
      <c r="T52" s="40">
        <v>0.2986111111111111</v>
      </c>
      <c r="U52" s="28"/>
      <c r="V52" s="226">
        <f t="shared" ref="V52:V55" si="33">(T52-S52)*24*60</f>
        <v>129.99999999999997</v>
      </c>
      <c r="W52" s="23"/>
      <c r="X52" s="23"/>
      <c r="Y52" s="26"/>
      <c r="Z52" s="26"/>
      <c r="AA52" s="627"/>
      <c r="AB52" s="628"/>
      <c r="AC52" s="25">
        <v>4</v>
      </c>
      <c r="AD52" s="25"/>
      <c r="AE52" s="19">
        <f t="shared" si="8"/>
        <v>-140.30769230769192</v>
      </c>
      <c r="AF52" s="223">
        <f t="shared" si="9"/>
        <v>0.95323076923076933</v>
      </c>
      <c r="AG52" s="643">
        <f>AF56</f>
        <v>0.9695205909286787</v>
      </c>
    </row>
    <row r="53" spans="1:33" ht="15.75" customHeight="1">
      <c r="A53" s="649" t="s">
        <v>70</v>
      </c>
      <c r="B53" s="42" t="s">
        <v>127</v>
      </c>
      <c r="C53" s="625" t="s">
        <v>129</v>
      </c>
      <c r="D53" s="626"/>
      <c r="E53" s="42">
        <v>27.17</v>
      </c>
      <c r="F53" s="227">
        <v>5693</v>
      </c>
      <c r="G53" s="218">
        <f t="shared" si="31"/>
        <v>154678.81</v>
      </c>
      <c r="H53" s="37" t="s">
        <v>91</v>
      </c>
      <c r="I53" s="225">
        <v>10</v>
      </c>
      <c r="J53" s="39">
        <v>3000</v>
      </c>
      <c r="K53" s="17">
        <f t="shared" si="1"/>
        <v>300</v>
      </c>
      <c r="L53" s="225">
        <v>10</v>
      </c>
      <c r="M53" s="18">
        <f t="shared" si="32"/>
        <v>2870.4201680672277</v>
      </c>
      <c r="N53" s="18">
        <f t="shared" si="3"/>
        <v>287.04201680672276</v>
      </c>
      <c r="O53" s="19">
        <f t="shared" si="4"/>
        <v>0</v>
      </c>
      <c r="P53" s="20">
        <f t="shared" si="5"/>
        <v>-12.957983193277244</v>
      </c>
      <c r="Q53" s="223">
        <f t="shared" si="6"/>
        <v>0.95680672268907585</v>
      </c>
      <c r="R53" s="644"/>
      <c r="S53" s="40">
        <v>0.3034722222222222</v>
      </c>
      <c r="T53" s="40">
        <v>0.38611111111111107</v>
      </c>
      <c r="U53" s="218">
        <f t="shared" ref="U53:U55" si="34">(S53-T52)*24*60</f>
        <v>6.9999999999999751</v>
      </c>
      <c r="V53" s="226">
        <f t="shared" si="33"/>
        <v>118.99999999999997</v>
      </c>
      <c r="W53" s="23"/>
      <c r="X53" s="23"/>
      <c r="Y53" s="26"/>
      <c r="Z53" s="26"/>
      <c r="AA53" s="627"/>
      <c r="AB53" s="628"/>
      <c r="AC53" s="25"/>
      <c r="AD53" s="25"/>
      <c r="AE53" s="19">
        <f t="shared" si="8"/>
        <v>-129.57983193277232</v>
      </c>
      <c r="AF53" s="223">
        <f t="shared" si="9"/>
        <v>0.95680672268907585</v>
      </c>
      <c r="AG53" s="644"/>
    </row>
    <row r="54" spans="1:33" ht="15.75" customHeight="1">
      <c r="A54" s="649" t="s">
        <v>70</v>
      </c>
      <c r="B54" s="42" t="s">
        <v>127</v>
      </c>
      <c r="C54" s="625" t="s">
        <v>130</v>
      </c>
      <c r="D54" s="626"/>
      <c r="E54" s="42">
        <v>35.869999999999997</v>
      </c>
      <c r="F54" s="227">
        <v>1895</v>
      </c>
      <c r="G54" s="218">
        <f t="shared" si="31"/>
        <v>67973.649999999994</v>
      </c>
      <c r="H54" s="37" t="s">
        <v>91</v>
      </c>
      <c r="I54" s="225">
        <v>9</v>
      </c>
      <c r="J54" s="39">
        <v>3000</v>
      </c>
      <c r="K54" s="17">
        <f t="shared" si="1"/>
        <v>333.33333333333331</v>
      </c>
      <c r="L54" s="225">
        <v>9</v>
      </c>
      <c r="M54" s="18">
        <f t="shared" si="32"/>
        <v>2915.3846153846139</v>
      </c>
      <c r="N54" s="18">
        <f t="shared" si="3"/>
        <v>323.93162393162379</v>
      </c>
      <c r="O54" s="19">
        <f t="shared" si="4"/>
        <v>0</v>
      </c>
      <c r="P54" s="20">
        <f t="shared" si="5"/>
        <v>-9.4017094017095246</v>
      </c>
      <c r="Q54" s="223">
        <f t="shared" si="6"/>
        <v>0.97179487179487145</v>
      </c>
      <c r="R54" s="644"/>
      <c r="S54" s="40">
        <v>0.38958333333333328</v>
      </c>
      <c r="T54" s="40">
        <v>0.41666666666666663</v>
      </c>
      <c r="U54" s="218">
        <f t="shared" si="34"/>
        <v>4.9999999999999822</v>
      </c>
      <c r="V54" s="226">
        <f t="shared" si="33"/>
        <v>39.000000000000021</v>
      </c>
      <c r="W54" s="23"/>
      <c r="X54" s="23"/>
      <c r="Y54" s="26"/>
      <c r="Z54" s="26"/>
      <c r="AA54" s="627"/>
      <c r="AB54" s="628"/>
      <c r="AC54" s="25"/>
      <c r="AD54" s="25"/>
      <c r="AE54" s="19">
        <f t="shared" si="8"/>
        <v>-84.61538461538612</v>
      </c>
      <c r="AF54" s="223">
        <f t="shared" si="9"/>
        <v>0.97179487179487134</v>
      </c>
      <c r="AG54" s="644"/>
    </row>
    <row r="55" spans="1:33" ht="15.75" customHeight="1">
      <c r="A55" s="649" t="s">
        <v>70</v>
      </c>
      <c r="B55" s="42" t="s">
        <v>127</v>
      </c>
      <c r="C55" s="625" t="s">
        <v>131</v>
      </c>
      <c r="D55" s="626"/>
      <c r="E55" s="42">
        <v>34.35</v>
      </c>
      <c r="F55" s="227">
        <v>797</v>
      </c>
      <c r="G55" s="218">
        <f t="shared" si="31"/>
        <v>27376.95</v>
      </c>
      <c r="H55" s="37" t="s">
        <v>91</v>
      </c>
      <c r="I55" s="225">
        <v>8</v>
      </c>
      <c r="J55" s="39">
        <v>3000</v>
      </c>
      <c r="K55" s="17">
        <f t="shared" si="1"/>
        <v>375</v>
      </c>
      <c r="L55" s="225">
        <v>8</v>
      </c>
      <c r="M55" s="18">
        <f t="shared" si="32"/>
        <v>2988.7499999999964</v>
      </c>
      <c r="N55" s="18">
        <f t="shared" si="3"/>
        <v>373.59374999999955</v>
      </c>
      <c r="O55" s="19">
        <f t="shared" si="4"/>
        <v>0</v>
      </c>
      <c r="P55" s="20">
        <f t="shared" si="5"/>
        <v>-1.4062500000004547</v>
      </c>
      <c r="Q55" s="223">
        <f t="shared" si="6"/>
        <v>0.99624999999999875</v>
      </c>
      <c r="R55" s="644"/>
      <c r="S55" s="40">
        <v>0.42152777777777772</v>
      </c>
      <c r="T55" s="40">
        <v>0.43263888888888885</v>
      </c>
      <c r="U55" s="218">
        <f t="shared" si="34"/>
        <v>6.9999999999999751</v>
      </c>
      <c r="V55" s="226">
        <f t="shared" si="33"/>
        <v>16.000000000000021</v>
      </c>
      <c r="W55" s="23"/>
      <c r="X55" s="23"/>
      <c r="Y55" s="26"/>
      <c r="Z55" s="26"/>
      <c r="AA55" s="627"/>
      <c r="AB55" s="628"/>
      <c r="AC55" s="25"/>
      <c r="AD55" s="25"/>
      <c r="AE55" s="19">
        <f t="shared" si="8"/>
        <v>-11.250000000003638</v>
      </c>
      <c r="AF55" s="223">
        <f t="shared" si="9"/>
        <v>0.99624999999999875</v>
      </c>
      <c r="AG55" s="644"/>
    </row>
    <row r="56" spans="1:33" ht="15.75" customHeight="1">
      <c r="A56" s="650" t="s">
        <v>70</v>
      </c>
      <c r="B56" s="42" t="s">
        <v>52</v>
      </c>
      <c r="C56" s="629"/>
      <c r="D56" s="630"/>
      <c r="E56" s="216"/>
      <c r="F56" s="227"/>
      <c r="G56" s="218"/>
      <c r="H56" s="227"/>
      <c r="I56" s="29">
        <v>9.25</v>
      </c>
      <c r="J56" s="39">
        <v>3000</v>
      </c>
      <c r="K56" s="17">
        <f t="shared" si="1"/>
        <v>324.32432432432432</v>
      </c>
      <c r="L56" s="29">
        <v>9.25</v>
      </c>
      <c r="M56" s="18">
        <f>AVERAGE(M52:M55)</f>
        <v>2908.5617727860363</v>
      </c>
      <c r="N56" s="17">
        <f t="shared" si="3"/>
        <v>314.4391105714634</v>
      </c>
      <c r="O56" s="19">
        <f t="shared" si="4"/>
        <v>0</v>
      </c>
      <c r="P56" s="20">
        <f t="shared" si="5"/>
        <v>-9.8852137528609205</v>
      </c>
      <c r="Q56" s="223">
        <f t="shared" si="6"/>
        <v>0.96952059092867882</v>
      </c>
      <c r="R56" s="645"/>
      <c r="S56" s="40"/>
      <c r="T56" s="40"/>
      <c r="U56" s="218"/>
      <c r="V56" s="226"/>
      <c r="W56" s="23"/>
      <c r="X56" s="23"/>
      <c r="Y56" s="30">
        <f>SUM(Y52:Y55)</f>
        <v>0</v>
      </c>
      <c r="Z56" s="30">
        <f>SUM(Z52:Z55)</f>
        <v>0</v>
      </c>
      <c r="AA56" s="646"/>
      <c r="AB56" s="647"/>
      <c r="AC56" s="30">
        <v>4</v>
      </c>
      <c r="AD56" s="30">
        <f>SUM(AD52:AD55)</f>
        <v>0</v>
      </c>
      <c r="AE56" s="19">
        <f t="shared" si="8"/>
        <v>-91.438227213963728</v>
      </c>
      <c r="AF56" s="223">
        <f t="shared" si="9"/>
        <v>0.9695205909286787</v>
      </c>
      <c r="AG56" s="645"/>
    </row>
    <row r="57" spans="1:33" ht="15.75" customHeight="1">
      <c r="A57" s="641" t="s">
        <v>75</v>
      </c>
      <c r="B57" s="42" t="s">
        <v>92</v>
      </c>
      <c r="C57" s="633" t="s">
        <v>133</v>
      </c>
      <c r="D57" s="633"/>
      <c r="E57" s="42">
        <v>59.04</v>
      </c>
      <c r="F57" s="48">
        <v>1539</v>
      </c>
      <c r="G57" s="218">
        <f t="shared" ref="G57:G65" si="35">E57*F57</f>
        <v>90862.56</v>
      </c>
      <c r="H57" s="37" t="s">
        <v>91</v>
      </c>
      <c r="I57" s="225">
        <v>19</v>
      </c>
      <c r="J57" s="39">
        <v>2000</v>
      </c>
      <c r="K57" s="17">
        <f t="shared" si="1"/>
        <v>105.26315789473684</v>
      </c>
      <c r="L57" s="225">
        <v>19</v>
      </c>
      <c r="M57" s="18">
        <f t="shared" ref="M57" si="36">F57/V57*60</f>
        <v>1923.7500000000005</v>
      </c>
      <c r="N57" s="18">
        <f t="shared" si="3"/>
        <v>101.25000000000003</v>
      </c>
      <c r="O57" s="19">
        <f t="shared" si="4"/>
        <v>0</v>
      </c>
      <c r="P57" s="20">
        <f t="shared" si="5"/>
        <v>-4.013157894736807</v>
      </c>
      <c r="Q57" s="223">
        <f t="shared" si="6"/>
        <v>0.96187500000000037</v>
      </c>
      <c r="R57" s="637">
        <f>Q66</f>
        <v>0.95962604484517555</v>
      </c>
      <c r="S57" s="40">
        <v>0.20833333333333334</v>
      </c>
      <c r="T57" s="40">
        <v>0.24166666666666667</v>
      </c>
      <c r="U57" s="28"/>
      <c r="V57" s="226">
        <f t="shared" ref="V57:V65" si="37">(T57-S57)*24*60</f>
        <v>47.999999999999986</v>
      </c>
      <c r="W57" s="23"/>
      <c r="X57" s="23"/>
      <c r="Y57" s="28"/>
      <c r="Z57" s="28"/>
      <c r="AA57" s="632"/>
      <c r="AB57" s="632"/>
      <c r="AC57" s="25">
        <v>9</v>
      </c>
      <c r="AD57" s="25"/>
      <c r="AE57" s="19">
        <f t="shared" si="8"/>
        <v>-76.249999999999545</v>
      </c>
      <c r="AF57" s="223">
        <f t="shared" si="9"/>
        <v>0.96187500000000026</v>
      </c>
      <c r="AG57" s="637">
        <f>AF66</f>
        <v>0.95962604484517555</v>
      </c>
    </row>
    <row r="58" spans="1:33" ht="15.75" customHeight="1">
      <c r="A58" s="641" t="s">
        <v>75</v>
      </c>
      <c r="B58" s="42" t="s">
        <v>103</v>
      </c>
      <c r="C58" s="633" t="s">
        <v>132</v>
      </c>
      <c r="D58" s="633"/>
      <c r="E58" s="42">
        <v>51.44</v>
      </c>
      <c r="F58" s="48">
        <v>5674</v>
      </c>
      <c r="G58" s="218">
        <f t="shared" si="35"/>
        <v>291870.56</v>
      </c>
      <c r="H58" s="37" t="s">
        <v>91</v>
      </c>
      <c r="I58" s="225">
        <v>18</v>
      </c>
      <c r="J58" s="39">
        <v>2000</v>
      </c>
      <c r="K58" s="17">
        <f t="shared" si="1"/>
        <v>111.11111111111111</v>
      </c>
      <c r="L58" s="225">
        <v>18</v>
      </c>
      <c r="M58" s="18">
        <f>F58/V58*60</f>
        <v>1901.8994413407822</v>
      </c>
      <c r="N58" s="18">
        <f t="shared" si="3"/>
        <v>105.6610800744879</v>
      </c>
      <c r="O58" s="19">
        <f t="shared" si="4"/>
        <v>0</v>
      </c>
      <c r="P58" s="20">
        <f t="shared" si="5"/>
        <v>-5.4500310366232156</v>
      </c>
      <c r="Q58" s="223">
        <f t="shared" si="6"/>
        <v>0.95094972067039107</v>
      </c>
      <c r="R58" s="637"/>
      <c r="S58" s="40">
        <v>0.24583333333333335</v>
      </c>
      <c r="T58" s="40">
        <v>0.37013888888888891</v>
      </c>
      <c r="U58" s="218">
        <f t="shared" ref="U58:U65" si="38">IF(S58=TIME(17,0,0),"",(S58-T57)*24*60)</f>
        <v>6.0000000000000187</v>
      </c>
      <c r="V58" s="226">
        <f t="shared" si="37"/>
        <v>179</v>
      </c>
      <c r="W58" s="23"/>
      <c r="X58" s="23"/>
      <c r="Y58" s="23"/>
      <c r="Z58" s="23"/>
      <c r="AA58" s="632"/>
      <c r="AB58" s="632"/>
      <c r="AC58" s="25"/>
      <c r="AD58" s="25"/>
      <c r="AE58" s="19">
        <f t="shared" si="8"/>
        <v>-98.100558659217768</v>
      </c>
      <c r="AF58" s="223">
        <f t="shared" si="9"/>
        <v>0.95094972067039107</v>
      </c>
      <c r="AG58" s="637"/>
    </row>
    <row r="59" spans="1:33" ht="15.75" customHeight="1">
      <c r="A59" s="641" t="s">
        <v>987</v>
      </c>
      <c r="B59" s="42" t="s">
        <v>92</v>
      </c>
      <c r="C59" s="625" t="s">
        <v>135</v>
      </c>
      <c r="D59" s="626"/>
      <c r="E59" s="42">
        <v>51.44</v>
      </c>
      <c r="F59" s="48">
        <v>1829</v>
      </c>
      <c r="G59" s="218">
        <f t="shared" si="35"/>
        <v>94083.76</v>
      </c>
      <c r="H59" s="37" t="s">
        <v>91</v>
      </c>
      <c r="I59" s="225">
        <v>25</v>
      </c>
      <c r="J59" s="39">
        <v>2000</v>
      </c>
      <c r="K59" s="17">
        <f t="shared" si="1"/>
        <v>80</v>
      </c>
      <c r="L59" s="225">
        <v>25</v>
      </c>
      <c r="M59" s="18">
        <f t="shared" ref="M59:M65" si="39">F59/V59*60</f>
        <v>1925.2631578947382</v>
      </c>
      <c r="N59" s="18">
        <f t="shared" si="3"/>
        <v>77.010526315789534</v>
      </c>
      <c r="O59" s="19">
        <f t="shared" si="4"/>
        <v>0</v>
      </c>
      <c r="P59" s="20">
        <f t="shared" si="5"/>
        <v>-2.9894736842104663</v>
      </c>
      <c r="Q59" s="223">
        <f t="shared" si="6"/>
        <v>0.96263157894736917</v>
      </c>
      <c r="R59" s="637"/>
      <c r="S59" s="40">
        <v>0.37361111111111112</v>
      </c>
      <c r="T59" s="40">
        <v>0.41319444444444442</v>
      </c>
      <c r="U59" s="218">
        <f t="shared" si="38"/>
        <v>4.9999999999999822</v>
      </c>
      <c r="V59" s="226">
        <f t="shared" si="37"/>
        <v>56.999999999999957</v>
      </c>
      <c r="W59" s="23"/>
      <c r="X59" s="23"/>
      <c r="Y59" s="26"/>
      <c r="Z59" s="26"/>
      <c r="AA59" s="632"/>
      <c r="AB59" s="632"/>
      <c r="AC59" s="25"/>
      <c r="AD59" s="25"/>
      <c r="AE59" s="19">
        <f t="shared" si="8"/>
        <v>-74.736842105261758</v>
      </c>
      <c r="AF59" s="223">
        <f t="shared" si="9"/>
        <v>0.96263157894736917</v>
      </c>
      <c r="AG59" s="637"/>
    </row>
    <row r="60" spans="1:33" ht="15.75" customHeight="1">
      <c r="A60" s="641" t="s">
        <v>75</v>
      </c>
      <c r="B60" s="42" t="s">
        <v>96</v>
      </c>
      <c r="C60" s="219" t="s">
        <v>136</v>
      </c>
      <c r="D60" s="220"/>
      <c r="E60" s="42">
        <v>46</v>
      </c>
      <c r="F60" s="48">
        <v>1795</v>
      </c>
      <c r="G60" s="218">
        <f t="shared" si="35"/>
        <v>82570</v>
      </c>
      <c r="H60" s="37" t="s">
        <v>91</v>
      </c>
      <c r="I60" s="225">
        <v>16</v>
      </c>
      <c r="J60" s="39">
        <v>2000</v>
      </c>
      <c r="K60" s="17">
        <f t="shared" si="1"/>
        <v>125</v>
      </c>
      <c r="L60" s="225">
        <v>16</v>
      </c>
      <c r="M60" s="18">
        <f t="shared" si="39"/>
        <v>1923.2142857142871</v>
      </c>
      <c r="N60" s="18">
        <f t="shared" si="3"/>
        <v>120.20089285714295</v>
      </c>
      <c r="O60" s="19">
        <f t="shared" si="4"/>
        <v>0</v>
      </c>
      <c r="P60" s="20">
        <f t="shared" si="5"/>
        <v>-4.7991071428570535</v>
      </c>
      <c r="Q60" s="223">
        <f t="shared" si="6"/>
        <v>0.96160714285714355</v>
      </c>
      <c r="R60" s="637"/>
      <c r="S60" s="40">
        <v>0.41874999999999996</v>
      </c>
      <c r="T60" s="40">
        <v>0.45763888888888882</v>
      </c>
      <c r="U60" s="218">
        <f t="shared" si="38"/>
        <v>7.9999999999999716</v>
      </c>
      <c r="V60" s="226">
        <f t="shared" si="37"/>
        <v>55.999999999999957</v>
      </c>
      <c r="W60" s="23"/>
      <c r="X60" s="23"/>
      <c r="Y60" s="26"/>
      <c r="Z60" s="26"/>
      <c r="AA60" s="632"/>
      <c r="AB60" s="632"/>
      <c r="AC60" s="25"/>
      <c r="AD60" s="25"/>
      <c r="AE60" s="19">
        <f t="shared" si="8"/>
        <v>-76.785714285712857</v>
      </c>
      <c r="AF60" s="223">
        <f t="shared" si="9"/>
        <v>0.96160714285714355</v>
      </c>
      <c r="AG60" s="637"/>
    </row>
    <row r="61" spans="1:33" ht="15.75" customHeight="1">
      <c r="A61" s="641" t="s">
        <v>75</v>
      </c>
      <c r="B61" s="42" t="s">
        <v>96</v>
      </c>
      <c r="C61" s="219" t="s">
        <v>137</v>
      </c>
      <c r="D61" s="220"/>
      <c r="E61" s="42">
        <v>46</v>
      </c>
      <c r="F61" s="48">
        <v>1949</v>
      </c>
      <c r="G61" s="218">
        <f t="shared" si="35"/>
        <v>89654</v>
      </c>
      <c r="H61" s="37" t="s">
        <v>91</v>
      </c>
      <c r="I61" s="225">
        <v>17</v>
      </c>
      <c r="J61" s="39">
        <v>2000</v>
      </c>
      <c r="K61" s="17">
        <f t="shared" si="1"/>
        <v>117.64705882352941</v>
      </c>
      <c r="L61" s="225">
        <v>17</v>
      </c>
      <c r="M61" s="18">
        <f t="shared" si="39"/>
        <v>1917.0491803278708</v>
      </c>
      <c r="N61" s="18">
        <f t="shared" si="3"/>
        <v>112.76759884281593</v>
      </c>
      <c r="O61" s="19">
        <f t="shared" si="4"/>
        <v>0</v>
      </c>
      <c r="P61" s="20">
        <f t="shared" si="5"/>
        <v>-4.8794599807134773</v>
      </c>
      <c r="Q61" s="223">
        <f t="shared" si="6"/>
        <v>0.95852459016393543</v>
      </c>
      <c r="R61" s="637"/>
      <c r="S61" s="40">
        <v>0.46180555555555547</v>
      </c>
      <c r="T61" s="40">
        <v>0.50416666666666654</v>
      </c>
      <c r="U61" s="218">
        <f t="shared" si="38"/>
        <v>5.9999999999999787</v>
      </c>
      <c r="V61" s="226">
        <f t="shared" si="37"/>
        <v>60.999999999999943</v>
      </c>
      <c r="W61" s="23"/>
      <c r="X61" s="23"/>
      <c r="Y61" s="26"/>
      <c r="Z61" s="26"/>
      <c r="AA61" s="632"/>
      <c r="AB61" s="632"/>
      <c r="AC61" s="25"/>
      <c r="AD61" s="25"/>
      <c r="AE61" s="19">
        <f t="shared" si="8"/>
        <v>-82.950819672129228</v>
      </c>
      <c r="AF61" s="223">
        <f t="shared" si="9"/>
        <v>0.95852459016393543</v>
      </c>
      <c r="AG61" s="637"/>
    </row>
    <row r="62" spans="1:33" ht="15.75" customHeight="1">
      <c r="A62" s="641" t="s">
        <v>75</v>
      </c>
      <c r="B62" s="42" t="s">
        <v>92</v>
      </c>
      <c r="C62" s="625" t="s">
        <v>138</v>
      </c>
      <c r="D62" s="626"/>
      <c r="E62" s="42">
        <v>55.56</v>
      </c>
      <c r="F62" s="48">
        <v>2703</v>
      </c>
      <c r="G62" s="218">
        <f t="shared" si="35"/>
        <v>150178.68</v>
      </c>
      <c r="H62" s="37" t="s">
        <v>91</v>
      </c>
      <c r="I62" s="225">
        <v>17</v>
      </c>
      <c r="J62" s="39">
        <v>2000</v>
      </c>
      <c r="K62" s="17">
        <f t="shared" si="1"/>
        <v>117.64705882352941</v>
      </c>
      <c r="L62" s="225">
        <v>17</v>
      </c>
      <c r="M62" s="18">
        <f t="shared" si="39"/>
        <v>1907.9999999999995</v>
      </c>
      <c r="N62" s="18">
        <f t="shared" si="3"/>
        <v>112.23529411764703</v>
      </c>
      <c r="O62" s="19">
        <f t="shared" si="4"/>
        <v>0</v>
      </c>
      <c r="P62" s="20">
        <f t="shared" si="5"/>
        <v>-5.4117647058823763</v>
      </c>
      <c r="Q62" s="223">
        <f t="shared" si="6"/>
        <v>0.95399999999999985</v>
      </c>
      <c r="R62" s="637"/>
      <c r="S62" s="40">
        <v>0.70833333333333337</v>
      </c>
      <c r="T62" s="40">
        <v>0.76736111111111116</v>
      </c>
      <c r="U62" s="218" t="str">
        <f t="shared" si="38"/>
        <v/>
      </c>
      <c r="V62" s="226">
        <f t="shared" si="37"/>
        <v>85.000000000000014</v>
      </c>
      <c r="W62" s="23"/>
      <c r="X62" s="23"/>
      <c r="Y62" s="26"/>
      <c r="Z62" s="26"/>
      <c r="AA62" s="627"/>
      <c r="AB62" s="628"/>
      <c r="AC62" s="25"/>
      <c r="AD62" s="25"/>
      <c r="AE62" s="19">
        <f t="shared" si="8"/>
        <v>-92.000000000000455</v>
      </c>
      <c r="AF62" s="223">
        <f t="shared" si="9"/>
        <v>0.95399999999999974</v>
      </c>
      <c r="AG62" s="637"/>
    </row>
    <row r="63" spans="1:33" ht="15.75" customHeight="1">
      <c r="A63" s="641" t="s">
        <v>75</v>
      </c>
      <c r="B63" s="42" t="s">
        <v>92</v>
      </c>
      <c r="C63" s="625" t="s">
        <v>420</v>
      </c>
      <c r="D63" s="626"/>
      <c r="E63" s="42">
        <v>58.17</v>
      </c>
      <c r="F63" s="48">
        <v>1000</v>
      </c>
      <c r="G63" s="218">
        <f t="shared" si="35"/>
        <v>58170</v>
      </c>
      <c r="H63" s="37">
        <v>2</v>
      </c>
      <c r="I63" s="225">
        <v>13</v>
      </c>
      <c r="J63" s="39">
        <v>2000</v>
      </c>
      <c r="K63" s="17">
        <f t="shared" si="1"/>
        <v>153.84615384615384</v>
      </c>
      <c r="L63" s="225">
        <v>13</v>
      </c>
      <c r="M63" s="18">
        <f t="shared" si="39"/>
        <v>1935.483870967739</v>
      </c>
      <c r="N63" s="18">
        <f t="shared" si="3"/>
        <v>148.88337468982607</v>
      </c>
      <c r="O63" s="19">
        <f t="shared" si="4"/>
        <v>0</v>
      </c>
      <c r="P63" s="20">
        <f t="shared" si="5"/>
        <v>-4.9627791563277697</v>
      </c>
      <c r="Q63" s="223">
        <f t="shared" si="6"/>
        <v>0.96774193548386944</v>
      </c>
      <c r="R63" s="637"/>
      <c r="S63" s="40">
        <v>0.77152777777777781</v>
      </c>
      <c r="T63" s="40">
        <v>0.79305555555555562</v>
      </c>
      <c r="U63" s="218">
        <f t="shared" si="38"/>
        <v>5.9999999999999787</v>
      </c>
      <c r="V63" s="226">
        <f t="shared" si="37"/>
        <v>31.00000000000005</v>
      </c>
      <c r="W63" s="23"/>
      <c r="X63" s="23"/>
      <c r="Y63" s="26"/>
      <c r="Z63" s="26"/>
      <c r="AA63" s="627"/>
      <c r="AB63" s="628"/>
      <c r="AC63" s="25"/>
      <c r="AD63" s="25"/>
      <c r="AE63" s="19">
        <f t="shared" si="8"/>
        <v>-64.516129032261006</v>
      </c>
      <c r="AF63" s="223">
        <f t="shared" si="9"/>
        <v>0.96774193548386944</v>
      </c>
      <c r="AG63" s="637"/>
    </row>
    <row r="64" spans="1:33" ht="15.75" customHeight="1">
      <c r="A64" s="641" t="s">
        <v>987</v>
      </c>
      <c r="B64" s="42" t="s">
        <v>92</v>
      </c>
      <c r="C64" s="625" t="s">
        <v>114</v>
      </c>
      <c r="D64" s="626"/>
      <c r="E64" s="42">
        <v>54.09</v>
      </c>
      <c r="F64" s="48">
        <v>1000</v>
      </c>
      <c r="G64" s="218">
        <f t="shared" si="35"/>
        <v>54090</v>
      </c>
      <c r="H64" s="37">
        <v>2</v>
      </c>
      <c r="I64" s="225">
        <v>18</v>
      </c>
      <c r="J64" s="39">
        <v>2000</v>
      </c>
      <c r="K64" s="17">
        <f t="shared" si="1"/>
        <v>111.11111111111111</v>
      </c>
      <c r="L64" s="225">
        <v>18</v>
      </c>
      <c r="M64" s="18">
        <f t="shared" si="39"/>
        <v>1935.483870967739</v>
      </c>
      <c r="N64" s="18">
        <f t="shared" si="3"/>
        <v>107.52688172042994</v>
      </c>
      <c r="O64" s="19">
        <f t="shared" si="4"/>
        <v>0</v>
      </c>
      <c r="P64" s="20">
        <f t="shared" si="5"/>
        <v>-3.5842293906811733</v>
      </c>
      <c r="Q64" s="223">
        <f t="shared" si="6"/>
        <v>0.96774193548386944</v>
      </c>
      <c r="R64" s="637"/>
      <c r="S64" s="40">
        <v>0.79722222222222228</v>
      </c>
      <c r="T64" s="40">
        <v>0.81875000000000009</v>
      </c>
      <c r="U64" s="218">
        <f t="shared" si="38"/>
        <v>5.9999999999999787</v>
      </c>
      <c r="V64" s="226">
        <f t="shared" si="37"/>
        <v>31.00000000000005</v>
      </c>
      <c r="W64" s="23">
        <f>T64</f>
        <v>0.81875000000000009</v>
      </c>
      <c r="X64" s="23">
        <f>S65</f>
        <v>0.85902777777777783</v>
      </c>
      <c r="Y64" s="26"/>
      <c r="Z64" s="26"/>
      <c r="AA64" s="627"/>
      <c r="AB64" s="628"/>
      <c r="AC64" s="25"/>
      <c r="AD64" s="25"/>
      <c r="AE64" s="19">
        <f t="shared" si="8"/>
        <v>-64.516129032261006</v>
      </c>
      <c r="AF64" s="223">
        <f t="shared" si="9"/>
        <v>0.96774193548386944</v>
      </c>
      <c r="AG64" s="637"/>
    </row>
    <row r="65" spans="1:33">
      <c r="A65" s="641" t="s">
        <v>987</v>
      </c>
      <c r="B65" s="42" t="s">
        <v>92</v>
      </c>
      <c r="C65" s="219" t="s">
        <v>420</v>
      </c>
      <c r="D65" s="220"/>
      <c r="E65" s="42">
        <v>58.17</v>
      </c>
      <c r="F65" s="48">
        <v>2030</v>
      </c>
      <c r="G65" s="218">
        <f t="shared" si="35"/>
        <v>118085.1</v>
      </c>
      <c r="H65" s="37" t="s">
        <v>91</v>
      </c>
      <c r="I65" s="225">
        <v>13</v>
      </c>
      <c r="J65" s="39">
        <v>2000</v>
      </c>
      <c r="K65" s="17">
        <f t="shared" si="1"/>
        <v>153.84615384615384</v>
      </c>
      <c r="L65" s="225">
        <v>13</v>
      </c>
      <c r="M65" s="18">
        <f t="shared" si="39"/>
        <v>1903.125000000002</v>
      </c>
      <c r="N65" s="18">
        <f t="shared" si="3"/>
        <v>146.39423076923092</v>
      </c>
      <c r="O65" s="19">
        <f t="shared" si="4"/>
        <v>0</v>
      </c>
      <c r="P65" s="20">
        <f t="shared" si="5"/>
        <v>-7.4519230769229239</v>
      </c>
      <c r="Q65" s="223">
        <f t="shared" si="6"/>
        <v>0.95156250000000098</v>
      </c>
      <c r="R65" s="637"/>
      <c r="S65" s="40">
        <v>0.85902777777777783</v>
      </c>
      <c r="T65" s="40">
        <v>0.90347222222222223</v>
      </c>
      <c r="U65" s="218">
        <f t="shared" si="38"/>
        <v>57.999999999999957</v>
      </c>
      <c r="V65" s="226">
        <f t="shared" si="37"/>
        <v>63.999999999999929</v>
      </c>
      <c r="W65" s="23"/>
      <c r="X65" s="23"/>
      <c r="Y65" s="26"/>
      <c r="Z65" s="26"/>
      <c r="AA65" s="221"/>
      <c r="AB65" s="222"/>
      <c r="AC65" s="25"/>
      <c r="AD65" s="25"/>
      <c r="AE65" s="19">
        <f t="shared" si="8"/>
        <v>-96.874999999997954</v>
      </c>
      <c r="AF65" s="223">
        <f t="shared" si="9"/>
        <v>0.95156250000000098</v>
      </c>
      <c r="AG65" s="637"/>
    </row>
    <row r="66" spans="1:33">
      <c r="A66" s="642" t="s">
        <v>75</v>
      </c>
      <c r="B66" s="42" t="s">
        <v>984</v>
      </c>
      <c r="C66" s="638"/>
      <c r="D66" s="638"/>
      <c r="E66" s="224"/>
      <c r="F66" s="44"/>
      <c r="G66" s="17"/>
      <c r="H66" s="227"/>
      <c r="I66" s="29">
        <v>17.333333333333332</v>
      </c>
      <c r="J66" s="39">
        <v>2000</v>
      </c>
      <c r="K66" s="17">
        <f t="shared" si="1"/>
        <v>115.38461538461539</v>
      </c>
      <c r="L66" s="29">
        <v>17.333333333333332</v>
      </c>
      <c r="M66" s="18">
        <f>AVERAGE(M57:M65)</f>
        <v>1919.2520896903511</v>
      </c>
      <c r="N66" s="17">
        <f t="shared" si="3"/>
        <v>110.72608209752026</v>
      </c>
      <c r="O66" s="19">
        <f t="shared" si="4"/>
        <v>0</v>
      </c>
      <c r="P66" s="20">
        <f t="shared" si="5"/>
        <v>-4.6585332870951248</v>
      </c>
      <c r="Q66" s="223">
        <f t="shared" si="6"/>
        <v>0.95962604484517555</v>
      </c>
      <c r="R66" s="637"/>
      <c r="S66" s="40"/>
      <c r="T66" s="40"/>
      <c r="U66" s="218"/>
      <c r="V66" s="226"/>
      <c r="W66" s="17"/>
      <c r="X66" s="17"/>
      <c r="Y66" s="30">
        <f>SUM(Y57:Y65)</f>
        <v>0</v>
      </c>
      <c r="Z66" s="30">
        <f>SUM(Z57:Z65)</f>
        <v>0</v>
      </c>
      <c r="AA66" s="631"/>
      <c r="AB66" s="631"/>
      <c r="AC66" s="30">
        <v>9</v>
      </c>
      <c r="AD66" s="30">
        <f>SUM(AD57:AD65)</f>
        <v>0</v>
      </c>
      <c r="AE66" s="19">
        <f>M66-J66</f>
        <v>-80.747910309648887</v>
      </c>
      <c r="AF66" s="223">
        <f t="shared" si="9"/>
        <v>0.95962604484517555</v>
      </c>
      <c r="AG66" s="637"/>
    </row>
    <row r="67" spans="1:33" ht="15.75" customHeight="1">
      <c r="A67" s="639" t="s">
        <v>83</v>
      </c>
      <c r="B67" s="227" t="s">
        <v>127</v>
      </c>
      <c r="C67" s="633" t="s">
        <v>141</v>
      </c>
      <c r="D67" s="633"/>
      <c r="E67" s="42">
        <v>35.119999999999997</v>
      </c>
      <c r="F67" s="48">
        <v>4805</v>
      </c>
      <c r="G67" s="218">
        <f t="shared" ref="G67:G70" si="40">E67*F67</f>
        <v>168751.59999999998</v>
      </c>
      <c r="H67" s="37" t="s">
        <v>91</v>
      </c>
      <c r="I67" s="225">
        <v>10</v>
      </c>
      <c r="J67" s="39">
        <v>3000</v>
      </c>
      <c r="K67" s="17">
        <f t="shared" si="1"/>
        <v>300</v>
      </c>
      <c r="L67" s="225">
        <v>10</v>
      </c>
      <c r="M67" s="18">
        <f t="shared" ref="M67:M70" si="41">F67/V67*60</f>
        <v>2854.4554455445545</v>
      </c>
      <c r="N67" s="17">
        <f t="shared" si="3"/>
        <v>285.44554455445547</v>
      </c>
      <c r="O67" s="19">
        <f t="shared" si="4"/>
        <v>0</v>
      </c>
      <c r="P67" s="20">
        <f t="shared" si="5"/>
        <v>-14.554455445544534</v>
      </c>
      <c r="Q67" s="223">
        <f t="shared" si="6"/>
        <v>0.95148514851485155</v>
      </c>
      <c r="R67" s="637">
        <f>Q71</f>
        <v>0.95720018733622125</v>
      </c>
      <c r="S67" s="40">
        <v>0.20833333333333334</v>
      </c>
      <c r="T67" s="40">
        <v>0.27847222222222223</v>
      </c>
      <c r="U67" s="218"/>
      <c r="V67" s="226">
        <f t="shared" ref="V67:V70" si="42">(T67-S67)*24*60</f>
        <v>101</v>
      </c>
      <c r="W67" s="23"/>
      <c r="X67" s="23"/>
      <c r="Y67" s="28"/>
      <c r="Z67" s="28"/>
      <c r="AA67" s="632"/>
      <c r="AB67" s="632"/>
      <c r="AC67" s="25">
        <v>4</v>
      </c>
      <c r="AD67" s="25"/>
      <c r="AE67" s="19">
        <f t="shared" ref="AE67:AE81" si="43">M67-J67</f>
        <v>-145.54455445544545</v>
      </c>
      <c r="AF67" s="223">
        <f t="shared" si="9"/>
        <v>0.95148514851485155</v>
      </c>
      <c r="AG67" s="637">
        <f>AF71</f>
        <v>0.95720018733622136</v>
      </c>
    </row>
    <row r="68" spans="1:33" ht="15.75" customHeight="1">
      <c r="A68" s="639" t="s">
        <v>83</v>
      </c>
      <c r="B68" s="227" t="s">
        <v>127</v>
      </c>
      <c r="C68" s="633" t="s">
        <v>142</v>
      </c>
      <c r="D68" s="633"/>
      <c r="E68" s="42">
        <v>26.78</v>
      </c>
      <c r="F68" s="48">
        <v>2745</v>
      </c>
      <c r="G68" s="218">
        <f t="shared" si="40"/>
        <v>73511.100000000006</v>
      </c>
      <c r="H68" s="37" t="s">
        <v>91</v>
      </c>
      <c r="I68" s="225">
        <v>10</v>
      </c>
      <c r="J68" s="39">
        <v>3000</v>
      </c>
      <c r="K68" s="17">
        <f t="shared" si="1"/>
        <v>300</v>
      </c>
      <c r="L68" s="225">
        <v>10</v>
      </c>
      <c r="M68" s="18">
        <f t="shared" si="41"/>
        <v>2889.4736842105285</v>
      </c>
      <c r="N68" s="17">
        <f t="shared" si="3"/>
        <v>288.94736842105283</v>
      </c>
      <c r="O68" s="19">
        <f t="shared" si="4"/>
        <v>0</v>
      </c>
      <c r="P68" s="20">
        <f t="shared" si="5"/>
        <v>-11.052631578947171</v>
      </c>
      <c r="Q68" s="223">
        <f t="shared" si="6"/>
        <v>0.96315789473684277</v>
      </c>
      <c r="R68" s="637"/>
      <c r="S68" s="40">
        <v>0.28402777777777777</v>
      </c>
      <c r="T68" s="40">
        <v>0.32361111111111107</v>
      </c>
      <c r="U68" s="218">
        <f t="shared" ref="U68:U70" si="44">(S68-T67)*24*60</f>
        <v>7.9999999999999716</v>
      </c>
      <c r="V68" s="226">
        <f t="shared" si="42"/>
        <v>56.999999999999957</v>
      </c>
      <c r="W68" s="218"/>
      <c r="X68" s="218"/>
      <c r="Y68" s="218"/>
      <c r="Z68" s="218"/>
      <c r="AA68" s="632"/>
      <c r="AB68" s="632"/>
      <c r="AC68" s="25"/>
      <c r="AD68" s="25"/>
      <c r="AE68" s="19">
        <f t="shared" si="43"/>
        <v>-110.52631578947148</v>
      </c>
      <c r="AF68" s="223">
        <f t="shared" si="9"/>
        <v>0.96315789473684288</v>
      </c>
      <c r="AG68" s="637"/>
    </row>
    <row r="69" spans="1:33" ht="15.75" customHeight="1">
      <c r="A69" s="639" t="s">
        <v>83</v>
      </c>
      <c r="B69" s="227" t="s">
        <v>127</v>
      </c>
      <c r="C69" s="633" t="s">
        <v>143</v>
      </c>
      <c r="D69" s="633"/>
      <c r="E69" s="42">
        <v>36.14</v>
      </c>
      <c r="F69" s="48">
        <v>1491</v>
      </c>
      <c r="G69" s="218">
        <f t="shared" si="40"/>
        <v>53884.74</v>
      </c>
      <c r="H69" s="37" t="s">
        <v>91</v>
      </c>
      <c r="I69" s="225">
        <v>11</v>
      </c>
      <c r="J69" s="39">
        <v>3000</v>
      </c>
      <c r="K69" s="17">
        <f t="shared" ref="K69:K81" si="45">J69/I69</f>
        <v>272.72727272727275</v>
      </c>
      <c r="L69" s="225">
        <v>11</v>
      </c>
      <c r="M69" s="18">
        <f t="shared" si="41"/>
        <v>2885.8064516129061</v>
      </c>
      <c r="N69" s="17">
        <f t="shared" ref="N69:N81" si="46">M69/L69</f>
        <v>262.34604105571873</v>
      </c>
      <c r="O69" s="19">
        <f t="shared" ref="O69:O81" si="47">L69-I69</f>
        <v>0</v>
      </c>
      <c r="P69" s="20">
        <f t="shared" ref="P69:P81" si="48">N69-K69</f>
        <v>-10.381231671554019</v>
      </c>
      <c r="Q69" s="223">
        <f t="shared" ref="Q69:Q81" si="49">N69/K69</f>
        <v>0.96193548387096861</v>
      </c>
      <c r="R69" s="637"/>
      <c r="S69" s="40">
        <v>0.32708333333333328</v>
      </c>
      <c r="T69" s="40">
        <v>0.34861111111111104</v>
      </c>
      <c r="U69" s="218">
        <f t="shared" si="44"/>
        <v>4.9999999999999822</v>
      </c>
      <c r="V69" s="226">
        <f t="shared" si="42"/>
        <v>30.999999999999972</v>
      </c>
      <c r="W69" s="218"/>
      <c r="X69" s="218"/>
      <c r="Y69" s="218"/>
      <c r="Z69" s="218"/>
      <c r="AA69" s="632"/>
      <c r="AB69" s="632"/>
      <c r="AC69" s="25"/>
      <c r="AD69" s="25"/>
      <c r="AE69" s="19">
        <f t="shared" si="43"/>
        <v>-114.19354838709387</v>
      </c>
      <c r="AF69" s="223">
        <f t="shared" ref="AF69:AF81" si="50">M69/J69</f>
        <v>0.96193548387096872</v>
      </c>
      <c r="AG69" s="637"/>
    </row>
    <row r="70" spans="1:33" ht="15.75" customHeight="1">
      <c r="A70" s="639" t="s">
        <v>83</v>
      </c>
      <c r="B70" s="227" t="s">
        <v>127</v>
      </c>
      <c r="C70" s="633" t="s">
        <v>144</v>
      </c>
      <c r="D70" s="633"/>
      <c r="E70" s="42">
        <v>35.869999999999997</v>
      </c>
      <c r="F70" s="48">
        <v>5142</v>
      </c>
      <c r="G70" s="218">
        <f t="shared" si="40"/>
        <v>184443.53999999998</v>
      </c>
      <c r="H70" s="37" t="s">
        <v>91</v>
      </c>
      <c r="I70" s="225">
        <v>10</v>
      </c>
      <c r="J70" s="39">
        <v>3000</v>
      </c>
      <c r="K70" s="17">
        <f t="shared" si="45"/>
        <v>300</v>
      </c>
      <c r="L70" s="225">
        <v>10</v>
      </c>
      <c r="M70" s="18">
        <f t="shared" si="41"/>
        <v>2856.6666666666665</v>
      </c>
      <c r="N70" s="17">
        <f t="shared" si="46"/>
        <v>285.66666666666663</v>
      </c>
      <c r="O70" s="19">
        <f t="shared" si="47"/>
        <v>0</v>
      </c>
      <c r="P70" s="20">
        <f t="shared" si="48"/>
        <v>-14.333333333333371</v>
      </c>
      <c r="Q70" s="223">
        <f t="shared" si="49"/>
        <v>0.95222222222222208</v>
      </c>
      <c r="R70" s="637"/>
      <c r="S70" s="40">
        <v>0.35347222222222213</v>
      </c>
      <c r="T70" s="40">
        <v>0.42847222222222214</v>
      </c>
      <c r="U70" s="218">
        <f t="shared" si="44"/>
        <v>6.9999999999999751</v>
      </c>
      <c r="V70" s="226">
        <f t="shared" si="42"/>
        <v>108.00000000000001</v>
      </c>
      <c r="W70" s="218"/>
      <c r="X70" s="218"/>
      <c r="Y70" s="218"/>
      <c r="Z70" s="218"/>
      <c r="AA70" s="632"/>
      <c r="AB70" s="632"/>
      <c r="AC70" s="25"/>
      <c r="AD70" s="25"/>
      <c r="AE70" s="19">
        <f t="shared" si="43"/>
        <v>-143.33333333333348</v>
      </c>
      <c r="AF70" s="223">
        <f t="shared" si="50"/>
        <v>0.95222222222222219</v>
      </c>
      <c r="AG70" s="637"/>
    </row>
    <row r="71" spans="1:33">
      <c r="A71" s="640" t="s">
        <v>83</v>
      </c>
      <c r="B71" s="42" t="s">
        <v>52</v>
      </c>
      <c r="C71" s="638"/>
      <c r="D71" s="638"/>
      <c r="E71" s="224"/>
      <c r="F71" s="44"/>
      <c r="G71" s="17"/>
      <c r="H71" s="227"/>
      <c r="I71" s="29">
        <v>10.25</v>
      </c>
      <c r="J71" s="39">
        <v>3000</v>
      </c>
      <c r="K71" s="17">
        <f t="shared" si="45"/>
        <v>292.6829268292683</v>
      </c>
      <c r="L71" s="29">
        <v>10.25</v>
      </c>
      <c r="M71" s="18">
        <f>AVERAGE(M67:M70)</f>
        <v>2871.6005620086639</v>
      </c>
      <c r="N71" s="17">
        <f t="shared" si="46"/>
        <v>280.15615239108917</v>
      </c>
      <c r="O71" s="19">
        <f t="shared" si="47"/>
        <v>0</v>
      </c>
      <c r="P71" s="20">
        <f t="shared" si="48"/>
        <v>-12.526774438179132</v>
      </c>
      <c r="Q71" s="223">
        <f t="shared" si="49"/>
        <v>0.95720018733622125</v>
      </c>
      <c r="R71" s="637"/>
      <c r="S71" s="40"/>
      <c r="T71" s="40"/>
      <c r="U71" s="17"/>
      <c r="V71" s="226"/>
      <c r="W71" s="17"/>
      <c r="X71" s="17"/>
      <c r="Y71" s="30">
        <f>SUM(Y67:Y70)</f>
        <v>0</v>
      </c>
      <c r="Z71" s="30">
        <f>SUM(Z67:Z70)</f>
        <v>0</v>
      </c>
      <c r="AA71" s="631"/>
      <c r="AB71" s="631"/>
      <c r="AC71" s="30">
        <v>4</v>
      </c>
      <c r="AD71" s="30">
        <f>SUM(AD67:AD70)</f>
        <v>0</v>
      </c>
      <c r="AE71" s="19">
        <f t="shared" si="43"/>
        <v>-128.39943799133607</v>
      </c>
      <c r="AF71" s="223">
        <f t="shared" si="50"/>
        <v>0.95720018733622136</v>
      </c>
      <c r="AG71" s="637"/>
    </row>
    <row r="72" spans="1:33" ht="15.75" customHeight="1">
      <c r="A72" s="634" t="s">
        <v>86</v>
      </c>
      <c r="B72" s="227" t="s">
        <v>116</v>
      </c>
      <c r="C72" s="633" t="s">
        <v>145</v>
      </c>
      <c r="D72" s="633"/>
      <c r="E72" s="42">
        <v>19.02</v>
      </c>
      <c r="F72" s="227">
        <v>6300</v>
      </c>
      <c r="G72" s="218">
        <f t="shared" ref="G72:G80" si="51">E72*F72</f>
        <v>119826</v>
      </c>
      <c r="H72" s="37">
        <v>2</v>
      </c>
      <c r="I72" s="225">
        <v>14</v>
      </c>
      <c r="J72" s="39">
        <v>2400</v>
      </c>
      <c r="K72" s="17">
        <f t="shared" si="45"/>
        <v>171.42857142857142</v>
      </c>
      <c r="L72" s="225">
        <v>14</v>
      </c>
      <c r="M72" s="18">
        <f t="shared" ref="M72:M80" si="52">F72/V72*60</f>
        <v>2290.909090909091</v>
      </c>
      <c r="N72" s="17">
        <f t="shared" si="46"/>
        <v>163.63636363636365</v>
      </c>
      <c r="O72" s="19">
        <f t="shared" si="47"/>
        <v>0</v>
      </c>
      <c r="P72" s="20">
        <f t="shared" si="48"/>
        <v>-7.7922077922077619</v>
      </c>
      <c r="Q72" s="223">
        <f t="shared" si="49"/>
        <v>0.9545454545454547</v>
      </c>
      <c r="R72" s="637">
        <f>Q81</f>
        <v>0.95623708931971108</v>
      </c>
      <c r="S72" s="40">
        <v>8.3333333333333329E-2</v>
      </c>
      <c r="T72" s="40">
        <v>0.19791666666666666</v>
      </c>
      <c r="U72" s="28"/>
      <c r="V72" s="226">
        <f t="shared" ref="V72:V80" si="53">(T72-S72)*24*60</f>
        <v>165</v>
      </c>
      <c r="W72" s="23">
        <f>T72</f>
        <v>0.19791666666666666</v>
      </c>
      <c r="X72" s="23">
        <f>S73</f>
        <v>0.2159722222222222</v>
      </c>
      <c r="Y72" s="23"/>
      <c r="Z72" s="23"/>
      <c r="AA72" s="632"/>
      <c r="AB72" s="632"/>
      <c r="AC72" s="25">
        <v>9</v>
      </c>
      <c r="AD72" s="25"/>
      <c r="AE72" s="19">
        <f t="shared" si="43"/>
        <v>-109.09090909090901</v>
      </c>
      <c r="AF72" s="223">
        <f t="shared" si="50"/>
        <v>0.95454545454545459</v>
      </c>
      <c r="AG72" s="637">
        <f>AF81</f>
        <v>0.95623708931971119</v>
      </c>
    </row>
    <row r="73" spans="1:33" ht="15.75" customHeight="1">
      <c r="A73" s="635" t="s">
        <v>86</v>
      </c>
      <c r="B73" s="227" t="s">
        <v>116</v>
      </c>
      <c r="C73" s="633" t="s">
        <v>146</v>
      </c>
      <c r="D73" s="633"/>
      <c r="E73" s="42">
        <v>20.36</v>
      </c>
      <c r="F73" s="227">
        <v>4784</v>
      </c>
      <c r="G73" s="218">
        <f t="shared" si="51"/>
        <v>97402.239999999991</v>
      </c>
      <c r="H73" s="37" t="s">
        <v>91</v>
      </c>
      <c r="I73" s="225">
        <v>17</v>
      </c>
      <c r="J73" s="39">
        <v>2400</v>
      </c>
      <c r="K73" s="17">
        <f t="shared" si="45"/>
        <v>141.1764705882353</v>
      </c>
      <c r="L73" s="225">
        <v>17</v>
      </c>
      <c r="M73" s="18">
        <f t="shared" si="52"/>
        <v>2296.3200000000002</v>
      </c>
      <c r="N73" s="17">
        <f t="shared" si="46"/>
        <v>135.07764705882354</v>
      </c>
      <c r="O73" s="19">
        <f t="shared" si="47"/>
        <v>0</v>
      </c>
      <c r="P73" s="20">
        <f t="shared" si="48"/>
        <v>-6.0988235294117601</v>
      </c>
      <c r="Q73" s="223">
        <f t="shared" si="49"/>
        <v>0.95679999999999998</v>
      </c>
      <c r="R73" s="637"/>
      <c r="S73" s="40">
        <v>0.2159722222222222</v>
      </c>
      <c r="T73" s="40">
        <v>0.30277777777777776</v>
      </c>
      <c r="U73" s="218">
        <f t="shared" ref="U73:U80" si="54">(S73-T72)*24*60</f>
        <v>25.999999999999986</v>
      </c>
      <c r="V73" s="226">
        <f t="shared" si="53"/>
        <v>124.99999999999999</v>
      </c>
      <c r="W73" s="23"/>
      <c r="X73" s="23"/>
      <c r="Y73" s="23"/>
      <c r="Z73" s="23"/>
      <c r="AA73" s="632"/>
      <c r="AB73" s="632"/>
      <c r="AC73" s="25"/>
      <c r="AD73" s="25"/>
      <c r="AE73" s="19">
        <f t="shared" si="43"/>
        <v>-103.67999999999984</v>
      </c>
      <c r="AF73" s="223">
        <f t="shared" si="50"/>
        <v>0.95680000000000009</v>
      </c>
      <c r="AG73" s="637"/>
    </row>
    <row r="74" spans="1:33" ht="15.75" customHeight="1">
      <c r="A74" s="635" t="s">
        <v>86</v>
      </c>
      <c r="B74" s="227" t="s">
        <v>116</v>
      </c>
      <c r="C74" s="633" t="s">
        <v>120</v>
      </c>
      <c r="D74" s="633"/>
      <c r="E74" s="42">
        <v>25.99</v>
      </c>
      <c r="F74" s="227">
        <v>1426</v>
      </c>
      <c r="G74" s="218">
        <f t="shared" si="51"/>
        <v>37061.74</v>
      </c>
      <c r="H74" s="37" t="s">
        <v>91</v>
      </c>
      <c r="I74" s="225">
        <v>18</v>
      </c>
      <c r="J74" s="39">
        <v>2400</v>
      </c>
      <c r="K74" s="17">
        <f t="shared" si="45"/>
        <v>133.33333333333334</v>
      </c>
      <c r="L74" s="225">
        <v>18</v>
      </c>
      <c r="M74" s="18">
        <f t="shared" si="52"/>
        <v>2312.4324324324307</v>
      </c>
      <c r="N74" s="17">
        <f t="shared" si="46"/>
        <v>128.46846846846836</v>
      </c>
      <c r="O74" s="19">
        <f t="shared" si="47"/>
        <v>0</v>
      </c>
      <c r="P74" s="20">
        <f t="shared" si="48"/>
        <v>-4.8648648648649839</v>
      </c>
      <c r="Q74" s="223">
        <f t="shared" si="49"/>
        <v>0.96351351351351266</v>
      </c>
      <c r="R74" s="637"/>
      <c r="S74" s="40">
        <v>0.30624999999999997</v>
      </c>
      <c r="T74" s="40">
        <v>0.33194444444444443</v>
      </c>
      <c r="U74" s="218">
        <f t="shared" si="54"/>
        <v>4.9999999999999822</v>
      </c>
      <c r="V74" s="226">
        <f t="shared" si="53"/>
        <v>37.000000000000028</v>
      </c>
      <c r="W74" s="23"/>
      <c r="X74" s="23"/>
      <c r="Y74" s="23"/>
      <c r="Z74" s="23"/>
      <c r="AA74" s="632"/>
      <c r="AB74" s="632"/>
      <c r="AC74" s="25"/>
      <c r="AD74" s="25"/>
      <c r="AE74" s="19">
        <f t="shared" si="43"/>
        <v>-87.567567567569313</v>
      </c>
      <c r="AF74" s="223">
        <f t="shared" si="50"/>
        <v>0.96351351351351278</v>
      </c>
      <c r="AG74" s="637"/>
    </row>
    <row r="75" spans="1:33" ht="15.75" customHeight="1">
      <c r="A75" s="635" t="s">
        <v>86</v>
      </c>
      <c r="B75" s="227" t="s">
        <v>116</v>
      </c>
      <c r="C75" s="633" t="s">
        <v>148</v>
      </c>
      <c r="D75" s="633"/>
      <c r="E75" s="42">
        <v>28.29</v>
      </c>
      <c r="F75" s="227">
        <v>4485</v>
      </c>
      <c r="G75" s="218">
        <f t="shared" si="51"/>
        <v>126880.65</v>
      </c>
      <c r="H75" s="37" t="s">
        <v>91</v>
      </c>
      <c r="I75" s="225">
        <v>21</v>
      </c>
      <c r="J75" s="39">
        <v>2400</v>
      </c>
      <c r="K75" s="17">
        <f t="shared" si="45"/>
        <v>114.28571428571429</v>
      </c>
      <c r="L75" s="225">
        <v>21</v>
      </c>
      <c r="M75" s="18">
        <f t="shared" si="52"/>
        <v>2280.5084745762715</v>
      </c>
      <c r="N75" s="17">
        <f t="shared" si="46"/>
        <v>108.59564164648911</v>
      </c>
      <c r="O75" s="19">
        <f t="shared" si="47"/>
        <v>0</v>
      </c>
      <c r="P75" s="20">
        <f t="shared" si="48"/>
        <v>-5.6900726392251784</v>
      </c>
      <c r="Q75" s="223">
        <f t="shared" si="49"/>
        <v>0.95021186440677974</v>
      </c>
      <c r="R75" s="637"/>
      <c r="S75" s="40">
        <v>0.33611111111111108</v>
      </c>
      <c r="T75" s="40">
        <v>0.41805555555555551</v>
      </c>
      <c r="U75" s="218">
        <f t="shared" si="54"/>
        <v>5.9999999999999787</v>
      </c>
      <c r="V75" s="226">
        <f t="shared" si="53"/>
        <v>117.99999999999999</v>
      </c>
      <c r="W75" s="23"/>
      <c r="X75" s="23"/>
      <c r="Y75" s="23"/>
      <c r="Z75" s="23"/>
      <c r="AA75" s="632"/>
      <c r="AB75" s="632"/>
      <c r="AC75" s="25"/>
      <c r="AD75" s="25"/>
      <c r="AE75" s="19">
        <f t="shared" si="43"/>
        <v>-119.49152542372849</v>
      </c>
      <c r="AF75" s="223">
        <f t="shared" si="50"/>
        <v>0.95021186440677985</v>
      </c>
      <c r="AG75" s="637"/>
    </row>
    <row r="76" spans="1:33" ht="15.75" customHeight="1">
      <c r="A76" s="635" t="s">
        <v>86</v>
      </c>
      <c r="B76" s="227" t="s">
        <v>116</v>
      </c>
      <c r="C76" s="633" t="s">
        <v>149</v>
      </c>
      <c r="D76" s="633"/>
      <c r="E76" s="42">
        <v>24.25</v>
      </c>
      <c r="F76" s="227">
        <v>2600</v>
      </c>
      <c r="G76" s="218">
        <f t="shared" si="51"/>
        <v>63050</v>
      </c>
      <c r="H76" s="37">
        <v>2</v>
      </c>
      <c r="I76" s="225">
        <v>17</v>
      </c>
      <c r="J76" s="39">
        <v>2400</v>
      </c>
      <c r="K76" s="17">
        <f t="shared" si="45"/>
        <v>141.1764705882353</v>
      </c>
      <c r="L76" s="225">
        <v>17</v>
      </c>
      <c r="M76" s="18">
        <f t="shared" si="52"/>
        <v>2294.1176470588234</v>
      </c>
      <c r="N76" s="17">
        <f t="shared" si="46"/>
        <v>134.94809688581313</v>
      </c>
      <c r="O76" s="19">
        <f t="shared" si="47"/>
        <v>0</v>
      </c>
      <c r="P76" s="20">
        <f t="shared" si="48"/>
        <v>-6.228373702422175</v>
      </c>
      <c r="Q76" s="223">
        <f t="shared" si="49"/>
        <v>0.95588235294117629</v>
      </c>
      <c r="R76" s="637"/>
      <c r="S76" s="40">
        <v>0.42222222222222217</v>
      </c>
      <c r="T76" s="40">
        <v>0.46944444444444439</v>
      </c>
      <c r="U76" s="218">
        <f t="shared" si="54"/>
        <v>5.9999999999999787</v>
      </c>
      <c r="V76" s="226">
        <f t="shared" si="53"/>
        <v>68</v>
      </c>
      <c r="W76" s="23"/>
      <c r="X76" s="23"/>
      <c r="Y76" s="23"/>
      <c r="Z76" s="23"/>
      <c r="AA76" s="632"/>
      <c r="AB76" s="632"/>
      <c r="AC76" s="25"/>
      <c r="AD76" s="25"/>
      <c r="AE76" s="19">
        <f t="shared" si="43"/>
        <v>-105.88235294117658</v>
      </c>
      <c r="AF76" s="223">
        <f t="shared" si="50"/>
        <v>0.95588235294117641</v>
      </c>
      <c r="AG76" s="637"/>
    </row>
    <row r="77" spans="1:33" ht="15.75" customHeight="1">
      <c r="A77" s="635" t="s">
        <v>86</v>
      </c>
      <c r="B77" s="227" t="s">
        <v>116</v>
      </c>
      <c r="C77" s="633" t="s">
        <v>122</v>
      </c>
      <c r="D77" s="633"/>
      <c r="E77" s="42">
        <v>20.21</v>
      </c>
      <c r="F77" s="227">
        <v>2338</v>
      </c>
      <c r="G77" s="218">
        <f t="shared" si="51"/>
        <v>47250.98</v>
      </c>
      <c r="H77" s="37" t="s">
        <v>91</v>
      </c>
      <c r="I77" s="225">
        <v>18</v>
      </c>
      <c r="J77" s="39">
        <v>2400</v>
      </c>
      <c r="K77" s="17">
        <f t="shared" si="45"/>
        <v>133.33333333333334</v>
      </c>
      <c r="L77" s="225">
        <v>18</v>
      </c>
      <c r="M77" s="18">
        <f t="shared" si="52"/>
        <v>2299.6721311475403</v>
      </c>
      <c r="N77" s="17">
        <f t="shared" si="46"/>
        <v>127.75956284153001</v>
      </c>
      <c r="O77" s="19">
        <f t="shared" si="47"/>
        <v>0</v>
      </c>
      <c r="P77" s="20">
        <f t="shared" si="48"/>
        <v>-5.5737704918033302</v>
      </c>
      <c r="Q77" s="223">
        <f t="shared" si="49"/>
        <v>0.95819672131147504</v>
      </c>
      <c r="R77" s="637"/>
      <c r="S77" s="40">
        <v>0.47499999999999992</v>
      </c>
      <c r="T77" s="40">
        <v>0.51736111111111105</v>
      </c>
      <c r="U77" s="218">
        <f t="shared" si="54"/>
        <v>7.9999999999999716</v>
      </c>
      <c r="V77" s="226">
        <f t="shared" si="53"/>
        <v>61.000000000000021</v>
      </c>
      <c r="W77" s="23">
        <f>T77</f>
        <v>0.51736111111111105</v>
      </c>
      <c r="X77" s="23">
        <f>S78</f>
        <v>0.55833333333333324</v>
      </c>
      <c r="Y77" s="23"/>
      <c r="Z77" s="23"/>
      <c r="AA77" s="632"/>
      <c r="AB77" s="632"/>
      <c r="AC77" s="25"/>
      <c r="AD77" s="25"/>
      <c r="AE77" s="19">
        <f t="shared" si="43"/>
        <v>-100.32786885245969</v>
      </c>
      <c r="AF77" s="223">
        <f t="shared" si="50"/>
        <v>0.95819672131147515</v>
      </c>
      <c r="AG77" s="637"/>
    </row>
    <row r="78" spans="1:33" ht="15.75" customHeight="1">
      <c r="A78" s="635" t="s">
        <v>86</v>
      </c>
      <c r="B78" s="227" t="s">
        <v>116</v>
      </c>
      <c r="C78" s="625" t="s">
        <v>145</v>
      </c>
      <c r="D78" s="626"/>
      <c r="E78" s="42">
        <v>19.02</v>
      </c>
      <c r="F78" s="227">
        <v>5330</v>
      </c>
      <c r="G78" s="218">
        <f t="shared" si="51"/>
        <v>101376.59999999999</v>
      </c>
      <c r="H78" s="37" t="s">
        <v>91</v>
      </c>
      <c r="I78" s="225">
        <v>14</v>
      </c>
      <c r="J78" s="39">
        <v>2400</v>
      </c>
      <c r="K78" s="17">
        <f t="shared" si="45"/>
        <v>171.42857142857142</v>
      </c>
      <c r="L78" s="225">
        <v>14</v>
      </c>
      <c r="M78" s="18">
        <f t="shared" si="52"/>
        <v>2300.7194244604316</v>
      </c>
      <c r="N78" s="17">
        <f t="shared" si="46"/>
        <v>164.33710174717368</v>
      </c>
      <c r="O78" s="19">
        <f t="shared" si="47"/>
        <v>0</v>
      </c>
      <c r="P78" s="20">
        <f t="shared" si="48"/>
        <v>-7.09146968139774</v>
      </c>
      <c r="Q78" s="223">
        <f t="shared" si="49"/>
        <v>0.95863309352517989</v>
      </c>
      <c r="R78" s="637"/>
      <c r="S78" s="40">
        <v>0.55833333333333324</v>
      </c>
      <c r="T78" s="40">
        <v>0.65486111111111101</v>
      </c>
      <c r="U78" s="218">
        <f t="shared" si="54"/>
        <v>58.99999999999995</v>
      </c>
      <c r="V78" s="226">
        <f t="shared" si="53"/>
        <v>139</v>
      </c>
      <c r="W78" s="23"/>
      <c r="X78" s="23"/>
      <c r="Y78" s="26"/>
      <c r="Z78" s="26"/>
      <c r="AA78" s="627"/>
      <c r="AB78" s="628"/>
      <c r="AC78" s="25"/>
      <c r="AD78" s="25"/>
      <c r="AE78" s="19">
        <f t="shared" si="43"/>
        <v>-99.280575539568417</v>
      </c>
      <c r="AF78" s="223">
        <f t="shared" si="50"/>
        <v>0.95863309352517978</v>
      </c>
      <c r="AG78" s="637"/>
    </row>
    <row r="79" spans="1:33" ht="15.75" customHeight="1">
      <c r="A79" s="635" t="s">
        <v>988</v>
      </c>
      <c r="B79" s="227" t="s">
        <v>116</v>
      </c>
      <c r="C79" s="625" t="s">
        <v>149</v>
      </c>
      <c r="D79" s="626"/>
      <c r="E79" s="42">
        <v>24.25</v>
      </c>
      <c r="F79" s="227">
        <v>2068</v>
      </c>
      <c r="G79" s="218">
        <f t="shared" si="51"/>
        <v>50149</v>
      </c>
      <c r="H79" s="37" t="s">
        <v>91</v>
      </c>
      <c r="I79" s="225">
        <v>17</v>
      </c>
      <c r="J79" s="39">
        <v>2400</v>
      </c>
      <c r="K79" s="17">
        <f t="shared" si="45"/>
        <v>141.1764705882353</v>
      </c>
      <c r="L79" s="225">
        <v>17</v>
      </c>
      <c r="M79" s="18">
        <f t="shared" si="52"/>
        <v>2297.7777777777792</v>
      </c>
      <c r="N79" s="17">
        <f t="shared" si="46"/>
        <v>135.16339869281055</v>
      </c>
      <c r="O79" s="19">
        <f t="shared" si="47"/>
        <v>0</v>
      </c>
      <c r="P79" s="20">
        <f t="shared" si="48"/>
        <v>-6.0130718954247584</v>
      </c>
      <c r="Q79" s="223">
        <f t="shared" si="49"/>
        <v>0.95740740740740793</v>
      </c>
      <c r="R79" s="637"/>
      <c r="S79" s="40">
        <v>0.66041666666666654</v>
      </c>
      <c r="T79" s="40">
        <v>0.69791666666666652</v>
      </c>
      <c r="U79" s="218">
        <f t="shared" si="54"/>
        <v>7.9999999999999716</v>
      </c>
      <c r="V79" s="226">
        <f t="shared" si="53"/>
        <v>53.999999999999972</v>
      </c>
      <c r="W79" s="23"/>
      <c r="X79" s="23"/>
      <c r="Y79" s="26"/>
      <c r="Z79" s="26"/>
      <c r="AA79" s="627"/>
      <c r="AB79" s="628"/>
      <c r="AC79" s="25"/>
      <c r="AD79" s="25"/>
      <c r="AE79" s="19">
        <f t="shared" si="43"/>
        <v>-102.22222222222081</v>
      </c>
      <c r="AF79" s="223">
        <f t="shared" si="50"/>
        <v>0.95740740740740804</v>
      </c>
      <c r="AG79" s="637"/>
    </row>
    <row r="80" spans="1:33" ht="15.75" customHeight="1">
      <c r="A80" s="635" t="s">
        <v>86</v>
      </c>
      <c r="B80" s="227" t="s">
        <v>116</v>
      </c>
      <c r="C80" s="625" t="s">
        <v>121</v>
      </c>
      <c r="D80" s="626"/>
      <c r="E80" s="42">
        <v>25.99</v>
      </c>
      <c r="F80" s="227">
        <v>2016</v>
      </c>
      <c r="G80" s="218">
        <f t="shared" si="51"/>
        <v>52395.839999999997</v>
      </c>
      <c r="H80" s="37" t="s">
        <v>91</v>
      </c>
      <c r="I80" s="225">
        <v>14</v>
      </c>
      <c r="J80" s="39">
        <v>2400</v>
      </c>
      <c r="K80" s="17">
        <f t="shared" si="45"/>
        <v>171.42857142857142</v>
      </c>
      <c r="L80" s="225">
        <v>14</v>
      </c>
      <c r="M80" s="18">
        <f t="shared" si="52"/>
        <v>2282.2641509433975</v>
      </c>
      <c r="N80" s="17">
        <f t="shared" si="46"/>
        <v>163.01886792452839</v>
      </c>
      <c r="O80" s="19">
        <f t="shared" si="47"/>
        <v>0</v>
      </c>
      <c r="P80" s="20">
        <f t="shared" si="48"/>
        <v>-8.4097035040430228</v>
      </c>
      <c r="Q80" s="223">
        <f t="shared" si="49"/>
        <v>0.95094339622641566</v>
      </c>
      <c r="R80" s="637"/>
      <c r="S80" s="40">
        <v>0.70208333333333317</v>
      </c>
      <c r="T80" s="40">
        <v>0.73888888888888871</v>
      </c>
      <c r="U80" s="218">
        <f t="shared" si="54"/>
        <v>5.9999999999999787</v>
      </c>
      <c r="V80" s="226">
        <f t="shared" si="53"/>
        <v>52.999999999999972</v>
      </c>
      <c r="W80" s="23"/>
      <c r="X80" s="23"/>
      <c r="Y80" s="26"/>
      <c r="Z80" s="26"/>
      <c r="AA80" s="627"/>
      <c r="AB80" s="628"/>
      <c r="AC80" s="25"/>
      <c r="AD80" s="25"/>
      <c r="AE80" s="19">
        <f t="shared" si="43"/>
        <v>-117.73584905660255</v>
      </c>
      <c r="AF80" s="223">
        <f t="shared" si="50"/>
        <v>0.95094339622641566</v>
      </c>
      <c r="AG80" s="637"/>
    </row>
    <row r="81" spans="1:33" ht="16.5" customHeight="1">
      <c r="A81" s="636" t="s">
        <v>86</v>
      </c>
      <c r="B81" s="42" t="s">
        <v>984</v>
      </c>
      <c r="C81" s="629"/>
      <c r="D81" s="630"/>
      <c r="E81" s="224"/>
      <c r="F81" s="44"/>
      <c r="G81" s="17"/>
      <c r="H81" s="227"/>
      <c r="I81" s="29">
        <v>16.666666666666668</v>
      </c>
      <c r="J81" s="39">
        <v>2400</v>
      </c>
      <c r="K81" s="17">
        <f t="shared" si="45"/>
        <v>144</v>
      </c>
      <c r="L81" s="29">
        <v>16.666666666666668</v>
      </c>
      <c r="M81" s="18">
        <f>AVERAGE(M72:M80)</f>
        <v>2294.969014367307</v>
      </c>
      <c r="N81" s="17">
        <f t="shared" si="46"/>
        <v>137.6981408620384</v>
      </c>
      <c r="O81" s="19">
        <f t="shared" si="47"/>
        <v>0</v>
      </c>
      <c r="P81" s="20">
        <f t="shared" si="48"/>
        <v>-6.3018591379615998</v>
      </c>
      <c r="Q81" s="223">
        <f t="shared" si="49"/>
        <v>0.95623708931971108</v>
      </c>
      <c r="R81" s="637"/>
      <c r="S81" s="40"/>
      <c r="T81" s="40"/>
      <c r="U81" s="17"/>
      <c r="V81" s="226"/>
      <c r="W81" s="17"/>
      <c r="X81" s="17"/>
      <c r="Y81" s="30">
        <f>SUM(Y72:Y80)</f>
        <v>0</v>
      </c>
      <c r="Z81" s="30">
        <f>SUM(Z72:Z80)</f>
        <v>0</v>
      </c>
      <c r="AA81" s="631"/>
      <c r="AB81" s="631"/>
      <c r="AC81" s="30">
        <v>9</v>
      </c>
      <c r="AD81" s="30">
        <f>SUM(AD72:AD80)</f>
        <v>0</v>
      </c>
      <c r="AE81" s="19">
        <f t="shared" si="43"/>
        <v>-105.03098563269305</v>
      </c>
      <c r="AF81" s="223">
        <f t="shared" si="50"/>
        <v>0.95623708931971119</v>
      </c>
      <c r="AG81" s="637"/>
    </row>
    <row r="82" spans="1:33">
      <c r="D82" s="33"/>
      <c r="E82" s="33"/>
    </row>
  </sheetData>
  <mergeCells count="205">
    <mergeCell ref="A72:A81"/>
    <mergeCell ref="C72:D72"/>
    <mergeCell ref="R72:R81"/>
    <mergeCell ref="AA72:AB72"/>
    <mergeCell ref="AG72:AG81"/>
    <mergeCell ref="C73:D73"/>
    <mergeCell ref="AA73:AB73"/>
    <mergeCell ref="C74:D74"/>
    <mergeCell ref="AA74:AB74"/>
    <mergeCell ref="C75:D75"/>
    <mergeCell ref="C79:D79"/>
    <mergeCell ref="AA79:AB79"/>
    <mergeCell ref="C80:D80"/>
    <mergeCell ref="AA80:AB80"/>
    <mergeCell ref="C81:D81"/>
    <mergeCell ref="AA81:AB81"/>
    <mergeCell ref="AA75:AB75"/>
    <mergeCell ref="C76:D76"/>
    <mergeCell ref="AA76:AB76"/>
    <mergeCell ref="C77:D77"/>
    <mergeCell ref="AA77:AB77"/>
    <mergeCell ref="C78:D78"/>
    <mergeCell ref="AA78:AB78"/>
    <mergeCell ref="AG67:AG71"/>
    <mergeCell ref="C68:D68"/>
    <mergeCell ref="AA68:AB68"/>
    <mergeCell ref="C69:D69"/>
    <mergeCell ref="AA69:AB69"/>
    <mergeCell ref="C70:D70"/>
    <mergeCell ref="AA70:AB70"/>
    <mergeCell ref="C71:D71"/>
    <mergeCell ref="AA71:AB71"/>
    <mergeCell ref="A67:A71"/>
    <mergeCell ref="C67:D67"/>
    <mergeCell ref="R67:R71"/>
    <mergeCell ref="AA67:AB67"/>
    <mergeCell ref="AA61:AB61"/>
    <mergeCell ref="C62:D62"/>
    <mergeCell ref="AA62:AB62"/>
    <mergeCell ref="C63:D63"/>
    <mergeCell ref="AA63:AB63"/>
    <mergeCell ref="C64:D64"/>
    <mergeCell ref="AA64:AB64"/>
    <mergeCell ref="A57:A66"/>
    <mergeCell ref="C57:D57"/>
    <mergeCell ref="R57:R66"/>
    <mergeCell ref="AA57:AB57"/>
    <mergeCell ref="AG57:AG66"/>
    <mergeCell ref="C58:D58"/>
    <mergeCell ref="AA58:AB58"/>
    <mergeCell ref="C59:D59"/>
    <mergeCell ref="AA59:AB59"/>
    <mergeCell ref="AA60:AB60"/>
    <mergeCell ref="AG52:AG56"/>
    <mergeCell ref="C53:D53"/>
    <mergeCell ref="AA53:AB53"/>
    <mergeCell ref="C54:D54"/>
    <mergeCell ref="AA54:AB54"/>
    <mergeCell ref="C55:D55"/>
    <mergeCell ref="AA55:AB55"/>
    <mergeCell ref="C56:D56"/>
    <mergeCell ref="AA56:AB56"/>
    <mergeCell ref="C66:D66"/>
    <mergeCell ref="AA66:AB66"/>
    <mergeCell ref="A52:A56"/>
    <mergeCell ref="C52:D52"/>
    <mergeCell ref="R52:R56"/>
    <mergeCell ref="AA52:AB52"/>
    <mergeCell ref="AG43:AG51"/>
    <mergeCell ref="C44:D44"/>
    <mergeCell ref="AA44:AB44"/>
    <mergeCell ref="C45:D45"/>
    <mergeCell ref="AA45:AB45"/>
    <mergeCell ref="C46:D46"/>
    <mergeCell ref="AA46:AB46"/>
    <mergeCell ref="C47:D47"/>
    <mergeCell ref="AA47:AB47"/>
    <mergeCell ref="C48:D48"/>
    <mergeCell ref="A43:A51"/>
    <mergeCell ref="C43:D43"/>
    <mergeCell ref="R43:R51"/>
    <mergeCell ref="AA43:AB43"/>
    <mergeCell ref="AA48:AB48"/>
    <mergeCell ref="C49:D49"/>
    <mergeCell ref="AA49:AB49"/>
    <mergeCell ref="C50:D50"/>
    <mergeCell ref="AA50:AB50"/>
    <mergeCell ref="C51:D51"/>
    <mergeCell ref="AA51:AB51"/>
    <mergeCell ref="A34:A42"/>
    <mergeCell ref="C34:D34"/>
    <mergeCell ref="R34:R42"/>
    <mergeCell ref="AA34:AB34"/>
    <mergeCell ref="AA39:AB39"/>
    <mergeCell ref="C40:D40"/>
    <mergeCell ref="AG34:AG42"/>
    <mergeCell ref="C35:D35"/>
    <mergeCell ref="AA35:AB35"/>
    <mergeCell ref="C36:D36"/>
    <mergeCell ref="AA36:AB36"/>
    <mergeCell ref="C37:D37"/>
    <mergeCell ref="AA37:AB37"/>
    <mergeCell ref="C38:D38"/>
    <mergeCell ref="AA38:AB38"/>
    <mergeCell ref="C39:D39"/>
    <mergeCell ref="AA40:AB40"/>
    <mergeCell ref="C42:D42"/>
    <mergeCell ref="AA42:AB42"/>
    <mergeCell ref="AG25:AG33"/>
    <mergeCell ref="C26:D26"/>
    <mergeCell ref="AA26:AB26"/>
    <mergeCell ref="C27:D27"/>
    <mergeCell ref="AA27:AB27"/>
    <mergeCell ref="C28:D28"/>
    <mergeCell ref="AA28:AB28"/>
    <mergeCell ref="C29:D29"/>
    <mergeCell ref="AA29:AB29"/>
    <mergeCell ref="C30:D30"/>
    <mergeCell ref="C31:D31"/>
    <mergeCell ref="AA31:AB31"/>
    <mergeCell ref="C33:D33"/>
    <mergeCell ref="AA33:AB33"/>
    <mergeCell ref="A25:A33"/>
    <mergeCell ref="C25:D25"/>
    <mergeCell ref="R25:R33"/>
    <mergeCell ref="AA25:AB25"/>
    <mergeCell ref="AA30:AB30"/>
    <mergeCell ref="A17:A24"/>
    <mergeCell ref="C17:D17"/>
    <mergeCell ref="R17:R24"/>
    <mergeCell ref="AA17:AB17"/>
    <mergeCell ref="AG17:AG24"/>
    <mergeCell ref="C18:D18"/>
    <mergeCell ref="AA18:AB18"/>
    <mergeCell ref="C19:D19"/>
    <mergeCell ref="AA19:AB19"/>
    <mergeCell ref="C20:D20"/>
    <mergeCell ref="AA13:AB13"/>
    <mergeCell ref="C14:D14"/>
    <mergeCell ref="AA14:AB14"/>
    <mergeCell ref="C15:D15"/>
    <mergeCell ref="AA15:AB15"/>
    <mergeCell ref="C16:D16"/>
    <mergeCell ref="AA16:AB16"/>
    <mergeCell ref="AA20:AB20"/>
    <mergeCell ref="C21:D21"/>
    <mergeCell ref="AA21:AB21"/>
    <mergeCell ref="C24:D24"/>
    <mergeCell ref="AA24:AB24"/>
    <mergeCell ref="A10:A16"/>
    <mergeCell ref="C10:D10"/>
    <mergeCell ref="R10:R16"/>
    <mergeCell ref="AA10:AB10"/>
    <mergeCell ref="AG10:AG16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</mergeCells>
  <phoneticPr fontId="3" type="noConversion"/>
  <conditionalFormatting sqref="O70:O77 O66:O67 O81 O5:O10 O16:O18 O24:O62">
    <cfRule type="cellIs" dxfId="781" priority="74" operator="greaterThan">
      <formula>0</formula>
    </cfRule>
  </conditionalFormatting>
  <conditionalFormatting sqref="P5:P8 P70 AE70 P72:P77 P34:P41 P67 P10 P16:P18 P25:P32 P57:P62 P43:P55 AE5:AE67 AE72:AE81">
    <cfRule type="cellIs" dxfId="780" priority="78" operator="lessThan">
      <formula>0</formula>
    </cfRule>
  </conditionalFormatting>
  <conditionalFormatting sqref="AF70 Q70:Q77 Q66:Q67 Q81 Q5:Q10 Q16:Q18 Q24:Q62 AF5:AF67 AF72:AF81">
    <cfRule type="cellIs" dxfId="779" priority="75" operator="greaterThan">
      <formula>1</formula>
    </cfRule>
    <cfRule type="cellIs" dxfId="778" priority="76" operator="lessThan">
      <formula>0.8</formula>
    </cfRule>
  </conditionalFormatting>
  <conditionalFormatting sqref="AG17:AG18 R17:R18 AG70 R70:R77 R24:R30 AG24:AG30 AG66:AG67 R66:R67 R81 AG5:AG10 R5:R10 AG33:AG62 R33:R62">
    <cfRule type="cellIs" dxfId="777" priority="80" operator="lessThan">
      <formula>0.8</formula>
    </cfRule>
  </conditionalFormatting>
  <conditionalFormatting sqref="AG52">
    <cfRule type="cellIs" dxfId="776" priority="82" operator="lessThan">
      <formula>0.8</formula>
    </cfRule>
  </conditionalFormatting>
  <conditionalFormatting sqref="AG25:AG30">
    <cfRule type="cellIs" dxfId="775" priority="79" operator="lessThan">
      <formula>0.8</formula>
    </cfRule>
  </conditionalFormatting>
  <conditionalFormatting sqref="AG34">
    <cfRule type="cellIs" dxfId="774" priority="81" operator="lessThan">
      <formula>0.8</formula>
    </cfRule>
  </conditionalFormatting>
  <conditionalFormatting sqref="AG43:AG50">
    <cfRule type="cellIs" dxfId="773" priority="77" operator="lessThan">
      <formula>0.8</formula>
    </cfRule>
  </conditionalFormatting>
  <conditionalFormatting sqref="AE71">
    <cfRule type="cellIs" dxfId="772" priority="73" operator="lessThan">
      <formula>0</formula>
    </cfRule>
  </conditionalFormatting>
  <conditionalFormatting sqref="AF71">
    <cfRule type="cellIs" dxfId="771" priority="71" operator="greaterThan">
      <formula>1</formula>
    </cfRule>
    <cfRule type="cellIs" dxfId="770" priority="72" operator="lessThan">
      <formula>0.8</formula>
    </cfRule>
  </conditionalFormatting>
  <conditionalFormatting sqref="O19:O20">
    <cfRule type="cellIs" dxfId="769" priority="66" operator="greaterThan">
      <formula>0</formula>
    </cfRule>
  </conditionalFormatting>
  <conditionalFormatting sqref="P19:P20">
    <cfRule type="cellIs" dxfId="768" priority="69" operator="lessThan">
      <formula>0</formula>
    </cfRule>
  </conditionalFormatting>
  <conditionalFormatting sqref="Q19:Q20">
    <cfRule type="cellIs" dxfId="767" priority="67" operator="greaterThan">
      <formula>1</formula>
    </cfRule>
    <cfRule type="cellIs" dxfId="766" priority="68" operator="lessThan">
      <formula>0.8</formula>
    </cfRule>
  </conditionalFormatting>
  <conditionalFormatting sqref="R19:R20 AG19:AG20">
    <cfRule type="cellIs" dxfId="765" priority="70" operator="lessThan">
      <formula>0.8</formula>
    </cfRule>
  </conditionalFormatting>
  <conditionalFormatting sqref="O11:O15">
    <cfRule type="cellIs" dxfId="764" priority="62" operator="greaterThan">
      <formula>0</formula>
    </cfRule>
  </conditionalFormatting>
  <conditionalFormatting sqref="P11:P15">
    <cfRule type="cellIs" dxfId="763" priority="65" operator="lessThan">
      <formula>0</formula>
    </cfRule>
  </conditionalFormatting>
  <conditionalFormatting sqref="Q11:Q15">
    <cfRule type="cellIs" dxfId="762" priority="63" operator="greaterThan">
      <formula>1</formula>
    </cfRule>
    <cfRule type="cellIs" dxfId="761" priority="64" operator="lessThan">
      <formula>0.8</formula>
    </cfRule>
  </conditionalFormatting>
  <conditionalFormatting sqref="O63">
    <cfRule type="cellIs" dxfId="760" priority="57" operator="greaterThan">
      <formula>0</formula>
    </cfRule>
  </conditionalFormatting>
  <conditionalFormatting sqref="P63">
    <cfRule type="cellIs" dxfId="759" priority="60" operator="lessThan">
      <formula>0</formula>
    </cfRule>
  </conditionalFormatting>
  <conditionalFormatting sqref="Q63">
    <cfRule type="cellIs" dxfId="758" priority="58" operator="greaterThan">
      <formula>1</formula>
    </cfRule>
    <cfRule type="cellIs" dxfId="757" priority="59" operator="lessThan">
      <formula>0.8</formula>
    </cfRule>
  </conditionalFormatting>
  <conditionalFormatting sqref="R63 AG63">
    <cfRule type="cellIs" dxfId="756" priority="61" operator="lessThan">
      <formula>0.8</formula>
    </cfRule>
  </conditionalFormatting>
  <conditionalFormatting sqref="AG32 R32">
    <cfRule type="cellIs" dxfId="755" priority="56" operator="lessThan">
      <formula>0.8</formula>
    </cfRule>
  </conditionalFormatting>
  <conditionalFormatting sqref="O69">
    <cfRule type="cellIs" dxfId="754" priority="51" operator="greaterThan">
      <formula>0</formula>
    </cfRule>
  </conditionalFormatting>
  <conditionalFormatting sqref="P69 AE69">
    <cfRule type="cellIs" dxfId="753" priority="54" operator="lessThan">
      <formula>0</formula>
    </cfRule>
  </conditionalFormatting>
  <conditionalFormatting sqref="Q69 AF69">
    <cfRule type="cellIs" dxfId="752" priority="52" operator="greaterThan">
      <formula>1</formula>
    </cfRule>
    <cfRule type="cellIs" dxfId="751" priority="53" operator="lessThan">
      <formula>0.8</formula>
    </cfRule>
  </conditionalFormatting>
  <conditionalFormatting sqref="R69 AG69">
    <cfRule type="cellIs" dxfId="750" priority="55" operator="lessThan">
      <formula>0.8</formula>
    </cfRule>
  </conditionalFormatting>
  <conditionalFormatting sqref="O78">
    <cfRule type="cellIs" dxfId="749" priority="46" operator="greaterThan">
      <formula>0</formula>
    </cfRule>
  </conditionalFormatting>
  <conditionalFormatting sqref="P78">
    <cfRule type="cellIs" dxfId="748" priority="49" operator="lessThan">
      <formula>0</formula>
    </cfRule>
  </conditionalFormatting>
  <conditionalFormatting sqref="Q78">
    <cfRule type="cellIs" dxfId="747" priority="47" operator="greaterThan">
      <formula>1</formula>
    </cfRule>
    <cfRule type="cellIs" dxfId="746" priority="48" operator="lessThan">
      <formula>0.8</formula>
    </cfRule>
  </conditionalFormatting>
  <conditionalFormatting sqref="R78">
    <cfRule type="cellIs" dxfId="745" priority="50" operator="lessThan">
      <formula>0.8</formula>
    </cfRule>
  </conditionalFormatting>
  <conditionalFormatting sqref="O21:O22">
    <cfRule type="cellIs" dxfId="744" priority="41" operator="greaterThan">
      <formula>0</formula>
    </cfRule>
  </conditionalFormatting>
  <conditionalFormatting sqref="P21:P22">
    <cfRule type="cellIs" dxfId="743" priority="44" operator="lessThan">
      <formula>0</formula>
    </cfRule>
  </conditionalFormatting>
  <conditionalFormatting sqref="Q21:Q22">
    <cfRule type="cellIs" dxfId="742" priority="42" operator="greaterThan">
      <formula>1</formula>
    </cfRule>
    <cfRule type="cellIs" dxfId="741" priority="43" operator="lessThan">
      <formula>0.8</formula>
    </cfRule>
  </conditionalFormatting>
  <conditionalFormatting sqref="R21:R22 AG21:AG22">
    <cfRule type="cellIs" dxfId="740" priority="45" operator="lessThan">
      <formula>0.8</formula>
    </cfRule>
  </conditionalFormatting>
  <conditionalFormatting sqref="O64">
    <cfRule type="cellIs" dxfId="739" priority="36" operator="greaterThan">
      <formula>0</formula>
    </cfRule>
  </conditionalFormatting>
  <conditionalFormatting sqref="P64">
    <cfRule type="cellIs" dxfId="738" priority="39" operator="lessThan">
      <formula>0</formula>
    </cfRule>
  </conditionalFormatting>
  <conditionalFormatting sqref="Q64">
    <cfRule type="cellIs" dxfId="737" priority="37" operator="greaterThan">
      <formula>1</formula>
    </cfRule>
    <cfRule type="cellIs" dxfId="736" priority="38" operator="lessThan">
      <formula>0.8</formula>
    </cfRule>
  </conditionalFormatting>
  <conditionalFormatting sqref="AG64 R64">
    <cfRule type="cellIs" dxfId="735" priority="40" operator="lessThan">
      <formula>0.8</formula>
    </cfRule>
  </conditionalFormatting>
  <conditionalFormatting sqref="R31 AG31">
    <cfRule type="cellIs" dxfId="734" priority="35" operator="lessThan">
      <formula>0.8</formula>
    </cfRule>
  </conditionalFormatting>
  <conditionalFormatting sqref="AG31">
    <cfRule type="cellIs" dxfId="733" priority="34" operator="lessThan">
      <formula>0.8</formula>
    </cfRule>
  </conditionalFormatting>
  <conditionalFormatting sqref="O68">
    <cfRule type="cellIs" dxfId="732" priority="29" operator="greaterThan">
      <formula>0</formula>
    </cfRule>
  </conditionalFormatting>
  <conditionalFormatting sqref="P68 AE68">
    <cfRule type="cellIs" dxfId="731" priority="32" operator="lessThan">
      <formula>0</formula>
    </cfRule>
  </conditionalFormatting>
  <conditionalFormatting sqref="Q68 AF68">
    <cfRule type="cellIs" dxfId="730" priority="30" operator="greaterThan">
      <formula>1</formula>
    </cfRule>
    <cfRule type="cellIs" dxfId="729" priority="31" operator="lessThan">
      <formula>0.8</formula>
    </cfRule>
  </conditionalFormatting>
  <conditionalFormatting sqref="R68 AG68">
    <cfRule type="cellIs" dxfId="728" priority="33" operator="lessThan">
      <formula>0.8</formula>
    </cfRule>
  </conditionalFormatting>
  <conditionalFormatting sqref="O23">
    <cfRule type="cellIs" dxfId="727" priority="24" operator="greaterThan">
      <formula>0</formula>
    </cfRule>
  </conditionalFormatting>
  <conditionalFormatting sqref="P23">
    <cfRule type="cellIs" dxfId="726" priority="27" operator="lessThan">
      <formula>0</formula>
    </cfRule>
  </conditionalFormatting>
  <conditionalFormatting sqref="Q23">
    <cfRule type="cellIs" dxfId="725" priority="25" operator="greaterThan">
      <formula>1</formula>
    </cfRule>
    <cfRule type="cellIs" dxfId="724" priority="26" operator="lessThan">
      <formula>0.8</formula>
    </cfRule>
  </conditionalFormatting>
  <conditionalFormatting sqref="AG23 R23">
    <cfRule type="cellIs" dxfId="723" priority="28" operator="lessThan">
      <formula>0.8</formula>
    </cfRule>
  </conditionalFormatting>
  <conditionalFormatting sqref="P9">
    <cfRule type="cellIs" dxfId="722" priority="23" operator="lessThan">
      <formula>0</formula>
    </cfRule>
  </conditionalFormatting>
  <conditionalFormatting sqref="P24">
    <cfRule type="cellIs" dxfId="721" priority="22" operator="lessThan">
      <formula>0</formula>
    </cfRule>
  </conditionalFormatting>
  <conditionalFormatting sqref="P33">
    <cfRule type="cellIs" dxfId="720" priority="21" operator="lessThan">
      <formula>0</formula>
    </cfRule>
  </conditionalFormatting>
  <conditionalFormatting sqref="P42">
    <cfRule type="cellIs" dxfId="719" priority="20" operator="lessThan">
      <formula>0</formula>
    </cfRule>
  </conditionalFormatting>
  <conditionalFormatting sqref="P56">
    <cfRule type="cellIs" dxfId="718" priority="19" operator="lessThan">
      <formula>0</formula>
    </cfRule>
  </conditionalFormatting>
  <conditionalFormatting sqref="P66">
    <cfRule type="cellIs" dxfId="717" priority="18" operator="lessThan">
      <formula>0</formula>
    </cfRule>
  </conditionalFormatting>
  <conditionalFormatting sqref="P71">
    <cfRule type="cellIs" dxfId="716" priority="17" operator="lessThan">
      <formula>0</formula>
    </cfRule>
  </conditionalFormatting>
  <conditionalFormatting sqref="P81">
    <cfRule type="cellIs" dxfId="715" priority="16" operator="lessThan">
      <formula>0</formula>
    </cfRule>
  </conditionalFormatting>
  <conditionalFormatting sqref="O79">
    <cfRule type="cellIs" dxfId="714" priority="11" operator="greaterThan">
      <formula>0</formula>
    </cfRule>
  </conditionalFormatting>
  <conditionalFormatting sqref="P79">
    <cfRule type="cellIs" dxfId="713" priority="14" operator="lessThan">
      <formula>0</formula>
    </cfRule>
  </conditionalFormatting>
  <conditionalFormatting sqref="Q79">
    <cfRule type="cellIs" dxfId="712" priority="12" operator="greaterThan">
      <formula>1</formula>
    </cfRule>
    <cfRule type="cellIs" dxfId="711" priority="13" operator="lessThan">
      <formula>0.8</formula>
    </cfRule>
  </conditionalFormatting>
  <conditionalFormatting sqref="R79">
    <cfRule type="cellIs" dxfId="710" priority="15" operator="lessThan">
      <formula>0.8</formula>
    </cfRule>
  </conditionalFormatting>
  <conditionalFormatting sqref="O80">
    <cfRule type="cellIs" dxfId="709" priority="6" operator="greaterThan">
      <formula>0</formula>
    </cfRule>
  </conditionalFormatting>
  <conditionalFormatting sqref="P80">
    <cfRule type="cellIs" dxfId="708" priority="9" operator="lessThan">
      <formula>0</formula>
    </cfRule>
  </conditionalFormatting>
  <conditionalFormatting sqref="Q80">
    <cfRule type="cellIs" dxfId="707" priority="7" operator="greaterThan">
      <formula>1</formula>
    </cfRule>
    <cfRule type="cellIs" dxfId="706" priority="8" operator="lessThan">
      <formula>0.8</formula>
    </cfRule>
  </conditionalFormatting>
  <conditionalFormatting sqref="R80">
    <cfRule type="cellIs" dxfId="705" priority="10" operator="lessThan">
      <formula>0.8</formula>
    </cfRule>
  </conditionalFormatting>
  <conditionalFormatting sqref="O65">
    <cfRule type="cellIs" dxfId="704" priority="1" operator="greaterThan">
      <formula>0</formula>
    </cfRule>
  </conditionalFormatting>
  <conditionalFormatting sqref="P65">
    <cfRule type="cellIs" dxfId="703" priority="4" operator="lessThan">
      <formula>0</formula>
    </cfRule>
  </conditionalFormatting>
  <conditionalFormatting sqref="Q65">
    <cfRule type="cellIs" dxfId="702" priority="2" operator="greaterThan">
      <formula>1</formula>
    </cfRule>
    <cfRule type="cellIs" dxfId="701" priority="3" operator="lessThan">
      <formula>0.8</formula>
    </cfRule>
  </conditionalFormatting>
  <conditionalFormatting sqref="AG65 R65">
    <cfRule type="cellIs" dxfId="700" priority="5" operator="lessThan">
      <formula>0.8</formula>
    </cfRule>
  </conditionalFormatting>
  <dataValidations count="1">
    <dataValidation type="list" allowBlank="1" showInputMessage="1" showErrorMessage="1" sqref="AB9 AA5:AB8 AA9:AA70 AB11:AB67 AA71:AB81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9" sqref="A9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612" t="s">
        <v>823</v>
      </c>
      <c r="C1" s="612"/>
      <c r="D1" s="612"/>
      <c r="E1" s="612"/>
      <c r="F1" s="612"/>
      <c r="G1" s="612"/>
      <c r="H1" s="612"/>
      <c r="I1" s="612"/>
      <c r="J1" s="612"/>
      <c r="K1" s="51"/>
      <c r="L1" s="51"/>
      <c r="M1" s="51"/>
      <c r="N1" s="51"/>
      <c r="O1" s="51"/>
      <c r="P1" s="51"/>
    </row>
    <row r="2" spans="2:17" ht="27.75" customHeight="1">
      <c r="B2" s="613"/>
      <c r="C2" s="613"/>
      <c r="D2" s="613"/>
      <c r="E2" s="613"/>
      <c r="F2" s="613"/>
      <c r="G2" s="613"/>
      <c r="H2" s="613"/>
      <c r="I2" s="613"/>
      <c r="J2" s="613"/>
      <c r="K2" s="53"/>
      <c r="L2" s="53"/>
      <c r="M2" s="53"/>
      <c r="N2" s="51"/>
      <c r="O2" s="51"/>
      <c r="P2" s="51"/>
    </row>
    <row r="3" spans="2:17" ht="46.5" customHeight="1">
      <c r="B3" s="54" t="s">
        <v>152</v>
      </c>
      <c r="C3" s="614" t="str">
        <f>TEXT('0808 4度C'!A2,"yyyy.mm.ddaaaa")</f>
        <v>2026.08.08星期六</v>
      </c>
      <c r="D3" s="615"/>
      <c r="E3" s="54" t="s">
        <v>824</v>
      </c>
      <c r="F3" s="616">
        <f>'0808 4度C'!D1</f>
        <v>155013</v>
      </c>
      <c r="G3" s="617"/>
      <c r="H3" s="54" t="s">
        <v>825</v>
      </c>
      <c r="I3" s="618">
        <f>'0808 4度C'!F1</f>
        <v>5423347.6900000004</v>
      </c>
      <c r="J3" s="619"/>
      <c r="K3" s="55"/>
      <c r="L3" s="56"/>
      <c r="M3" s="57"/>
      <c r="N3" s="57"/>
    </row>
    <row r="4" spans="2:17" ht="28.5" customHeight="1">
      <c r="B4" s="620" t="s">
        <v>826</v>
      </c>
      <c r="C4" s="606" t="s">
        <v>827</v>
      </c>
      <c r="D4" s="607"/>
      <c r="E4" s="623" t="s">
        <v>828</v>
      </c>
      <c r="F4" s="624"/>
      <c r="G4" s="623" t="s">
        <v>829</v>
      </c>
      <c r="H4" s="624"/>
      <c r="I4" s="623" t="s">
        <v>830</v>
      </c>
      <c r="J4" s="624"/>
      <c r="K4" s="604" t="s">
        <v>831</v>
      </c>
      <c r="L4" s="605"/>
      <c r="M4" s="605" t="s">
        <v>832</v>
      </c>
      <c r="N4" s="605"/>
    </row>
    <row r="5" spans="2:17" ht="28.5" customHeight="1">
      <c r="B5" s="621"/>
      <c r="C5" s="606" t="s">
        <v>833</v>
      </c>
      <c r="D5" s="607"/>
      <c r="E5" s="606" t="s">
        <v>834</v>
      </c>
      <c r="F5" s="607"/>
      <c r="G5" s="608" t="s">
        <v>835</v>
      </c>
      <c r="H5" s="609"/>
      <c r="I5" s="610" t="s">
        <v>836</v>
      </c>
      <c r="J5" s="611"/>
      <c r="K5" s="58" t="s">
        <v>837</v>
      </c>
      <c r="L5" s="59" t="s">
        <v>838</v>
      </c>
      <c r="M5" s="58" t="s">
        <v>839</v>
      </c>
      <c r="N5" s="59" t="s">
        <v>840</v>
      </c>
    </row>
    <row r="6" spans="2:17" ht="28.5" customHeight="1">
      <c r="B6" s="621"/>
      <c r="C6" s="606" t="s">
        <v>169</v>
      </c>
      <c r="D6" s="607"/>
      <c r="E6" s="598">
        <f>AVERAGE(D13:M13)</f>
        <v>158.79464145176686</v>
      </c>
      <c r="F6" s="599">
        <f>AVERAGE(D31:O31,D13:J13)</f>
        <v>167.66705206914298</v>
      </c>
      <c r="G6" s="600">
        <f>AVERAGE(D13:J13)</f>
        <v>167.66705206914298</v>
      </c>
      <c r="H6" s="601"/>
      <c r="I6" s="600">
        <f>AVERAGE(K13:M13)</f>
        <v>138.09235001122261</v>
      </c>
      <c r="J6" s="601"/>
      <c r="K6" s="602">
        <f>'0808 4度C'!Y2</f>
        <v>0</v>
      </c>
      <c r="L6" s="587">
        <f>'0808 4度C'!Z2</f>
        <v>0</v>
      </c>
      <c r="M6" s="603">
        <f>'0808 4度C'!AC2</f>
        <v>57</v>
      </c>
      <c r="N6" s="587">
        <f>'0808 4度C'!AD2</f>
        <v>0</v>
      </c>
    </row>
    <row r="7" spans="2:17" ht="28.5" customHeight="1">
      <c r="B7" s="621"/>
      <c r="C7" s="588" t="s">
        <v>170</v>
      </c>
      <c r="D7" s="589"/>
      <c r="E7" s="590">
        <f>AVERAGE(D14:M14)</f>
        <v>152.28145452608987</v>
      </c>
      <c r="F7" s="591">
        <f>AVERAGE(D32:O32,D14:J14)</f>
        <v>160.97831673500465</v>
      </c>
      <c r="G7" s="592">
        <f>AVERAGE(D14:J14)</f>
        <v>160.97831673500465</v>
      </c>
      <c r="H7" s="593"/>
      <c r="I7" s="592">
        <f>AVERAGE(K14:M14)</f>
        <v>131.98877603862204</v>
      </c>
      <c r="J7" s="593"/>
      <c r="K7" s="602"/>
      <c r="L7" s="587"/>
      <c r="M7" s="603"/>
      <c r="N7" s="587"/>
    </row>
    <row r="8" spans="2:17" ht="28.5" customHeight="1">
      <c r="B8" s="622"/>
      <c r="C8" s="588" t="s">
        <v>171</v>
      </c>
      <c r="D8" s="589"/>
      <c r="E8" s="594">
        <f>AVERAGE(D15:M15)</f>
        <v>0.95819528750024197</v>
      </c>
      <c r="F8" s="595">
        <f>AVERAGE(D15:J15,D33:O33)</f>
        <v>0.95921665774758524</v>
      </c>
      <c r="G8" s="596">
        <f>AVERAGE(D15:J15)</f>
        <v>0.95921665774758524</v>
      </c>
      <c r="H8" s="597"/>
      <c r="I8" s="596">
        <f>AVERAGE(K15:M15)</f>
        <v>0.95581209025644087</v>
      </c>
      <c r="J8" s="597"/>
      <c r="K8" s="602"/>
      <c r="L8" s="587"/>
      <c r="M8" s="603"/>
      <c r="N8" s="587"/>
    </row>
    <row r="9" spans="2:17" ht="28.5" customHeight="1" thickBot="1">
      <c r="H9" s="61"/>
      <c r="K9" s="62" t="s">
        <v>841</v>
      </c>
      <c r="N9" s="57"/>
      <c r="O9" s="57"/>
      <c r="P9" s="57"/>
      <c r="Q9" s="57"/>
    </row>
    <row r="10" spans="2:17" ht="30" customHeight="1">
      <c r="B10" s="570" t="s">
        <v>842</v>
      </c>
      <c r="C10" s="571"/>
      <c r="D10" s="572" t="s">
        <v>843</v>
      </c>
      <c r="E10" s="573"/>
      <c r="F10" s="573"/>
      <c r="G10" s="573"/>
      <c r="H10" s="573"/>
      <c r="I10" s="573"/>
      <c r="J10" s="574"/>
      <c r="K10" s="575" t="s">
        <v>844</v>
      </c>
      <c r="L10" s="576"/>
      <c r="M10" s="577"/>
      <c r="P10" s="63"/>
      <c r="Q10" s="63"/>
    </row>
    <row r="11" spans="2:17" ht="17.25" customHeight="1">
      <c r="B11" s="578" t="s">
        <v>176</v>
      </c>
      <c r="C11" s="579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80"/>
      <c r="C12" s="581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582" t="s">
        <v>845</v>
      </c>
      <c r="C13" s="70" t="s">
        <v>846</v>
      </c>
      <c r="D13" s="71">
        <f>SUMIFS('0808 4度C'!$K:$K,'0808 4度C'!$A:$A,"新豐6線",'0808 4度C'!$B:$B,"平均")</f>
        <v>130.43478260869566</v>
      </c>
      <c r="E13" s="72">
        <f>SUMIFS('0808 4度C'!$K:$K,'0808 4度C'!$A:$A,"新豐2線",'0808 4度C'!$B:$B,"平均")</f>
        <v>84.269662921348313</v>
      </c>
      <c r="F13" s="73">
        <f>SUMIFS('0808 4度C'!$K:$K,'0808 4度C'!$A:$A,"新豐5線",'0808 4度C'!$B:$B,"平均")</f>
        <v>95.238095238095241</v>
      </c>
      <c r="G13" s="73">
        <f>SUMIFS('0808 4度C'!$K:$K,'0808 4度C'!$A:$A,"新豐7線",'0808 4度C'!$B:$B,"平均")</f>
        <v>134.83146067415728</v>
      </c>
      <c r="H13" s="73">
        <f>SUMIFS('0808 4度C'!$K:$K,'0808 4度C'!$A:$A,"新豐3線",'0808 4度C'!$B:$B,"平均")</f>
        <v>324.32432432432432</v>
      </c>
      <c r="I13" s="73">
        <f>SUMIFS('0808 4度C'!$K:$K,'0808 4度C'!$A:$A,"新豐1線",'0808 4度C'!$B:$B,"平均")</f>
        <v>111.88811188811189</v>
      </c>
      <c r="J13" s="74">
        <f>SUMIFS('0808 4度C'!$K:$K,'0808 4度C'!$A:$A,"新豐10線",'0808 4度C'!$B:$B,"平均")</f>
        <v>292.6829268292683</v>
      </c>
      <c r="K13" s="75">
        <f>SUMIFS('0808 4度C'!$K:$K,'0808 4度C'!$A:$A,"新豐8線",'0808 4度C'!$B:$B,"平均")</f>
        <v>139.80582524271844</v>
      </c>
      <c r="L13" s="76">
        <f>SUMIFS('0808 4度C'!$K:$K,'0808 4度C'!$A:$A,"新豐9線",'0808 4度C'!$B:$B,"平均")</f>
        <v>127.10280373831776</v>
      </c>
      <c r="M13" s="74">
        <f>SUMIFS('0808 4度C'!$K:$K,'0808 4度C'!$A:$A,"新豐4線",'0808 4度C'!$B:$B,"平均")</f>
        <v>147.36842105263159</v>
      </c>
    </row>
    <row r="14" spans="2:17" ht="39.6" customHeight="1">
      <c r="B14" s="583"/>
      <c r="C14" s="77" t="s">
        <v>847</v>
      </c>
      <c r="D14" s="78">
        <f>SUMIFS('0808 4度C'!$N:$N,'0808 4度C'!$A:$A,"新豐6線",'0808 4度C'!$B:$B,"平均")</f>
        <v>125.23044417672133</v>
      </c>
      <c r="E14" s="79">
        <f>SUMIFS('0808 4度C'!$N:$N,'0808 4度C'!$A:$A,"新豐2線",'0808 4度C'!$B:$B,"平均")</f>
        <v>80.5555680281402</v>
      </c>
      <c r="F14" s="79">
        <f>SUMIFS('0808 4度C'!$N:$N,'0808 4度C'!$A:$A,"新豐5線",'0808 4度C'!$B:$B,"平均")</f>
        <v>91.154202576861081</v>
      </c>
      <c r="G14" s="79">
        <f>SUMIFS('0808 4度C'!$N:$N,'0808 4度C'!$A:$A,"新豐7線",'0808 4度C'!$B:$B,"平均")</f>
        <v>129.55101842413683</v>
      </c>
      <c r="H14" s="79">
        <f>SUMIFS('0808 4度C'!$N:$N,'0808 4度C'!$A:$A,"新豐3線",'0808 4度C'!$B:$B,"平均")</f>
        <v>311.43507873844993</v>
      </c>
      <c r="I14" s="79">
        <f>SUMIFS('0808 4度C'!$N:$N,'0808 4度C'!$A:$A,"新豐1線",'0808 4度C'!$B:$B,"平均")</f>
        <v>107.1323669184402</v>
      </c>
      <c r="J14" s="80">
        <f>SUMIFS('0808 4度C'!$N:$N,'0808 4度C'!$A:$A,"新豐10線",'0808 4度C'!$B:$B,"平均")</f>
        <v>281.78953828228299</v>
      </c>
      <c r="K14" s="81">
        <f>SUMIFS('0808 4度C'!$N:$N,'0808 4度C'!$A:$A,"新豐8線",'0808 4度C'!$B:$B,"平均")</f>
        <v>133.51537117379661</v>
      </c>
      <c r="L14" s="82">
        <f>SUMIFS('0808 4度C'!$N:$N,'0808 4度C'!$A:$A,"新豐9線",'0808 4度C'!$B:$B,"平均")</f>
        <v>121.55402469832933</v>
      </c>
      <c r="M14" s="80">
        <f>SUMIFS('0808 4度C'!$N:$N,'0808 4度C'!$A:$A,"新豐4線",'0808 4度C'!$B:$B,"平均")</f>
        <v>140.89693224374011</v>
      </c>
    </row>
    <row r="15" spans="2:17" ht="40.15" customHeight="1">
      <c r="B15" s="584"/>
      <c r="C15" s="83" t="s">
        <v>848</v>
      </c>
      <c r="D15" s="84">
        <f t="shared" ref="D15:M15" si="0">D14/D13</f>
        <v>0.96010007202153025</v>
      </c>
      <c r="E15" s="85">
        <f t="shared" si="0"/>
        <v>0.95592607393393036</v>
      </c>
      <c r="F15" s="85">
        <f t="shared" si="0"/>
        <v>0.95711912705704127</v>
      </c>
      <c r="G15" s="85">
        <f t="shared" si="0"/>
        <v>0.96083671997901499</v>
      </c>
      <c r="H15" s="85">
        <f t="shared" si="0"/>
        <v>0.96025815944355397</v>
      </c>
      <c r="I15" s="85">
        <f t="shared" si="0"/>
        <v>0.95749552933355919</v>
      </c>
      <c r="J15" s="86">
        <f t="shared" si="0"/>
        <v>0.96278092246446689</v>
      </c>
      <c r="K15" s="84">
        <f t="shared" si="0"/>
        <v>0.95500577992368407</v>
      </c>
      <c r="L15" s="85">
        <f t="shared" si="0"/>
        <v>0.9563441649059734</v>
      </c>
      <c r="M15" s="86">
        <f t="shared" si="0"/>
        <v>0.95608632593966492</v>
      </c>
    </row>
    <row r="16" spans="2:17" ht="17.25" customHeight="1">
      <c r="B16" s="585" t="s">
        <v>849</v>
      </c>
      <c r="C16" s="87" t="s">
        <v>850</v>
      </c>
      <c r="D16" s="88">
        <f>VLOOKUP("新豐6線",'0808 4度C'!$A:$T,19,0)</f>
        <v>0.70833333333333337</v>
      </c>
      <c r="E16" s="89">
        <f>VLOOKUP("新豐2線",'0808 4度C'!$A:$T,19,0)</f>
        <v>8.3333333333333329E-2</v>
      </c>
      <c r="F16" s="89">
        <f>VLOOKUP("新豐5線",'0808 4度C'!$A:$T,19,0)</f>
        <v>0.20833333333333334</v>
      </c>
      <c r="G16" s="89">
        <f>VLOOKUP("新豐7線",'0808 4度C'!$A:$T,19,0)</f>
        <v>0.20833333333333334</v>
      </c>
      <c r="H16" s="89">
        <f>VLOOKUP("新豐3線",'0808 4度C'!$A:$T,19,0)</f>
        <v>0.20833333333333334</v>
      </c>
      <c r="I16" s="89">
        <f>VLOOKUP("新豐1線",'0808 4度C'!$A:$T,19,0)</f>
        <v>0.20833333333333334</v>
      </c>
      <c r="J16" s="90">
        <f>VLOOKUP("新豐10線",'0808 4度C'!$A:$T,19,0)</f>
        <v>0.20833333333333334</v>
      </c>
      <c r="K16" s="91">
        <f>VLOOKUP("新豐8線",'0808 4度C'!$A:$T,19,0)</f>
        <v>8.3333333333333329E-2</v>
      </c>
      <c r="L16" s="92">
        <f>VLOOKUP("新豐9線",'0808 4度C'!$A:$T,19,0)</f>
        <v>8.3333333333333329E-2</v>
      </c>
      <c r="M16" s="93">
        <f>VLOOKUP("新豐4線",'0808 4度C'!$A:$T,19,0)</f>
        <v>8.3333333333333329E-2</v>
      </c>
    </row>
    <row r="17" spans="2:13" ht="17.25" customHeight="1">
      <c r="B17" s="586"/>
      <c r="C17" s="87" t="s">
        <v>851</v>
      </c>
      <c r="D17" s="91">
        <f>LOOKUP(2,1/(('0808 4度C'!$A:$A="新豐6線")*('0808 4度C'!$T:$T&lt;&gt;"")),'0808 4度C'!$T:$T)</f>
        <v>0.85763888888888895</v>
      </c>
      <c r="E17" s="89">
        <f>LOOKUP(2,1/(('0808 4度C'!$A:$A="新豐2線")*('0808 4度C'!$T:$T&lt;&gt;"")),'0808 4度C'!$T:$T)</f>
        <v>0.57361111111111107</v>
      </c>
      <c r="F17" s="89">
        <f>LOOKUP(2,1/(('0808 4度C'!$A:$A="新豐5線")*('0808 4度C'!$T:$T&lt;&gt;"")),'0808 4度C'!$T:$T)</f>
        <v>0.90277777777777779</v>
      </c>
      <c r="G17" s="89">
        <f>LOOKUP(2,1/(('0808 4度C'!$A:$A="新豐7線")*('0808 4度C'!$T:$T&lt;&gt;"")),'0808 4度C'!$T:$T)</f>
        <v>0.84930555555555554</v>
      </c>
      <c r="H17" s="89">
        <f>LOOKUP(2,1/(('0808 4度C'!$A:$A="新豐3線")*('0808 4度C'!$T:$T&lt;&gt;"")),'0808 4度C'!$T:$T)</f>
        <v>0.38194444444444436</v>
      </c>
      <c r="I17" s="89">
        <f>LOOKUP(2,1/(('0808 4度C'!$A:$A="新豐1線")*('0808 4度C'!$T:$T&lt;&gt;"")),'0808 4度C'!$T:$T)</f>
        <v>0.85416666666666674</v>
      </c>
      <c r="J17" s="90">
        <f>LOOKUP(2,1/(('0808 4度C'!$A:$A="新豐10線")*('0808 4度C'!$T:$T&lt;&gt;"")),'0808 4度C'!$T:$T)</f>
        <v>0.37083333333333329</v>
      </c>
      <c r="K17" s="88">
        <f>LOOKUP(2,1/(('0808 4度C'!$A:$A="新豐8線")*('0808 4度C'!$T:$T&lt;&gt;"")),'0808 4度C'!$T:$T)</f>
        <v>0.60138888888888875</v>
      </c>
      <c r="L17" s="89">
        <f>LOOKUP(2,1/(('0808 4度C'!$A:$A="新豐9線")*('0808 4度C'!$T:$T&lt;&gt;"")),'0808 4度C'!$T:$T)</f>
        <v>0.6152777777777777</v>
      </c>
      <c r="M17" s="90">
        <f>LOOKUP(2,1/(('0808 4度C'!$A:$A="新豐4線")*('0808 4度C'!$T:$T&lt;&gt;"")),'0808 4度C'!$T:$T)</f>
        <v>0.58472222222222203</v>
      </c>
    </row>
    <row r="18" spans="2:13" ht="17.25" customHeight="1">
      <c r="B18" s="564" t="s">
        <v>852</v>
      </c>
      <c r="C18" s="94" t="s">
        <v>853</v>
      </c>
      <c r="D18" s="95">
        <f>SUMIFS('0808 4度C'!$Y:$Y,'0808 4度C'!$A:$A,"新豐6線",'0808 4度C'!$B:$B,"平均")</f>
        <v>0</v>
      </c>
      <c r="E18" s="96">
        <f>SUMIFS('0808 4度C'!$Y:$Y,'0808 4度C'!$A:$A,"新豐2線",'0808 4度C'!$B:$B,"平均")</f>
        <v>0</v>
      </c>
      <c r="F18" s="96">
        <f>SUMIFS('0808 4度C'!$Y:$Y,'0808 4度C'!$A:$A,"新豐5線",'0808 4度C'!$B:$B,"平均")</f>
        <v>0</v>
      </c>
      <c r="G18" s="96">
        <f>SUMIFS('0808 4度C'!$Y:$Y,'0808 4度C'!$A:$A,"新豐7線",'0808 4度C'!$B:$B,"平均")</f>
        <v>0</v>
      </c>
      <c r="H18" s="96">
        <f>SUMIFS('0808 4度C'!$Y:$Y,'0808 4度C'!$A:$A,"新豐3線",'0808 4度C'!$B:$B,"平均")</f>
        <v>0</v>
      </c>
      <c r="I18" s="96">
        <f>SUMIFS('0808 4度C'!$Y:$Y,'0808 4度C'!$A:$A,"新豐1線",'0808 4度C'!$B:$B,"平均")</f>
        <v>0</v>
      </c>
      <c r="J18" s="97">
        <f>SUMIFS('0808 4度C'!$Y:$Y,'0808 4度C'!$A:$A,"新豐10線",'0808 4度C'!$B:$B,"平均")</f>
        <v>0</v>
      </c>
      <c r="K18" s="98">
        <f>SUMIFS('0808 4度C'!$Y:$Y,'0808 4度C'!$A:$A,"新豐8線",'0808 4度C'!$B:$B,"平均")</f>
        <v>0</v>
      </c>
      <c r="L18" s="96">
        <f>SUMIFS('0808 4度C'!$Y:$Y,'0808 4度C'!$A:$A,"新豐9線",'0808 4度C'!$B:$B,"平均")</f>
        <v>0</v>
      </c>
      <c r="M18" s="97">
        <f>SUMIFS('0808 4度C'!$Y:$Y,'0808 4度C'!$A:$A,"新豐4線",'0808 4度C'!$B:$B,"平均")</f>
        <v>0</v>
      </c>
    </row>
    <row r="19" spans="2:13" ht="17.25" customHeight="1">
      <c r="B19" s="565"/>
      <c r="C19" s="94" t="s">
        <v>854</v>
      </c>
      <c r="D19" s="95">
        <f>SUMIFS('0808 4度C'!$Z:$Z,'0808 4度C'!$A:$A,"新豐6線",'0808 4度C'!$B:$B,"平均")</f>
        <v>0</v>
      </c>
      <c r="E19" s="96">
        <f>SUMIFS('0808 4度C'!$Z:$Z,'0808 4度C'!$A:$A,"新豐2線",'0808 4度C'!$B:$B,"平均")</f>
        <v>0</v>
      </c>
      <c r="F19" s="96">
        <f>SUMIFS('0808 4度C'!$Z:$Z,'0808 4度C'!$A:$A,"新豐5線",'0808 4度C'!$B:$B,"平均")</f>
        <v>0</v>
      </c>
      <c r="G19" s="96">
        <f>SUMIFS('0808 4度C'!$Z:$Z,'0808 4度C'!$A:$A,"新豐7線",'0808 4度C'!$B:$B,"平均")</f>
        <v>0</v>
      </c>
      <c r="H19" s="96">
        <f>SUMIFS('0808 4度C'!$Z:$Z,'0808 4度C'!$A:$A,"新豐3線",'0808 4度C'!$B:$B,"平均")</f>
        <v>0</v>
      </c>
      <c r="I19" s="96">
        <f>SUMIFS('0808 4度C'!$Z:$Z,'0808 4度C'!$A:$A,"新豐1線",'0808 4度C'!$B:$B,"平均")</f>
        <v>0</v>
      </c>
      <c r="J19" s="97">
        <f>SUMIFS('0808 4度C'!$Z:$Z,'0808 4度C'!$A:$A,"新豐10線",'0808 4度C'!$B:$B,"平均")</f>
        <v>0</v>
      </c>
      <c r="K19" s="98">
        <f>SUMIFS('0808 4度C'!$Z:$Z,'0808 4度C'!$A:$A,"新豐8線",'0808 4度C'!$B:$B,"平均")</f>
        <v>0</v>
      </c>
      <c r="L19" s="96">
        <f>SUMIFS('0808 4度C'!$Z:$Z,'0808 4度C'!$A:$A,"新豐9線",'0808 4度C'!$B:$B,"平均")</f>
        <v>0</v>
      </c>
      <c r="M19" s="97">
        <f>SUMIFS('0808 4度C'!$Z:$Z,'0808 4度C'!$A:$A,"新豐4線",'0808 4度C'!$B:$B,"平均")</f>
        <v>0</v>
      </c>
    </row>
    <row r="20" spans="2:13" ht="17.25" customHeight="1">
      <c r="B20" s="564" t="s">
        <v>855</v>
      </c>
      <c r="C20" s="94" t="s">
        <v>853</v>
      </c>
      <c r="D20" s="95">
        <f>SUMIFS('0808 4度C'!$AC:$AC,'0808 4度C'!$A:$A,"新豐6線",'0808 4度C'!$B:$B,"平均")</f>
        <v>3</v>
      </c>
      <c r="E20" s="96">
        <f>SUMIFS('0808 4度C'!$AC:$AC,'0808 4度C'!$A:$A,"新豐2線",'0808 4度C'!$B:$B,"平均")</f>
        <v>5</v>
      </c>
      <c r="F20" s="96">
        <f>SUMIFS('0808 4度C'!$AC:$AC,'0808 4度C'!$A:$A,"新豐5線",'0808 4度C'!$B:$B,"平均")</f>
        <v>8</v>
      </c>
      <c r="G20" s="96">
        <f>SUMIFS('0808 4度C'!$AC:$AC,'0808 4度C'!$A:$A,"新豐7線",'0808 4度C'!$B:$B,"平均")</f>
        <v>6</v>
      </c>
      <c r="H20" s="96">
        <f>SUMIFS('0808 4度C'!$AC:$AC,'0808 4度C'!$A:$A,"新豐3線",'0808 4度C'!$B:$B,"平均")</f>
        <v>4</v>
      </c>
      <c r="I20" s="96">
        <f>SUMIFS('0808 4度C'!$AC:$AC,'0808 4度C'!$A:$A,"新豐1線",'0808 4度C'!$B:$B,"平均")</f>
        <v>8</v>
      </c>
      <c r="J20" s="97">
        <f>SUMIFS('0808 4度C'!$AC:$AC,'0808 4度C'!$A:$A,"新豐10線",'0808 4度C'!$B:$B,"平均")</f>
        <v>4</v>
      </c>
      <c r="K20" s="98">
        <f>SUMIFS('0808 4度C'!$AC:$AC,'0808 4度C'!$A:$A,"新豐8線",'0808 4度C'!$B:$B,"平均")</f>
        <v>6</v>
      </c>
      <c r="L20" s="96">
        <f>SUMIFS('0808 4度C'!$AC:$AC,'0808 4度C'!$A:$A,"新豐9線",'0808 4度C'!$B:$B,"平均")</f>
        <v>6</v>
      </c>
      <c r="M20" s="97">
        <f>SUMIFS('0808 4度C'!$AC:$AC,'0808 4度C'!$A:$A,"新豐4線",'0808 4度C'!$B:$B,"平均")</f>
        <v>7</v>
      </c>
    </row>
    <row r="21" spans="2:13" ht="17.25" customHeight="1">
      <c r="B21" s="565"/>
      <c r="C21" s="94" t="s">
        <v>856</v>
      </c>
      <c r="D21" s="95">
        <f>SUMIFS('0808 4度C'!$AD:$AD,'0808 4度C'!$A:$A,"新豐6線",'0808 4度C'!$B:$B,"平均")</f>
        <v>0</v>
      </c>
      <c r="E21" s="96">
        <f>SUMIFS('0808 4度C'!$AD:$AD,'0808 4度C'!$A:$A,"新豐2線",'0808 4度C'!$B:$B,"平均")</f>
        <v>0</v>
      </c>
      <c r="F21" s="96">
        <f>SUMIFS('0808 4度C'!$AD:$AD,'0808 4度C'!$A:$A,"新豐5線",'0808 4度C'!$B:$B,"平均")</f>
        <v>0</v>
      </c>
      <c r="G21" s="96">
        <f>SUMIFS('0808 4度C'!$AD:$AD,'0808 4度C'!$A:$A,"新豐7線",'0808 4度C'!$B:$B,"平均")</f>
        <v>0</v>
      </c>
      <c r="H21" s="96">
        <f>SUMIFS('0808 4度C'!$AD:$AD,'0808 4度C'!$A:$A,"新豐3線",'0808 4度C'!$B:$B,"平均")</f>
        <v>0</v>
      </c>
      <c r="I21" s="96">
        <f>SUMIFS('0808 4度C'!$AD:$AD,'0808 4度C'!$A:$A,"新豐1線",'0808 4度C'!$B:$B,"平均")</f>
        <v>0</v>
      </c>
      <c r="J21" s="97">
        <f>SUMIFS('0808 4度C'!$AD:$AD,'0808 4度C'!$A:$A,"新豐10線",'0808 4度C'!$B:$B,"平均")</f>
        <v>0</v>
      </c>
      <c r="K21" s="98">
        <f>SUMIFS('0808 4度C'!$AD:$AD,'0808 4度C'!$A:$A,"新豐8線",'0808 4度C'!$B:$B,"平均")</f>
        <v>0</v>
      </c>
      <c r="L21" s="96">
        <f>SUMIFS('0808 4度C'!$AD:$AD,'0808 4度C'!$A:$A,"新豐9線",'0808 4度C'!$B:$B,"平均")</f>
        <v>0</v>
      </c>
      <c r="M21" s="97">
        <f>SUMIFS('0808 4度C'!$AD:$AD,'0808 4度C'!$A:$A,"新豐4線",'0808 4度C'!$B:$B,"平均")</f>
        <v>0</v>
      </c>
    </row>
    <row r="22" spans="2:13" ht="17.25" customHeight="1">
      <c r="B22" s="566" t="s">
        <v>857</v>
      </c>
      <c r="C22" s="567"/>
      <c r="D22" s="99">
        <f>SUMIFS('0808 4度C'!$I:$I,'0808 4度C'!$A:$A,"新豐6線",'0808 4度C'!$B:$B,"平均")</f>
        <v>15.333333333333334</v>
      </c>
      <c r="E22" s="100">
        <f>SUMIFS('0808 4度C'!$I:$I,'0808 4度C'!$A:$A,"新豐2線",'0808 4度C'!$B:$B,"平均")</f>
        <v>17.8</v>
      </c>
      <c r="F22" s="100">
        <f>SUMIFS('0808 4度C'!$I:$I,'0808 4度C'!$A:$A,"新豐5線",'0808 4度C'!$B:$B,"平均")</f>
        <v>18.375</v>
      </c>
      <c r="G22" s="100">
        <f>SUMIFS('0808 4度C'!$I:$I,'0808 4度C'!$A:$A,"新豐7線",'0808 4度C'!$B:$B,"平均")</f>
        <v>14.833333333333334</v>
      </c>
      <c r="H22" s="100">
        <f>SUMIFS('0808 4度C'!$I:$I,'0808 4度C'!$A:$A,"新豐3線",'0808 4度C'!$B:$B,"平均")</f>
        <v>9.25</v>
      </c>
      <c r="I22" s="100">
        <f>SUMIFS('0808 4度C'!$I:$I,'0808 4度C'!$A:$A,"新豐1線",'0808 4度C'!$B:$B,"平均")</f>
        <v>17.875</v>
      </c>
      <c r="J22" s="101">
        <f>SUMIFS('0808 4度C'!$I:$I,'0808 4度C'!$A:$A,"新豐10線",'0808 4度C'!$B:$B,"平均")</f>
        <v>10.25</v>
      </c>
      <c r="K22" s="99">
        <f>SUMIFS('0808 4度C'!$I:$I,'0808 4度C'!$A:$A,"新豐8線",'0808 4度C'!$B:$B,"平均")</f>
        <v>17.166666666666668</v>
      </c>
      <c r="L22" s="100">
        <f>SUMIFS('0808 4度C'!$I:$I,'0808 4度C'!$A:$A,"新豐9線",'0808 4度C'!$B:$B,"平均")</f>
        <v>17.833333333333332</v>
      </c>
      <c r="M22" s="101">
        <f>SUMIFS('0808 4度C'!$I:$I,'0808 4度C'!$A:$A,"新豐4線",'0808 4度C'!$B:$B,"平均")</f>
        <v>16.285714285714285</v>
      </c>
    </row>
    <row r="23" spans="2:13" ht="17.25" customHeight="1">
      <c r="B23" s="566" t="s">
        <v>858</v>
      </c>
      <c r="C23" s="567"/>
      <c r="D23" s="102" t="s">
        <v>202</v>
      </c>
      <c r="E23" s="103" t="s">
        <v>203</v>
      </c>
      <c r="F23" s="103" t="s">
        <v>204</v>
      </c>
      <c r="G23" s="103" t="s">
        <v>859</v>
      </c>
      <c r="H23" s="103" t="s">
        <v>205</v>
      </c>
      <c r="I23" s="103" t="s">
        <v>202</v>
      </c>
      <c r="J23" s="104" t="s">
        <v>205</v>
      </c>
      <c r="K23" s="102" t="s">
        <v>860</v>
      </c>
      <c r="L23" s="103" t="s">
        <v>860</v>
      </c>
      <c r="M23" s="104" t="s">
        <v>860</v>
      </c>
    </row>
    <row r="24" spans="2:13" ht="17.25" customHeight="1">
      <c r="B24" s="566" t="s">
        <v>861</v>
      </c>
      <c r="C24" s="567"/>
      <c r="D24" s="102"/>
      <c r="E24" s="103"/>
      <c r="F24" s="103" t="s">
        <v>862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68" t="s">
        <v>863</v>
      </c>
      <c r="C25" s="569"/>
      <c r="D25" s="105"/>
      <c r="E25" s="106" t="s">
        <v>864</v>
      </c>
      <c r="F25" s="562" t="s">
        <v>865</v>
      </c>
      <c r="G25" s="563"/>
      <c r="H25" s="106" t="s">
        <v>866</v>
      </c>
      <c r="I25" s="106" t="s">
        <v>867</v>
      </c>
      <c r="J25" s="107" t="s">
        <v>866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69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2"/>
  <sheetViews>
    <sheetView zoomScale="80" zoomScaleNormal="80" workbookViewId="0">
      <pane ySplit="4" topLeftCell="A5" activePane="bottomLeft" state="frozen"/>
      <selection activeCell="A13" sqref="A13"/>
      <selection pane="bottomLeft" activeCell="A9" sqref="A9:A14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41" customWidth="1"/>
    <col min="20" max="20" width="7.625" style="41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265</v>
      </c>
      <c r="B1" s="1"/>
      <c r="C1" s="2" t="s">
        <v>868</v>
      </c>
      <c r="D1" s="3">
        <f>SUM(F5:F71)</f>
        <v>155013</v>
      </c>
      <c r="E1" s="203" t="s">
        <v>869</v>
      </c>
      <c r="F1" s="1">
        <f>SUM(G5:G71)</f>
        <v>5423347.6900000004</v>
      </c>
      <c r="G1" s="1" t="s">
        <v>870</v>
      </c>
      <c r="H1" s="5">
        <f>L8+L14+L49+L58+L23+L63+L37+L44+L30+L71</f>
        <v>155.00238095238095</v>
      </c>
      <c r="I1" s="676" t="s">
        <v>474</v>
      </c>
      <c r="J1" s="676"/>
      <c r="K1" s="676"/>
      <c r="L1" s="676" t="s">
        <v>5</v>
      </c>
      <c r="M1" s="676"/>
      <c r="N1" s="676"/>
      <c r="O1" s="676" t="s">
        <v>871</v>
      </c>
      <c r="P1" s="676"/>
      <c r="Q1" s="676"/>
      <c r="R1" s="676"/>
      <c r="S1" s="676" t="s">
        <v>872</v>
      </c>
      <c r="T1" s="676"/>
      <c r="U1" s="676"/>
      <c r="V1" s="676"/>
      <c r="W1" s="676"/>
      <c r="X1" s="676"/>
      <c r="Y1" s="6" t="s">
        <v>578</v>
      </c>
      <c r="Z1" s="7" t="s">
        <v>274</v>
      </c>
      <c r="AA1" s="677" t="s">
        <v>873</v>
      </c>
      <c r="AB1" s="677"/>
      <c r="AC1" s="8" t="s">
        <v>578</v>
      </c>
      <c r="AD1" s="7" t="s">
        <v>11</v>
      </c>
      <c r="AE1" s="676" t="s">
        <v>277</v>
      </c>
      <c r="AF1" s="678"/>
      <c r="AG1" s="678"/>
    </row>
    <row r="2" spans="1:33" ht="26.25" customHeight="1">
      <c r="A2" s="35">
        <v>46242</v>
      </c>
      <c r="B2" s="36" t="s">
        <v>90</v>
      </c>
      <c r="C2" s="2" t="s">
        <v>26</v>
      </c>
      <c r="D2" s="10">
        <f>AVERAGE(N8,N14,N49,N58,N23,N63,N30,N37,N44,N71)</f>
        <v>152.28145452608987</v>
      </c>
      <c r="E2" s="11" t="s">
        <v>14</v>
      </c>
      <c r="F2" s="12">
        <f>F1/D1</f>
        <v>34.986405591789079</v>
      </c>
      <c r="G2" s="1" t="s">
        <v>15</v>
      </c>
      <c r="H2" s="213">
        <f>COUNT(H5:H71)</f>
        <v>5</v>
      </c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14">
        <f>SUM(Y8+Y14+Y23+Y30+Y37+Y44+Y49+Y58+Y63+Y71)</f>
        <v>0</v>
      </c>
      <c r="Z2" s="14">
        <f>SUM(Z8+Z14+Z23+Z30+Z37+Z44+Z49+Z58+Z63+Z71)</f>
        <v>0</v>
      </c>
      <c r="AA2" s="677"/>
      <c r="AB2" s="677"/>
      <c r="AC2" s="14">
        <v>57</v>
      </c>
      <c r="AD2" s="14">
        <f>SUM(AD8+AD14+AD23+AD30+AD37+AD44+AD49+AD58+AD63+AD71)</f>
        <v>0</v>
      </c>
      <c r="AE2" s="678"/>
      <c r="AF2" s="678"/>
      <c r="AG2" s="678"/>
    </row>
    <row r="3" spans="1:33" ht="40.5" customHeight="1">
      <c r="A3" s="632" t="s">
        <v>874</v>
      </c>
      <c r="B3" s="632" t="s">
        <v>875</v>
      </c>
      <c r="C3" s="632" t="s">
        <v>876</v>
      </c>
      <c r="D3" s="632"/>
      <c r="E3" s="674" t="s">
        <v>877</v>
      </c>
      <c r="F3" s="632" t="s">
        <v>878</v>
      </c>
      <c r="G3" s="674" t="s">
        <v>879</v>
      </c>
      <c r="H3" s="667" t="s">
        <v>880</v>
      </c>
      <c r="I3" s="665" t="s">
        <v>881</v>
      </c>
      <c r="J3" s="662" t="s">
        <v>882</v>
      </c>
      <c r="K3" s="672" t="s">
        <v>845</v>
      </c>
      <c r="L3" s="665" t="s">
        <v>883</v>
      </c>
      <c r="M3" s="662" t="s">
        <v>884</v>
      </c>
      <c r="N3" s="672" t="s">
        <v>845</v>
      </c>
      <c r="O3" s="665" t="s">
        <v>885</v>
      </c>
      <c r="P3" s="672" t="s">
        <v>845</v>
      </c>
      <c r="Q3" s="663" t="s">
        <v>886</v>
      </c>
      <c r="R3" s="641" t="s">
        <v>887</v>
      </c>
      <c r="S3" s="673" t="s">
        <v>29</v>
      </c>
      <c r="T3" s="673"/>
      <c r="U3" s="667" t="s">
        <v>30</v>
      </c>
      <c r="V3" s="667" t="s">
        <v>888</v>
      </c>
      <c r="W3" s="632" t="s">
        <v>889</v>
      </c>
      <c r="X3" s="632"/>
      <c r="Y3" s="668" t="s">
        <v>890</v>
      </c>
      <c r="Z3" s="631"/>
      <c r="AA3" s="669" t="s">
        <v>891</v>
      </c>
      <c r="AB3" s="670"/>
      <c r="AC3" s="668" t="s">
        <v>892</v>
      </c>
      <c r="AD3" s="631"/>
      <c r="AE3" s="662" t="s">
        <v>893</v>
      </c>
      <c r="AF3" s="663" t="s">
        <v>894</v>
      </c>
      <c r="AG3" s="641" t="s">
        <v>895</v>
      </c>
    </row>
    <row r="4" spans="1:33" ht="15.75" customHeight="1">
      <c r="A4" s="632"/>
      <c r="B4" s="632"/>
      <c r="C4" s="632"/>
      <c r="D4" s="632"/>
      <c r="E4" s="675"/>
      <c r="F4" s="632"/>
      <c r="G4" s="675"/>
      <c r="H4" s="667"/>
      <c r="I4" s="665"/>
      <c r="J4" s="662"/>
      <c r="K4" s="672"/>
      <c r="L4" s="665"/>
      <c r="M4" s="662"/>
      <c r="N4" s="672"/>
      <c r="O4" s="665"/>
      <c r="P4" s="672"/>
      <c r="Q4" s="663"/>
      <c r="R4" s="641"/>
      <c r="S4" s="212" t="s">
        <v>39</v>
      </c>
      <c r="T4" s="212" t="s">
        <v>40</v>
      </c>
      <c r="U4" s="667"/>
      <c r="V4" s="667"/>
      <c r="W4" s="203" t="s">
        <v>896</v>
      </c>
      <c r="X4" s="203" t="s">
        <v>897</v>
      </c>
      <c r="Y4" s="202" t="s">
        <v>898</v>
      </c>
      <c r="Z4" s="202" t="s">
        <v>899</v>
      </c>
      <c r="AA4" s="671"/>
      <c r="AB4" s="670"/>
      <c r="AC4" s="202" t="s">
        <v>900</v>
      </c>
      <c r="AD4" s="202" t="s">
        <v>901</v>
      </c>
      <c r="AE4" s="662"/>
      <c r="AF4" s="663"/>
      <c r="AG4" s="641"/>
    </row>
    <row r="5" spans="1:33">
      <c r="A5" s="664" t="s">
        <v>902</v>
      </c>
      <c r="B5" s="42" t="s">
        <v>92</v>
      </c>
      <c r="C5" s="666" t="s">
        <v>93</v>
      </c>
      <c r="D5" s="666"/>
      <c r="E5" s="42">
        <v>50.92</v>
      </c>
      <c r="F5" s="212">
        <v>2220</v>
      </c>
      <c r="G5" s="203">
        <f t="shared" ref="G5:G7" si="0">E5*F5</f>
        <v>113042.40000000001</v>
      </c>
      <c r="H5" s="37" t="s">
        <v>91</v>
      </c>
      <c r="I5" s="210">
        <v>15</v>
      </c>
      <c r="J5" s="39">
        <v>2000</v>
      </c>
      <c r="K5" s="17">
        <f t="shared" ref="K5:K68" si="1">J5/I5</f>
        <v>133.33333333333334</v>
      </c>
      <c r="L5" s="210">
        <v>15</v>
      </c>
      <c r="M5" s="18">
        <f t="shared" ref="M5:M7" si="2">F5/V5*60</f>
        <v>1930.4347826086937</v>
      </c>
      <c r="N5" s="17">
        <f t="shared" ref="N5:N68" si="3">M5/L5</f>
        <v>128.69565217391292</v>
      </c>
      <c r="O5" s="19">
        <f t="shared" ref="O5:O68" si="4">L5-I5</f>
        <v>0</v>
      </c>
      <c r="P5" s="20">
        <f t="shared" ref="P5:P68" si="5">N5-K5</f>
        <v>-4.6376811594204241</v>
      </c>
      <c r="Q5" s="208">
        <f t="shared" ref="Q5:Q68" si="6">N5/K5</f>
        <v>0.96521739130434681</v>
      </c>
      <c r="R5" s="637">
        <f>Q8</f>
        <v>0.96010007202153025</v>
      </c>
      <c r="S5" s="40">
        <v>0.70833333333333337</v>
      </c>
      <c r="T5" s="40">
        <v>0.75625000000000009</v>
      </c>
      <c r="U5" s="203"/>
      <c r="V5" s="211">
        <f t="shared" ref="V5:V7" si="7">(T5-S5)*24*60</f>
        <v>69.000000000000071</v>
      </c>
      <c r="W5" s="23"/>
      <c r="X5" s="23"/>
      <c r="Y5" s="24"/>
      <c r="Z5" s="24"/>
      <c r="AA5" s="632"/>
      <c r="AB5" s="632"/>
      <c r="AC5" s="25">
        <v>3</v>
      </c>
      <c r="AD5" s="25"/>
      <c r="AE5" s="19">
        <f t="shared" ref="AE5:AE57" si="8">M5-J5</f>
        <v>-69.565217391306305</v>
      </c>
      <c r="AF5" s="208">
        <f t="shared" ref="AF5:AF68" si="9">M5/J5</f>
        <v>0.96521739130434681</v>
      </c>
      <c r="AG5" s="637">
        <f>AF8</f>
        <v>0.96010007202153036</v>
      </c>
    </row>
    <row r="6" spans="1:33">
      <c r="A6" s="665" t="s">
        <v>48</v>
      </c>
      <c r="B6" s="42" t="s">
        <v>92</v>
      </c>
      <c r="C6" s="666" t="s">
        <v>94</v>
      </c>
      <c r="D6" s="666"/>
      <c r="E6" s="42">
        <v>50.98</v>
      </c>
      <c r="F6" s="212">
        <v>2369</v>
      </c>
      <c r="G6" s="203">
        <f t="shared" si="0"/>
        <v>120771.62</v>
      </c>
      <c r="H6" s="37" t="s">
        <v>91</v>
      </c>
      <c r="I6" s="210">
        <v>16</v>
      </c>
      <c r="J6" s="39">
        <v>2000</v>
      </c>
      <c r="K6" s="17">
        <f t="shared" si="1"/>
        <v>125</v>
      </c>
      <c r="L6" s="210">
        <v>16</v>
      </c>
      <c r="M6" s="18">
        <f t="shared" si="2"/>
        <v>1920.8108108108092</v>
      </c>
      <c r="N6" s="17">
        <f t="shared" si="3"/>
        <v>120.05067567567558</v>
      </c>
      <c r="O6" s="19">
        <f t="shared" si="4"/>
        <v>0</v>
      </c>
      <c r="P6" s="20">
        <f t="shared" si="5"/>
        <v>-4.9493243243244223</v>
      </c>
      <c r="Q6" s="208">
        <f t="shared" si="6"/>
        <v>0.96040540540540464</v>
      </c>
      <c r="R6" s="637"/>
      <c r="S6" s="40">
        <v>0.7597222222222223</v>
      </c>
      <c r="T6" s="40">
        <v>0.81111111111111123</v>
      </c>
      <c r="U6" s="203">
        <f t="shared" ref="U6:U7" si="10">IF(S6=TIME(17,0,0),"",(S6-T5)*24*60)</f>
        <v>4.9999999999999822</v>
      </c>
      <c r="V6" s="211">
        <f t="shared" si="7"/>
        <v>74.000000000000057</v>
      </c>
      <c r="W6" s="23"/>
      <c r="X6" s="23"/>
      <c r="Y6" s="23"/>
      <c r="Z6" s="23"/>
      <c r="AA6" s="632"/>
      <c r="AB6" s="632"/>
      <c r="AC6" s="25"/>
      <c r="AD6" s="25"/>
      <c r="AE6" s="19">
        <f t="shared" si="8"/>
        <v>-79.189189189190756</v>
      </c>
      <c r="AF6" s="208">
        <f t="shared" si="9"/>
        <v>0.96040540540540464</v>
      </c>
      <c r="AG6" s="637"/>
    </row>
    <row r="7" spans="1:33">
      <c r="A7" s="665" t="s">
        <v>903</v>
      </c>
      <c r="B7" s="42" t="s">
        <v>92</v>
      </c>
      <c r="C7" s="660" t="s">
        <v>109</v>
      </c>
      <c r="D7" s="661"/>
      <c r="E7" s="42">
        <v>50.49</v>
      </c>
      <c r="F7" s="212">
        <v>1973</v>
      </c>
      <c r="G7" s="203">
        <f t="shared" si="0"/>
        <v>99616.77</v>
      </c>
      <c r="H7" s="37" t="s">
        <v>91</v>
      </c>
      <c r="I7" s="210">
        <v>15</v>
      </c>
      <c r="J7" s="39">
        <v>2000</v>
      </c>
      <c r="K7" s="17">
        <f t="shared" si="1"/>
        <v>133.33333333333334</v>
      </c>
      <c r="L7" s="210">
        <v>15</v>
      </c>
      <c r="M7" s="18">
        <f t="shared" si="2"/>
        <v>1909.3548387096791</v>
      </c>
      <c r="N7" s="17">
        <f t="shared" si="3"/>
        <v>127.29032258064528</v>
      </c>
      <c r="O7" s="19">
        <f t="shared" si="4"/>
        <v>0</v>
      </c>
      <c r="P7" s="20">
        <f t="shared" si="5"/>
        <v>-6.0430107526880619</v>
      </c>
      <c r="Q7" s="208">
        <f t="shared" si="6"/>
        <v>0.95467741935483952</v>
      </c>
      <c r="R7" s="637"/>
      <c r="S7" s="40">
        <v>0.81458333333333344</v>
      </c>
      <c r="T7" s="40">
        <v>0.85763888888888895</v>
      </c>
      <c r="U7" s="203">
        <f t="shared" si="10"/>
        <v>4.9999999999999822</v>
      </c>
      <c r="V7" s="211">
        <f t="shared" si="7"/>
        <v>61.999999999999943</v>
      </c>
      <c r="W7" s="23"/>
      <c r="X7" s="23"/>
      <c r="Y7" s="26"/>
      <c r="Z7" s="26"/>
      <c r="AA7" s="627"/>
      <c r="AB7" s="628"/>
      <c r="AC7" s="27"/>
      <c r="AD7" s="27"/>
      <c r="AE7" s="19">
        <f t="shared" si="8"/>
        <v>-90.645161290320857</v>
      </c>
      <c r="AF7" s="208">
        <f t="shared" si="9"/>
        <v>0.95467741935483952</v>
      </c>
      <c r="AG7" s="637"/>
    </row>
    <row r="8" spans="1:33">
      <c r="A8" s="665" t="s">
        <v>48</v>
      </c>
      <c r="B8" s="42" t="s">
        <v>52</v>
      </c>
      <c r="C8" s="638"/>
      <c r="D8" s="638"/>
      <c r="E8" s="209"/>
      <c r="F8" s="44"/>
      <c r="G8" s="17"/>
      <c r="H8" s="212"/>
      <c r="I8" s="29">
        <v>15.333333333333334</v>
      </c>
      <c r="J8" s="39">
        <v>2000</v>
      </c>
      <c r="K8" s="17">
        <f t="shared" si="1"/>
        <v>130.43478260869566</v>
      </c>
      <c r="L8" s="29">
        <v>15.333333333333334</v>
      </c>
      <c r="M8" s="18">
        <f>AVERAGE(M5:M7)</f>
        <v>1920.2001440430606</v>
      </c>
      <c r="N8" s="17">
        <f t="shared" si="3"/>
        <v>125.23044417672133</v>
      </c>
      <c r="O8" s="19">
        <f t="shared" si="4"/>
        <v>0</v>
      </c>
      <c r="P8" s="20">
        <f t="shared" si="5"/>
        <v>-5.2043384319743211</v>
      </c>
      <c r="Q8" s="208">
        <f t="shared" si="6"/>
        <v>0.96010007202153025</v>
      </c>
      <c r="R8" s="637"/>
      <c r="S8" s="40"/>
      <c r="T8" s="40"/>
      <c r="U8" s="203"/>
      <c r="V8" s="211"/>
      <c r="W8" s="17"/>
      <c r="X8" s="17"/>
      <c r="Y8" s="30">
        <f>SUM(Y5:Y7)</f>
        <v>0</v>
      </c>
      <c r="Z8" s="30">
        <f>SUM(Z5:Z7)</f>
        <v>0</v>
      </c>
      <c r="AA8" s="631"/>
      <c r="AB8" s="631"/>
      <c r="AC8" s="30">
        <v>3</v>
      </c>
      <c r="AD8" s="30">
        <f>SUM(AD5:AD7)</f>
        <v>0</v>
      </c>
      <c r="AE8" s="19">
        <f t="shared" si="8"/>
        <v>-79.799855956939382</v>
      </c>
      <c r="AF8" s="208">
        <f t="shared" si="9"/>
        <v>0.96010007202153036</v>
      </c>
      <c r="AG8" s="637"/>
    </row>
    <row r="9" spans="1:33" ht="15.75" customHeight="1">
      <c r="A9" s="659" t="s">
        <v>306</v>
      </c>
      <c r="B9" s="42" t="s">
        <v>96</v>
      </c>
      <c r="C9" s="660" t="s">
        <v>97</v>
      </c>
      <c r="D9" s="661"/>
      <c r="E9" s="42">
        <v>39.799999999999997</v>
      </c>
      <c r="F9" s="212">
        <v>6213</v>
      </c>
      <c r="G9" s="203">
        <f t="shared" ref="G9:G13" si="11">E9*F9</f>
        <v>247277.4</v>
      </c>
      <c r="H9" s="37" t="s">
        <v>91</v>
      </c>
      <c r="I9" s="210">
        <v>17</v>
      </c>
      <c r="J9" s="39">
        <v>1500</v>
      </c>
      <c r="K9" s="17">
        <f t="shared" si="1"/>
        <v>88.235294117647058</v>
      </c>
      <c r="L9" s="210">
        <v>17</v>
      </c>
      <c r="M9" s="18">
        <f t="shared" ref="M9:M13" si="12">F9/V9*60</f>
        <v>1428.2758620689651</v>
      </c>
      <c r="N9" s="17">
        <f t="shared" si="3"/>
        <v>84.016227180527366</v>
      </c>
      <c r="O9" s="19">
        <f t="shared" si="4"/>
        <v>0</v>
      </c>
      <c r="P9" s="20">
        <f t="shared" si="5"/>
        <v>-4.2190669371196918</v>
      </c>
      <c r="Q9" s="208">
        <f t="shared" si="6"/>
        <v>0.95218390804597686</v>
      </c>
      <c r="R9" s="637">
        <f>Q14</f>
        <v>0.95592607393393036</v>
      </c>
      <c r="S9" s="40">
        <v>8.3333333333333329E-2</v>
      </c>
      <c r="T9" s="40">
        <v>0.26458333333333334</v>
      </c>
      <c r="U9" s="203"/>
      <c r="V9" s="211">
        <f t="shared" ref="V9:V13" si="13">(T9-S9)*24*60</f>
        <v>261.00000000000006</v>
      </c>
      <c r="W9" s="23">
        <f>T9</f>
        <v>0.26458333333333334</v>
      </c>
      <c r="X9" s="23">
        <f>S10</f>
        <v>0.28194444444444444</v>
      </c>
      <c r="Y9" s="23"/>
      <c r="Z9" s="23"/>
      <c r="AA9" s="632"/>
      <c r="AB9" s="632"/>
      <c r="AC9" s="25">
        <v>5</v>
      </c>
      <c r="AD9" s="25"/>
      <c r="AE9" s="19">
        <f t="shared" si="8"/>
        <v>-71.724137931034875</v>
      </c>
      <c r="AF9" s="208">
        <f t="shared" si="9"/>
        <v>0.95218390804597675</v>
      </c>
      <c r="AG9" s="637">
        <f>AF14</f>
        <v>0.95592607393393048</v>
      </c>
    </row>
    <row r="10" spans="1:33" ht="15.75" customHeight="1">
      <c r="A10" s="659" t="s">
        <v>306</v>
      </c>
      <c r="B10" s="42" t="s">
        <v>96</v>
      </c>
      <c r="C10" s="660" t="s">
        <v>98</v>
      </c>
      <c r="D10" s="661"/>
      <c r="E10" s="42">
        <v>39.46</v>
      </c>
      <c r="F10" s="212">
        <v>2175</v>
      </c>
      <c r="G10" s="203">
        <f t="shared" si="11"/>
        <v>85825.5</v>
      </c>
      <c r="H10" s="37" t="s">
        <v>91</v>
      </c>
      <c r="I10" s="210">
        <v>15</v>
      </c>
      <c r="J10" s="39">
        <v>1500</v>
      </c>
      <c r="K10" s="17">
        <f t="shared" si="1"/>
        <v>100</v>
      </c>
      <c r="L10" s="210">
        <v>15</v>
      </c>
      <c r="M10" s="18">
        <f t="shared" si="12"/>
        <v>1434.065934065934</v>
      </c>
      <c r="N10" s="17">
        <f t="shared" si="3"/>
        <v>95.604395604395606</v>
      </c>
      <c r="O10" s="19">
        <f t="shared" si="4"/>
        <v>0</v>
      </c>
      <c r="P10" s="20">
        <f t="shared" si="5"/>
        <v>-4.3956043956043942</v>
      </c>
      <c r="Q10" s="208">
        <f t="shared" si="6"/>
        <v>0.95604395604395609</v>
      </c>
      <c r="R10" s="637"/>
      <c r="S10" s="40">
        <v>0.28194444444444444</v>
      </c>
      <c r="T10" s="40">
        <v>0.34513888888888888</v>
      </c>
      <c r="U10" s="203">
        <f t="shared" ref="U10:U13" si="14">IF(S10=TIME(17,0,0),"",(S10-T9)*24*60)</f>
        <v>24.999999999999993</v>
      </c>
      <c r="V10" s="211">
        <f t="shared" si="13"/>
        <v>91</v>
      </c>
      <c r="W10" s="23"/>
      <c r="X10" s="23"/>
      <c r="Y10" s="23"/>
      <c r="Z10" s="23"/>
      <c r="AA10" s="632"/>
      <c r="AB10" s="632"/>
      <c r="AC10" s="25"/>
      <c r="AD10" s="25"/>
      <c r="AE10" s="19">
        <f t="shared" si="8"/>
        <v>-65.934065934065984</v>
      </c>
      <c r="AF10" s="208">
        <f t="shared" si="9"/>
        <v>0.95604395604395598</v>
      </c>
      <c r="AG10" s="637"/>
    </row>
    <row r="11" spans="1:33" ht="15.75" customHeight="1">
      <c r="A11" s="659" t="s">
        <v>904</v>
      </c>
      <c r="B11" s="42" t="s">
        <v>96</v>
      </c>
      <c r="C11" s="660" t="s">
        <v>99</v>
      </c>
      <c r="D11" s="661"/>
      <c r="E11" s="42">
        <v>39.520000000000003</v>
      </c>
      <c r="F11" s="212">
        <v>1893</v>
      </c>
      <c r="G11" s="203">
        <f t="shared" si="11"/>
        <v>74811.360000000001</v>
      </c>
      <c r="H11" s="37" t="s">
        <v>91</v>
      </c>
      <c r="I11" s="210">
        <v>19</v>
      </c>
      <c r="J11" s="39">
        <v>1500</v>
      </c>
      <c r="K11" s="17">
        <f t="shared" si="1"/>
        <v>78.94736842105263</v>
      </c>
      <c r="L11" s="210">
        <v>19</v>
      </c>
      <c r="M11" s="18">
        <f t="shared" si="12"/>
        <v>1437.7215189873409</v>
      </c>
      <c r="N11" s="17">
        <f t="shared" si="3"/>
        <v>75.669553630912674</v>
      </c>
      <c r="O11" s="19">
        <f t="shared" si="4"/>
        <v>0</v>
      </c>
      <c r="P11" s="20">
        <f t="shared" si="5"/>
        <v>-3.2778147901399564</v>
      </c>
      <c r="Q11" s="208">
        <f t="shared" si="6"/>
        <v>0.95848101265822727</v>
      </c>
      <c r="R11" s="637"/>
      <c r="S11" s="40">
        <v>0.35069444444444442</v>
      </c>
      <c r="T11" s="40">
        <v>0.40555555555555556</v>
      </c>
      <c r="U11" s="203">
        <f t="shared" si="14"/>
        <v>7.9999999999999716</v>
      </c>
      <c r="V11" s="211">
        <f t="shared" si="13"/>
        <v>79.000000000000043</v>
      </c>
      <c r="W11" s="23"/>
      <c r="X11" s="23"/>
      <c r="Y11" s="23"/>
      <c r="Z11" s="23"/>
      <c r="AA11" s="632"/>
      <c r="AB11" s="632"/>
      <c r="AC11" s="25"/>
      <c r="AD11" s="25"/>
      <c r="AE11" s="19">
        <f t="shared" si="8"/>
        <v>-62.278481012659086</v>
      </c>
      <c r="AF11" s="208">
        <f t="shared" si="9"/>
        <v>0.95848101265822727</v>
      </c>
      <c r="AG11" s="637"/>
    </row>
    <row r="12" spans="1:33" ht="15.75" customHeight="1">
      <c r="A12" s="659" t="s">
        <v>905</v>
      </c>
      <c r="B12" s="42" t="s">
        <v>96</v>
      </c>
      <c r="C12" s="660" t="s">
        <v>100</v>
      </c>
      <c r="D12" s="661"/>
      <c r="E12" s="42">
        <v>39.619999999999997</v>
      </c>
      <c r="F12" s="212">
        <v>2500</v>
      </c>
      <c r="G12" s="203">
        <f t="shared" si="11"/>
        <v>99050</v>
      </c>
      <c r="H12" s="37">
        <v>2</v>
      </c>
      <c r="I12" s="210">
        <v>19</v>
      </c>
      <c r="J12" s="39">
        <v>1500</v>
      </c>
      <c r="K12" s="17">
        <f t="shared" si="1"/>
        <v>78.94736842105263</v>
      </c>
      <c r="L12" s="210">
        <v>19</v>
      </c>
      <c r="M12" s="18">
        <f t="shared" si="12"/>
        <v>1428.5714285714282</v>
      </c>
      <c r="N12" s="17">
        <f t="shared" si="3"/>
        <v>75.187969924812009</v>
      </c>
      <c r="O12" s="19">
        <f t="shared" si="4"/>
        <v>0</v>
      </c>
      <c r="P12" s="20">
        <f t="shared" si="5"/>
        <v>-3.7593984962406211</v>
      </c>
      <c r="Q12" s="208">
        <f t="shared" si="6"/>
        <v>0.95238095238095211</v>
      </c>
      <c r="R12" s="637"/>
      <c r="S12" s="40">
        <v>0.40972222222222221</v>
      </c>
      <c r="T12" s="40">
        <v>0.4826388888888889</v>
      </c>
      <c r="U12" s="203">
        <f t="shared" si="14"/>
        <v>5.9999999999999787</v>
      </c>
      <c r="V12" s="211">
        <f t="shared" si="13"/>
        <v>105.00000000000003</v>
      </c>
      <c r="W12" s="23">
        <f>T12</f>
        <v>0.4826388888888889</v>
      </c>
      <c r="X12" s="23">
        <f>S13</f>
        <v>0.52222222222222214</v>
      </c>
      <c r="Y12" s="23"/>
      <c r="Z12" s="23"/>
      <c r="AA12" s="627"/>
      <c r="AB12" s="628"/>
      <c r="AC12" s="25"/>
      <c r="AD12" s="25"/>
      <c r="AE12" s="19">
        <f t="shared" si="8"/>
        <v>-71.428571428571786</v>
      </c>
      <c r="AF12" s="208">
        <f t="shared" si="9"/>
        <v>0.95238095238095211</v>
      </c>
      <c r="AG12" s="637"/>
    </row>
    <row r="13" spans="1:33" ht="15.75" customHeight="1">
      <c r="A13" s="659" t="s">
        <v>906</v>
      </c>
      <c r="B13" s="42" t="s">
        <v>96</v>
      </c>
      <c r="C13" s="660" t="s">
        <v>100</v>
      </c>
      <c r="D13" s="661"/>
      <c r="E13" s="42">
        <v>39.619999999999997</v>
      </c>
      <c r="F13" s="212">
        <v>1777</v>
      </c>
      <c r="G13" s="203">
        <f t="shared" si="11"/>
        <v>70404.739999999991</v>
      </c>
      <c r="H13" s="37" t="s">
        <v>91</v>
      </c>
      <c r="I13" s="210">
        <v>19</v>
      </c>
      <c r="J13" s="39">
        <v>1500</v>
      </c>
      <c r="K13" s="17">
        <f t="shared" si="1"/>
        <v>78.94736842105263</v>
      </c>
      <c r="L13" s="210">
        <v>19</v>
      </c>
      <c r="M13" s="18">
        <f t="shared" si="12"/>
        <v>1440.8108108108097</v>
      </c>
      <c r="N13" s="17">
        <f t="shared" si="3"/>
        <v>75.832147937411037</v>
      </c>
      <c r="O13" s="19">
        <f t="shared" si="4"/>
        <v>0</v>
      </c>
      <c r="P13" s="20">
        <f t="shared" si="5"/>
        <v>-3.1152204836415933</v>
      </c>
      <c r="Q13" s="208">
        <f t="shared" si="6"/>
        <v>0.96054054054053983</v>
      </c>
      <c r="R13" s="637"/>
      <c r="S13" s="40">
        <v>0.52222222222222214</v>
      </c>
      <c r="T13" s="40">
        <v>0.57361111111111107</v>
      </c>
      <c r="U13" s="203">
        <f t="shared" si="14"/>
        <v>56.999999999999879</v>
      </c>
      <c r="V13" s="211">
        <f t="shared" si="13"/>
        <v>74.000000000000057</v>
      </c>
      <c r="W13" s="23"/>
      <c r="X13" s="23"/>
      <c r="Y13" s="26"/>
      <c r="Z13" s="26"/>
      <c r="AA13" s="627"/>
      <c r="AB13" s="628"/>
      <c r="AC13" s="25"/>
      <c r="AD13" s="25"/>
      <c r="AE13" s="19">
        <f t="shared" si="8"/>
        <v>-59.189189189190301</v>
      </c>
      <c r="AF13" s="208">
        <f t="shared" si="9"/>
        <v>0.96054054054053983</v>
      </c>
      <c r="AG13" s="637"/>
    </row>
    <row r="14" spans="1:33" ht="16.5" customHeight="1">
      <c r="A14" s="659" t="s">
        <v>904</v>
      </c>
      <c r="B14" s="42" t="s">
        <v>907</v>
      </c>
      <c r="C14" s="638"/>
      <c r="D14" s="638"/>
      <c r="E14" s="209"/>
      <c r="F14" s="39"/>
      <c r="G14" s="18"/>
      <c r="H14" s="212"/>
      <c r="I14" s="29">
        <v>17.8</v>
      </c>
      <c r="J14" s="39">
        <v>1500</v>
      </c>
      <c r="K14" s="17">
        <f t="shared" si="1"/>
        <v>84.269662921348313</v>
      </c>
      <c r="L14" s="29">
        <v>17.8</v>
      </c>
      <c r="M14" s="18">
        <f>AVERAGE(M9:M13)</f>
        <v>1433.8891109008957</v>
      </c>
      <c r="N14" s="17">
        <f t="shared" si="3"/>
        <v>80.5555680281402</v>
      </c>
      <c r="O14" s="19">
        <f t="shared" si="4"/>
        <v>0</v>
      </c>
      <c r="P14" s="20">
        <f t="shared" si="5"/>
        <v>-3.714094893208113</v>
      </c>
      <c r="Q14" s="208">
        <f t="shared" si="6"/>
        <v>0.95592607393393036</v>
      </c>
      <c r="R14" s="637"/>
      <c r="S14" s="40"/>
      <c r="T14" s="40"/>
      <c r="U14" s="17"/>
      <c r="V14" s="211"/>
      <c r="W14" s="17"/>
      <c r="X14" s="17"/>
      <c r="Y14" s="30">
        <f>SUM(Y9:Y13)</f>
        <v>0</v>
      </c>
      <c r="Z14" s="30">
        <f>SUM(Z9:Z13)</f>
        <v>0</v>
      </c>
      <c r="AA14" s="631"/>
      <c r="AB14" s="631"/>
      <c r="AC14" s="30">
        <v>5</v>
      </c>
      <c r="AD14" s="30">
        <f>SUM(AD9:AD13)</f>
        <v>0</v>
      </c>
      <c r="AE14" s="19">
        <f t="shared" si="8"/>
        <v>-66.11088909910427</v>
      </c>
      <c r="AF14" s="208">
        <f t="shared" si="9"/>
        <v>0.95592607393393048</v>
      </c>
      <c r="AG14" s="637"/>
    </row>
    <row r="15" spans="1:33" ht="16.5" customHeight="1">
      <c r="A15" s="657" t="s">
        <v>908</v>
      </c>
      <c r="B15" s="212" t="s">
        <v>101</v>
      </c>
      <c r="C15" s="653" t="s">
        <v>102</v>
      </c>
      <c r="D15" s="653"/>
      <c r="E15" s="42">
        <v>31.11</v>
      </c>
      <c r="F15" s="212">
        <v>3603</v>
      </c>
      <c r="G15" s="203">
        <f t="shared" ref="G15:G22" si="15">E15*F15</f>
        <v>112089.33</v>
      </c>
      <c r="H15" s="37" t="s">
        <v>91</v>
      </c>
      <c r="I15" s="210">
        <v>14</v>
      </c>
      <c r="J15" s="39">
        <v>2000</v>
      </c>
      <c r="K15" s="17">
        <f t="shared" si="1"/>
        <v>142.85714285714286</v>
      </c>
      <c r="L15" s="210">
        <v>14</v>
      </c>
      <c r="M15" s="18">
        <f t="shared" ref="M15:M22" si="16">F15/V15*60</f>
        <v>1913.0973451327441</v>
      </c>
      <c r="N15" s="17">
        <f t="shared" si="3"/>
        <v>136.64981036662456</v>
      </c>
      <c r="O15" s="19">
        <f t="shared" si="4"/>
        <v>0</v>
      </c>
      <c r="P15" s="20">
        <f t="shared" si="5"/>
        <v>-6.2073324905182972</v>
      </c>
      <c r="Q15" s="208">
        <f t="shared" si="6"/>
        <v>0.95654867256637188</v>
      </c>
      <c r="R15" s="637">
        <f>Q23</f>
        <v>0.95711912705704127</v>
      </c>
      <c r="S15" s="40">
        <v>0.20833333333333334</v>
      </c>
      <c r="T15" s="40">
        <v>0.28680555555555554</v>
      </c>
      <c r="U15" s="203"/>
      <c r="V15" s="211">
        <f t="shared" ref="V15:V22" si="17">(T15-S15)*24*60</f>
        <v>112.99999999999996</v>
      </c>
      <c r="W15" s="23"/>
      <c r="X15" s="23"/>
      <c r="Y15" s="28"/>
      <c r="Z15" s="28"/>
      <c r="AA15" s="632"/>
      <c r="AB15" s="632"/>
      <c r="AC15" s="25">
        <v>8</v>
      </c>
      <c r="AD15" s="25"/>
      <c r="AE15" s="19">
        <f t="shared" si="8"/>
        <v>-86.902654867255933</v>
      </c>
      <c r="AF15" s="208">
        <f t="shared" si="9"/>
        <v>0.95654867256637199</v>
      </c>
      <c r="AG15" s="637">
        <f>AF23</f>
        <v>0.95711912705704139</v>
      </c>
    </row>
    <row r="16" spans="1:33" ht="16.5" customHeight="1">
      <c r="A16" s="658" t="s">
        <v>909</v>
      </c>
      <c r="B16" s="212" t="s">
        <v>103</v>
      </c>
      <c r="C16" s="653" t="s">
        <v>104</v>
      </c>
      <c r="D16" s="653"/>
      <c r="E16" s="42">
        <v>38.619999999999997</v>
      </c>
      <c r="F16" s="212">
        <v>1948</v>
      </c>
      <c r="G16" s="203">
        <f t="shared" si="15"/>
        <v>75231.759999999995</v>
      </c>
      <c r="H16" s="37" t="s">
        <v>91</v>
      </c>
      <c r="I16" s="210">
        <v>24</v>
      </c>
      <c r="J16" s="39">
        <v>1500</v>
      </c>
      <c r="K16" s="17">
        <f t="shared" si="1"/>
        <v>62.5</v>
      </c>
      <c r="L16" s="210">
        <v>24</v>
      </c>
      <c r="M16" s="18">
        <f t="shared" si="16"/>
        <v>1442.9629629629626</v>
      </c>
      <c r="N16" s="17">
        <f t="shared" si="3"/>
        <v>60.123456790123441</v>
      </c>
      <c r="O16" s="19">
        <f t="shared" si="4"/>
        <v>0</v>
      </c>
      <c r="P16" s="20">
        <f t="shared" si="5"/>
        <v>-2.3765432098765586</v>
      </c>
      <c r="Q16" s="208">
        <f t="shared" si="6"/>
        <v>0.96197530864197511</v>
      </c>
      <c r="R16" s="637"/>
      <c r="S16" s="40">
        <v>0.29097222222222219</v>
      </c>
      <c r="T16" s="40">
        <v>0.34722222222222221</v>
      </c>
      <c r="U16" s="203">
        <f t="shared" ref="U16:U22" si="18">IF(S16=TIME(17,0,0),"",(S16-T15)*24*60)</f>
        <v>5.9999999999999787</v>
      </c>
      <c r="V16" s="211">
        <f t="shared" si="17"/>
        <v>81.000000000000028</v>
      </c>
      <c r="W16" s="23"/>
      <c r="X16" s="23"/>
      <c r="Y16" s="23"/>
      <c r="Z16" s="23"/>
      <c r="AA16" s="632"/>
      <c r="AB16" s="632"/>
      <c r="AC16" s="25"/>
      <c r="AD16" s="25"/>
      <c r="AE16" s="19">
        <f t="shared" si="8"/>
        <v>-57.037037037037408</v>
      </c>
      <c r="AF16" s="208">
        <f t="shared" si="9"/>
        <v>0.96197530864197511</v>
      </c>
      <c r="AG16" s="637"/>
    </row>
    <row r="17" spans="1:33" ht="16.5" customHeight="1">
      <c r="A17" s="658" t="s">
        <v>909</v>
      </c>
      <c r="B17" s="212" t="s">
        <v>103</v>
      </c>
      <c r="C17" s="653" t="s">
        <v>105</v>
      </c>
      <c r="D17" s="653"/>
      <c r="E17" s="42">
        <v>41</v>
      </c>
      <c r="F17" s="212">
        <v>1471</v>
      </c>
      <c r="G17" s="203">
        <f t="shared" si="15"/>
        <v>60311</v>
      </c>
      <c r="H17" s="37" t="s">
        <v>91</v>
      </c>
      <c r="I17" s="210">
        <v>26</v>
      </c>
      <c r="J17" s="39">
        <v>1500</v>
      </c>
      <c r="K17" s="17">
        <f t="shared" si="1"/>
        <v>57.692307692307693</v>
      </c>
      <c r="L17" s="210">
        <v>26</v>
      </c>
      <c r="M17" s="18">
        <f t="shared" si="16"/>
        <v>1446.8852459016389</v>
      </c>
      <c r="N17" s="17">
        <f t="shared" si="3"/>
        <v>55.649432534678418</v>
      </c>
      <c r="O17" s="19">
        <f t="shared" si="4"/>
        <v>0</v>
      </c>
      <c r="P17" s="20">
        <f t="shared" si="5"/>
        <v>-2.0428751576292754</v>
      </c>
      <c r="Q17" s="208">
        <f t="shared" si="6"/>
        <v>0.96459016393442587</v>
      </c>
      <c r="R17" s="637"/>
      <c r="S17" s="40">
        <v>0.35138888888888886</v>
      </c>
      <c r="T17" s="40">
        <v>0.39374999999999999</v>
      </c>
      <c r="U17" s="203">
        <f t="shared" si="18"/>
        <v>5.9999999999999787</v>
      </c>
      <c r="V17" s="211">
        <f t="shared" si="17"/>
        <v>61.000000000000021</v>
      </c>
      <c r="W17" s="23"/>
      <c r="X17" s="23"/>
      <c r="Y17" s="23"/>
      <c r="Z17" s="23"/>
      <c r="AA17" s="632"/>
      <c r="AB17" s="632"/>
      <c r="AC17" s="25"/>
      <c r="AD17" s="25"/>
      <c r="AE17" s="19">
        <f t="shared" si="8"/>
        <v>-53.114754098361118</v>
      </c>
      <c r="AF17" s="208">
        <f t="shared" si="9"/>
        <v>0.96459016393442587</v>
      </c>
      <c r="AG17" s="637"/>
    </row>
    <row r="18" spans="1:33" ht="16.5" customHeight="1">
      <c r="A18" s="658" t="s">
        <v>909</v>
      </c>
      <c r="B18" s="212" t="s">
        <v>92</v>
      </c>
      <c r="C18" s="653" t="s">
        <v>106</v>
      </c>
      <c r="D18" s="653"/>
      <c r="E18" s="42">
        <v>37.03</v>
      </c>
      <c r="F18" s="212">
        <v>2644</v>
      </c>
      <c r="G18" s="203">
        <f t="shared" si="15"/>
        <v>97907.32</v>
      </c>
      <c r="H18" s="37" t="s">
        <v>91</v>
      </c>
      <c r="I18" s="210">
        <v>13</v>
      </c>
      <c r="J18" s="39">
        <v>1500</v>
      </c>
      <c r="K18" s="17">
        <f t="shared" si="1"/>
        <v>115.38461538461539</v>
      </c>
      <c r="L18" s="210">
        <v>13</v>
      </c>
      <c r="M18" s="18">
        <f t="shared" si="16"/>
        <v>1429.1891891891892</v>
      </c>
      <c r="N18" s="17">
        <f t="shared" si="3"/>
        <v>109.93762993762994</v>
      </c>
      <c r="O18" s="19">
        <f t="shared" si="4"/>
        <v>0</v>
      </c>
      <c r="P18" s="20">
        <f t="shared" si="5"/>
        <v>-5.4469854469854511</v>
      </c>
      <c r="Q18" s="208">
        <f t="shared" si="6"/>
        <v>0.95279279279279272</v>
      </c>
      <c r="R18" s="637"/>
      <c r="S18" s="40">
        <v>0.39930555555555552</v>
      </c>
      <c r="T18" s="40">
        <v>0.47638888888888886</v>
      </c>
      <c r="U18" s="203">
        <f t="shared" si="18"/>
        <v>7.9999999999999716</v>
      </c>
      <c r="V18" s="211">
        <f t="shared" si="17"/>
        <v>111</v>
      </c>
      <c r="W18" s="23"/>
      <c r="X18" s="23"/>
      <c r="Y18" s="23"/>
      <c r="Z18" s="23"/>
      <c r="AA18" s="632"/>
      <c r="AB18" s="632"/>
      <c r="AC18" s="25"/>
      <c r="AD18" s="25"/>
      <c r="AE18" s="19">
        <f t="shared" si="8"/>
        <v>-70.810810810810835</v>
      </c>
      <c r="AF18" s="208">
        <f t="shared" si="9"/>
        <v>0.95279279279279283</v>
      </c>
      <c r="AG18" s="637"/>
    </row>
    <row r="19" spans="1:33" ht="16.5" customHeight="1">
      <c r="A19" s="658" t="s">
        <v>54</v>
      </c>
      <c r="B19" s="212" t="s">
        <v>92</v>
      </c>
      <c r="C19" s="653" t="s">
        <v>108</v>
      </c>
      <c r="D19" s="653"/>
      <c r="E19" s="42">
        <v>54.5</v>
      </c>
      <c r="F19" s="212">
        <v>1694</v>
      </c>
      <c r="G19" s="203">
        <f t="shared" si="15"/>
        <v>92323</v>
      </c>
      <c r="H19" s="37" t="s">
        <v>91</v>
      </c>
      <c r="I19" s="210">
        <v>20</v>
      </c>
      <c r="J19" s="39">
        <v>1500</v>
      </c>
      <c r="K19" s="17">
        <f t="shared" si="1"/>
        <v>75</v>
      </c>
      <c r="L19" s="210">
        <v>20</v>
      </c>
      <c r="M19" s="18">
        <f t="shared" si="16"/>
        <v>1431.5492957746465</v>
      </c>
      <c r="N19" s="17">
        <f t="shared" si="3"/>
        <v>71.577464788732328</v>
      </c>
      <c r="O19" s="19">
        <f t="shared" si="4"/>
        <v>0</v>
      </c>
      <c r="P19" s="20">
        <f t="shared" si="5"/>
        <v>-3.4225352112676717</v>
      </c>
      <c r="Q19" s="208">
        <f t="shared" si="6"/>
        <v>0.95436619718309768</v>
      </c>
      <c r="R19" s="637"/>
      <c r="S19" s="40">
        <v>0.70833333333333337</v>
      </c>
      <c r="T19" s="40">
        <v>0.75763888888888897</v>
      </c>
      <c r="U19" s="203" t="str">
        <f t="shared" si="18"/>
        <v/>
      </c>
      <c r="V19" s="211">
        <f t="shared" si="17"/>
        <v>71.000000000000071</v>
      </c>
      <c r="W19" s="23"/>
      <c r="X19" s="23"/>
      <c r="Y19" s="23"/>
      <c r="Z19" s="23"/>
      <c r="AA19" s="632"/>
      <c r="AB19" s="632"/>
      <c r="AC19" s="25"/>
      <c r="AD19" s="25"/>
      <c r="AE19" s="19">
        <f t="shared" si="8"/>
        <v>-68.450704225353547</v>
      </c>
      <c r="AF19" s="208">
        <f t="shared" si="9"/>
        <v>0.95436619718309768</v>
      </c>
      <c r="AG19" s="637"/>
    </row>
    <row r="20" spans="1:33" ht="16.5" customHeight="1">
      <c r="A20" s="658" t="s">
        <v>909</v>
      </c>
      <c r="B20" s="212" t="s">
        <v>92</v>
      </c>
      <c r="C20" s="214" t="s">
        <v>107</v>
      </c>
      <c r="D20" s="215"/>
      <c r="E20" s="42">
        <v>50.67</v>
      </c>
      <c r="F20" s="212">
        <v>1585</v>
      </c>
      <c r="G20" s="203">
        <f t="shared" si="15"/>
        <v>80311.95</v>
      </c>
      <c r="H20" s="37" t="s">
        <v>91</v>
      </c>
      <c r="I20" s="210">
        <v>17</v>
      </c>
      <c r="J20" s="39">
        <v>2000</v>
      </c>
      <c r="K20" s="17">
        <f t="shared" si="1"/>
        <v>117.64705882352941</v>
      </c>
      <c r="L20" s="210">
        <v>17</v>
      </c>
      <c r="M20" s="18">
        <f t="shared" si="16"/>
        <v>1902.0000000000007</v>
      </c>
      <c r="N20" s="17">
        <f t="shared" si="3"/>
        <v>111.88235294117651</v>
      </c>
      <c r="O20" s="19">
        <f t="shared" si="4"/>
        <v>0</v>
      </c>
      <c r="P20" s="20">
        <f t="shared" si="5"/>
        <v>-5.7647058823528994</v>
      </c>
      <c r="Q20" s="208">
        <f t="shared" si="6"/>
        <v>0.9510000000000004</v>
      </c>
      <c r="R20" s="637"/>
      <c r="S20" s="40">
        <v>0.76111111111111118</v>
      </c>
      <c r="T20" s="40">
        <v>0.79583333333333339</v>
      </c>
      <c r="U20" s="203">
        <f t="shared" si="18"/>
        <v>4.9999999999999822</v>
      </c>
      <c r="V20" s="211">
        <f t="shared" si="17"/>
        <v>49.999999999999986</v>
      </c>
      <c r="W20" s="23"/>
      <c r="X20" s="23"/>
      <c r="Y20" s="26"/>
      <c r="Z20" s="26"/>
      <c r="AA20" s="206"/>
      <c r="AB20" s="207"/>
      <c r="AC20" s="25"/>
      <c r="AD20" s="25"/>
      <c r="AE20" s="19">
        <f t="shared" si="8"/>
        <v>-97.999999999999318</v>
      </c>
      <c r="AF20" s="208">
        <f t="shared" si="9"/>
        <v>0.95100000000000029</v>
      </c>
      <c r="AG20" s="637"/>
    </row>
    <row r="21" spans="1:33" ht="16.5" customHeight="1">
      <c r="A21" s="658" t="s">
        <v>909</v>
      </c>
      <c r="B21" s="212" t="s">
        <v>92</v>
      </c>
      <c r="C21" s="214" t="s">
        <v>95</v>
      </c>
      <c r="D21" s="215"/>
      <c r="E21" s="42">
        <v>50.67</v>
      </c>
      <c r="F21" s="212">
        <v>1317</v>
      </c>
      <c r="G21" s="203">
        <f t="shared" si="15"/>
        <v>66732.39</v>
      </c>
      <c r="H21" s="37" t="s">
        <v>91</v>
      </c>
      <c r="I21" s="210">
        <v>15</v>
      </c>
      <c r="J21" s="39">
        <v>2000</v>
      </c>
      <c r="K21" s="17">
        <f t="shared" si="1"/>
        <v>133.33333333333334</v>
      </c>
      <c r="L21" s="210">
        <v>15</v>
      </c>
      <c r="M21" s="18">
        <f t="shared" si="16"/>
        <v>1927.317073170731</v>
      </c>
      <c r="N21" s="17">
        <f t="shared" si="3"/>
        <v>128.48780487804873</v>
      </c>
      <c r="O21" s="19">
        <f t="shared" si="4"/>
        <v>0</v>
      </c>
      <c r="P21" s="20">
        <f t="shared" si="5"/>
        <v>-4.8455284552846081</v>
      </c>
      <c r="Q21" s="208">
        <f t="shared" si="6"/>
        <v>0.96365853658536549</v>
      </c>
      <c r="R21" s="637"/>
      <c r="S21" s="40">
        <v>0.80069444444444449</v>
      </c>
      <c r="T21" s="40">
        <v>0.82916666666666672</v>
      </c>
      <c r="U21" s="203">
        <f t="shared" si="18"/>
        <v>6.9999999999999751</v>
      </c>
      <c r="V21" s="211">
        <f t="shared" si="17"/>
        <v>41.000000000000014</v>
      </c>
      <c r="W21" s="23">
        <f>T21</f>
        <v>0.82916666666666672</v>
      </c>
      <c r="X21" s="23">
        <f>S22</f>
        <v>0.87152777777777779</v>
      </c>
      <c r="Y21" s="26"/>
      <c r="Z21" s="26"/>
      <c r="AA21" s="206"/>
      <c r="AB21" s="207"/>
      <c r="AC21" s="25"/>
      <c r="AD21" s="25"/>
      <c r="AE21" s="19">
        <f t="shared" si="8"/>
        <v>-72.682926829269036</v>
      </c>
      <c r="AF21" s="208">
        <f t="shared" si="9"/>
        <v>0.96365853658536549</v>
      </c>
      <c r="AG21" s="637"/>
    </row>
    <row r="22" spans="1:33" ht="16.5" customHeight="1">
      <c r="A22" s="658" t="s">
        <v>908</v>
      </c>
      <c r="B22" s="212" t="s">
        <v>92</v>
      </c>
      <c r="C22" s="214" t="s">
        <v>114</v>
      </c>
      <c r="D22" s="215"/>
      <c r="E22" s="42">
        <v>54.09</v>
      </c>
      <c r="F22" s="212">
        <v>1430</v>
      </c>
      <c r="G22" s="203">
        <f t="shared" si="15"/>
        <v>77348.700000000012</v>
      </c>
      <c r="H22" s="37" t="s">
        <v>91</v>
      </c>
      <c r="I22" s="210">
        <v>18</v>
      </c>
      <c r="J22" s="39">
        <v>2000</v>
      </c>
      <c r="K22" s="17">
        <f t="shared" si="1"/>
        <v>111.11111111111111</v>
      </c>
      <c r="L22" s="210">
        <v>18</v>
      </c>
      <c r="M22" s="18">
        <f t="shared" si="16"/>
        <v>1906.6666666666667</v>
      </c>
      <c r="N22" s="17">
        <f t="shared" si="3"/>
        <v>105.92592592592592</v>
      </c>
      <c r="O22" s="19">
        <f t="shared" si="4"/>
        <v>0</v>
      </c>
      <c r="P22" s="20">
        <f t="shared" si="5"/>
        <v>-5.1851851851851904</v>
      </c>
      <c r="Q22" s="208">
        <f t="shared" si="6"/>
        <v>0.95333333333333325</v>
      </c>
      <c r="R22" s="637"/>
      <c r="S22" s="40">
        <v>0.87152777777777779</v>
      </c>
      <c r="T22" s="40">
        <v>0.90277777777777779</v>
      </c>
      <c r="U22" s="203">
        <f t="shared" si="18"/>
        <v>60.999999999999943</v>
      </c>
      <c r="V22" s="211">
        <f t="shared" si="17"/>
        <v>45</v>
      </c>
      <c r="W22" s="23"/>
      <c r="X22" s="23"/>
      <c r="Y22" s="26"/>
      <c r="Z22" s="26"/>
      <c r="AA22" s="206"/>
      <c r="AB22" s="207"/>
      <c r="AC22" s="25"/>
      <c r="AD22" s="25"/>
      <c r="AE22" s="19">
        <f t="shared" si="8"/>
        <v>-93.333333333333258</v>
      </c>
      <c r="AF22" s="208">
        <f t="shared" si="9"/>
        <v>0.95333333333333337</v>
      </c>
      <c r="AG22" s="637"/>
    </row>
    <row r="23" spans="1:33" ht="16.5" customHeight="1">
      <c r="A23" s="658" t="s">
        <v>909</v>
      </c>
      <c r="B23" s="42" t="s">
        <v>907</v>
      </c>
      <c r="C23" s="638"/>
      <c r="D23" s="638"/>
      <c r="E23" s="209"/>
      <c r="F23" s="44"/>
      <c r="G23" s="17"/>
      <c r="H23" s="212"/>
      <c r="I23" s="29">
        <v>18.375</v>
      </c>
      <c r="J23" s="39">
        <v>1750</v>
      </c>
      <c r="K23" s="17">
        <f t="shared" si="1"/>
        <v>95.238095238095241</v>
      </c>
      <c r="L23" s="29">
        <v>18.375</v>
      </c>
      <c r="M23" s="18">
        <f>AVERAGE(M15:M22)</f>
        <v>1674.9584723498224</v>
      </c>
      <c r="N23" s="17">
        <f t="shared" si="3"/>
        <v>91.154202576861081</v>
      </c>
      <c r="O23" s="19">
        <f t="shared" si="4"/>
        <v>0</v>
      </c>
      <c r="P23" s="20">
        <f t="shared" si="5"/>
        <v>-4.0838926612341595</v>
      </c>
      <c r="Q23" s="208">
        <f t="shared" si="6"/>
        <v>0.95711912705704127</v>
      </c>
      <c r="R23" s="637"/>
      <c r="S23" s="40"/>
      <c r="T23" s="40"/>
      <c r="U23" s="203"/>
      <c r="V23" s="211"/>
      <c r="W23" s="17"/>
      <c r="X23" s="17"/>
      <c r="Y23" s="30">
        <f>SUM(Y15:Y22)</f>
        <v>0</v>
      </c>
      <c r="Z23" s="30">
        <f>SUM(Z15:Z22)</f>
        <v>0</v>
      </c>
      <c r="AA23" s="631"/>
      <c r="AB23" s="631"/>
      <c r="AC23" s="30">
        <v>8</v>
      </c>
      <c r="AD23" s="30">
        <f>SUM(AD15:AD22)</f>
        <v>0</v>
      </c>
      <c r="AE23" s="19">
        <f t="shared" si="8"/>
        <v>-75.041527650177613</v>
      </c>
      <c r="AF23" s="208">
        <f t="shared" si="9"/>
        <v>0.95711912705704139</v>
      </c>
      <c r="AG23" s="637"/>
    </row>
    <row r="24" spans="1:33" ht="15.75" customHeight="1">
      <c r="A24" s="655" t="s">
        <v>412</v>
      </c>
      <c r="B24" s="42" t="s">
        <v>92</v>
      </c>
      <c r="C24" s="653" t="s">
        <v>110</v>
      </c>
      <c r="D24" s="653"/>
      <c r="E24" s="42">
        <v>50.67</v>
      </c>
      <c r="F24" s="212">
        <v>1345</v>
      </c>
      <c r="G24" s="203">
        <f t="shared" ref="G24:G29" si="19">E24*F24</f>
        <v>68151.150000000009</v>
      </c>
      <c r="H24" s="37" t="s">
        <v>91</v>
      </c>
      <c r="I24" s="210">
        <v>17</v>
      </c>
      <c r="J24" s="39">
        <v>2000</v>
      </c>
      <c r="K24" s="17">
        <f t="shared" si="1"/>
        <v>117.64705882352941</v>
      </c>
      <c r="L24" s="210">
        <v>17</v>
      </c>
      <c r="M24" s="18">
        <f t="shared" ref="M24:M29" si="20">F24/V24*60</f>
        <v>1921.4285714285706</v>
      </c>
      <c r="N24" s="17">
        <f t="shared" si="3"/>
        <v>113.02521008403357</v>
      </c>
      <c r="O24" s="19">
        <f t="shared" si="4"/>
        <v>0</v>
      </c>
      <c r="P24" s="20">
        <f t="shared" si="5"/>
        <v>-4.6218487394958316</v>
      </c>
      <c r="Q24" s="208">
        <f t="shared" si="6"/>
        <v>0.96071428571428541</v>
      </c>
      <c r="R24" s="637">
        <f>Q30</f>
        <v>0.96083671997901499</v>
      </c>
      <c r="S24" s="40">
        <v>0.20833333333333334</v>
      </c>
      <c r="T24" s="40">
        <v>0.23750000000000002</v>
      </c>
      <c r="U24" s="203"/>
      <c r="V24" s="211">
        <f t="shared" ref="V24:V29" si="21">(T24-S24)*24*60</f>
        <v>42.000000000000014</v>
      </c>
      <c r="W24" s="23"/>
      <c r="X24" s="23"/>
      <c r="Y24" s="28"/>
      <c r="Z24" s="28"/>
      <c r="AA24" s="632"/>
      <c r="AB24" s="632"/>
      <c r="AC24" s="25">
        <v>6</v>
      </c>
      <c r="AD24" s="25"/>
      <c r="AE24" s="19">
        <f t="shared" si="8"/>
        <v>-78.571428571429351</v>
      </c>
      <c r="AF24" s="208">
        <f t="shared" si="9"/>
        <v>0.9607142857142853</v>
      </c>
      <c r="AG24" s="637">
        <f>AF30</f>
        <v>0.96083671997901487</v>
      </c>
    </row>
    <row r="25" spans="1:33" ht="15.75" customHeight="1">
      <c r="A25" s="656" t="s">
        <v>910</v>
      </c>
      <c r="B25" s="42" t="s">
        <v>92</v>
      </c>
      <c r="C25" s="653" t="s">
        <v>111</v>
      </c>
      <c r="D25" s="653"/>
      <c r="E25" s="42">
        <v>57.73</v>
      </c>
      <c r="F25" s="212">
        <v>2097</v>
      </c>
      <c r="G25" s="203">
        <f t="shared" si="19"/>
        <v>121059.81</v>
      </c>
      <c r="H25" s="37" t="s">
        <v>91</v>
      </c>
      <c r="I25" s="210">
        <v>14</v>
      </c>
      <c r="J25" s="39">
        <v>2000</v>
      </c>
      <c r="K25" s="17">
        <f t="shared" si="1"/>
        <v>142.85714285714286</v>
      </c>
      <c r="L25" s="210">
        <v>14</v>
      </c>
      <c r="M25" s="18">
        <f t="shared" si="20"/>
        <v>1906.3636363636365</v>
      </c>
      <c r="N25" s="17">
        <f t="shared" si="3"/>
        <v>136.16883116883119</v>
      </c>
      <c r="O25" s="19">
        <f t="shared" si="4"/>
        <v>0</v>
      </c>
      <c r="P25" s="20">
        <f t="shared" si="5"/>
        <v>-6.6883116883116713</v>
      </c>
      <c r="Q25" s="208">
        <f t="shared" si="6"/>
        <v>0.95318181818181835</v>
      </c>
      <c r="R25" s="637"/>
      <c r="S25" s="40">
        <v>0.2416666666666667</v>
      </c>
      <c r="T25" s="40">
        <v>0.28750000000000003</v>
      </c>
      <c r="U25" s="203">
        <f t="shared" ref="U25:U29" si="22">IF(S25=TIME(17,0,0),"",(S25-T24)*24*60)</f>
        <v>6.0000000000000187</v>
      </c>
      <c r="V25" s="211">
        <f t="shared" si="21"/>
        <v>66</v>
      </c>
      <c r="W25" s="23"/>
      <c r="X25" s="203"/>
      <c r="Y25" s="203"/>
      <c r="Z25" s="203"/>
      <c r="AA25" s="632"/>
      <c r="AB25" s="632"/>
      <c r="AC25" s="25"/>
      <c r="AD25" s="25"/>
      <c r="AE25" s="19">
        <f t="shared" si="8"/>
        <v>-93.636363636363512</v>
      </c>
      <c r="AF25" s="208">
        <f t="shared" si="9"/>
        <v>0.95318181818181824</v>
      </c>
      <c r="AG25" s="637"/>
    </row>
    <row r="26" spans="1:33" ht="15.75" customHeight="1">
      <c r="A26" s="656" t="s">
        <v>910</v>
      </c>
      <c r="B26" s="42" t="s">
        <v>92</v>
      </c>
      <c r="C26" s="653" t="s">
        <v>112</v>
      </c>
      <c r="D26" s="653"/>
      <c r="E26" s="42">
        <v>53.27</v>
      </c>
      <c r="F26" s="212">
        <v>1039</v>
      </c>
      <c r="G26" s="203">
        <f t="shared" si="19"/>
        <v>55347.530000000006</v>
      </c>
      <c r="H26" s="37" t="s">
        <v>91</v>
      </c>
      <c r="I26" s="210">
        <v>16</v>
      </c>
      <c r="J26" s="39">
        <v>2000</v>
      </c>
      <c r="K26" s="17">
        <f t="shared" si="1"/>
        <v>125</v>
      </c>
      <c r="L26" s="210">
        <v>16</v>
      </c>
      <c r="M26" s="18">
        <f t="shared" si="20"/>
        <v>1948.125000000002</v>
      </c>
      <c r="N26" s="17">
        <f t="shared" si="3"/>
        <v>121.75781250000013</v>
      </c>
      <c r="O26" s="19">
        <f t="shared" si="4"/>
        <v>0</v>
      </c>
      <c r="P26" s="20">
        <f t="shared" si="5"/>
        <v>-3.2421874999998721</v>
      </c>
      <c r="Q26" s="208">
        <f t="shared" si="6"/>
        <v>0.97406250000000105</v>
      </c>
      <c r="R26" s="637"/>
      <c r="S26" s="40">
        <v>0.29236111111111113</v>
      </c>
      <c r="T26" s="40">
        <v>0.31458333333333333</v>
      </c>
      <c r="U26" s="203">
        <f t="shared" si="22"/>
        <v>6.9999999999999751</v>
      </c>
      <c r="V26" s="211">
        <f t="shared" si="21"/>
        <v>31.999999999999964</v>
      </c>
      <c r="W26" s="23"/>
      <c r="X26" s="203"/>
      <c r="Y26" s="203"/>
      <c r="Z26" s="203"/>
      <c r="AA26" s="632"/>
      <c r="AB26" s="632"/>
      <c r="AC26" s="25"/>
      <c r="AD26" s="25"/>
      <c r="AE26" s="19">
        <f t="shared" si="8"/>
        <v>-51.874999999997954</v>
      </c>
      <c r="AF26" s="208">
        <f t="shared" si="9"/>
        <v>0.97406250000000105</v>
      </c>
      <c r="AG26" s="637"/>
    </row>
    <row r="27" spans="1:33" ht="15.75" customHeight="1">
      <c r="A27" s="656" t="s">
        <v>911</v>
      </c>
      <c r="B27" s="42" t="s">
        <v>92</v>
      </c>
      <c r="C27" s="653" t="s">
        <v>113</v>
      </c>
      <c r="D27" s="653"/>
      <c r="E27" s="42">
        <v>56.43</v>
      </c>
      <c r="F27" s="212">
        <v>1308</v>
      </c>
      <c r="G27" s="203">
        <f t="shared" si="19"/>
        <v>73810.44</v>
      </c>
      <c r="H27" s="37" t="s">
        <v>91</v>
      </c>
      <c r="I27" s="210">
        <v>13</v>
      </c>
      <c r="J27" s="39">
        <v>2000</v>
      </c>
      <c r="K27" s="17">
        <f t="shared" si="1"/>
        <v>153.84615384615384</v>
      </c>
      <c r="L27" s="210">
        <v>13</v>
      </c>
      <c r="M27" s="18">
        <f t="shared" si="20"/>
        <v>1914.146341463414</v>
      </c>
      <c r="N27" s="17">
        <f t="shared" si="3"/>
        <v>147.24202626641647</v>
      </c>
      <c r="O27" s="19">
        <f t="shared" si="4"/>
        <v>0</v>
      </c>
      <c r="P27" s="20">
        <f t="shared" si="5"/>
        <v>-6.6041275797373657</v>
      </c>
      <c r="Q27" s="208">
        <f t="shared" si="6"/>
        <v>0.95707317073170717</v>
      </c>
      <c r="R27" s="637"/>
      <c r="S27" s="40">
        <v>0.70833333333333337</v>
      </c>
      <c r="T27" s="40">
        <v>0.7368055555555556</v>
      </c>
      <c r="U27" s="203" t="str">
        <f t="shared" si="22"/>
        <v/>
      </c>
      <c r="V27" s="211">
        <f t="shared" si="21"/>
        <v>41.000000000000014</v>
      </c>
      <c r="W27" s="23"/>
      <c r="X27" s="203"/>
      <c r="Y27" s="203"/>
      <c r="Z27" s="203"/>
      <c r="AA27" s="632"/>
      <c r="AB27" s="632"/>
      <c r="AC27" s="25"/>
      <c r="AD27" s="25"/>
      <c r="AE27" s="19">
        <f t="shared" si="8"/>
        <v>-85.853658536585954</v>
      </c>
      <c r="AF27" s="208">
        <f t="shared" si="9"/>
        <v>0.95707317073170706</v>
      </c>
      <c r="AG27" s="637"/>
    </row>
    <row r="28" spans="1:33" ht="15.75" customHeight="1">
      <c r="A28" s="656" t="s">
        <v>911</v>
      </c>
      <c r="B28" s="42" t="s">
        <v>92</v>
      </c>
      <c r="C28" s="653" t="s">
        <v>115</v>
      </c>
      <c r="D28" s="653"/>
      <c r="E28" s="42">
        <v>57.3</v>
      </c>
      <c r="F28" s="212">
        <v>1738</v>
      </c>
      <c r="G28" s="203">
        <f t="shared" si="19"/>
        <v>99587.4</v>
      </c>
      <c r="H28" s="37" t="s">
        <v>91</v>
      </c>
      <c r="I28" s="210">
        <v>16</v>
      </c>
      <c r="J28" s="39">
        <v>2000</v>
      </c>
      <c r="K28" s="17">
        <f t="shared" si="1"/>
        <v>125</v>
      </c>
      <c r="L28" s="210">
        <v>16</v>
      </c>
      <c r="M28" s="18">
        <f t="shared" si="20"/>
        <v>1931.1111111111122</v>
      </c>
      <c r="N28" s="17">
        <f t="shared" si="3"/>
        <v>120.69444444444451</v>
      </c>
      <c r="O28" s="19">
        <f t="shared" si="4"/>
        <v>0</v>
      </c>
      <c r="P28" s="20">
        <f t="shared" si="5"/>
        <v>-4.3055555555554861</v>
      </c>
      <c r="Q28" s="208">
        <f t="shared" si="6"/>
        <v>0.96555555555555617</v>
      </c>
      <c r="R28" s="637"/>
      <c r="S28" s="40">
        <v>0.74027777777777781</v>
      </c>
      <c r="T28" s="40">
        <v>0.77777777777777779</v>
      </c>
      <c r="U28" s="203">
        <f t="shared" si="22"/>
        <v>4.9999999999999822</v>
      </c>
      <c r="V28" s="211">
        <f t="shared" si="21"/>
        <v>53.999999999999972</v>
      </c>
      <c r="W28" s="23"/>
      <c r="X28" s="23"/>
      <c r="Y28" s="203"/>
      <c r="Z28" s="203"/>
      <c r="AA28" s="632"/>
      <c r="AB28" s="632"/>
      <c r="AC28" s="25"/>
      <c r="AD28" s="25"/>
      <c r="AE28" s="19">
        <f t="shared" si="8"/>
        <v>-68.888888888887777</v>
      </c>
      <c r="AF28" s="208">
        <f t="shared" si="9"/>
        <v>0.96555555555555617</v>
      </c>
      <c r="AG28" s="637"/>
    </row>
    <row r="29" spans="1:33" ht="15.75" customHeight="1">
      <c r="A29" s="656" t="s">
        <v>910</v>
      </c>
      <c r="B29" s="42" t="s">
        <v>92</v>
      </c>
      <c r="C29" s="653" t="s">
        <v>140</v>
      </c>
      <c r="D29" s="653"/>
      <c r="E29" s="42">
        <v>51.06</v>
      </c>
      <c r="F29" s="212">
        <v>3086</v>
      </c>
      <c r="G29" s="203">
        <f t="shared" si="19"/>
        <v>157571.16</v>
      </c>
      <c r="H29" s="37" t="s">
        <v>91</v>
      </c>
      <c r="I29" s="210">
        <v>13</v>
      </c>
      <c r="J29" s="39">
        <v>2000</v>
      </c>
      <c r="K29" s="17">
        <f t="shared" si="1"/>
        <v>153.84615384615384</v>
      </c>
      <c r="L29" s="210">
        <v>13</v>
      </c>
      <c r="M29" s="18">
        <f t="shared" si="20"/>
        <v>1908.8659793814438</v>
      </c>
      <c r="N29" s="17">
        <f t="shared" si="3"/>
        <v>146.83584456780338</v>
      </c>
      <c r="O29" s="19">
        <f t="shared" si="4"/>
        <v>0</v>
      </c>
      <c r="P29" s="20">
        <f t="shared" si="5"/>
        <v>-7.0103092783504621</v>
      </c>
      <c r="Q29" s="208">
        <f t="shared" si="6"/>
        <v>0.95443298969072199</v>
      </c>
      <c r="R29" s="637"/>
      <c r="S29" s="40">
        <v>0.78194444444444444</v>
      </c>
      <c r="T29" s="40">
        <v>0.84930555555555554</v>
      </c>
      <c r="U29" s="203">
        <f t="shared" si="22"/>
        <v>5.9999999999999787</v>
      </c>
      <c r="V29" s="211">
        <f t="shared" si="21"/>
        <v>96.999999999999972</v>
      </c>
      <c r="W29" s="23"/>
      <c r="X29" s="28"/>
      <c r="Y29" s="28"/>
      <c r="Z29" s="28"/>
      <c r="AA29" s="632"/>
      <c r="AB29" s="632"/>
      <c r="AC29" s="25"/>
      <c r="AD29" s="25"/>
      <c r="AE29" s="19">
        <f t="shared" si="8"/>
        <v>-91.134020618556178</v>
      </c>
      <c r="AF29" s="208">
        <f t="shared" si="9"/>
        <v>0.95443298969072188</v>
      </c>
      <c r="AG29" s="637"/>
    </row>
    <row r="30" spans="1:33" ht="15.75" customHeight="1">
      <c r="A30" s="656" t="s">
        <v>912</v>
      </c>
      <c r="B30" s="42" t="s">
        <v>907</v>
      </c>
      <c r="C30" s="638"/>
      <c r="D30" s="638"/>
      <c r="E30" s="209"/>
      <c r="F30" s="212"/>
      <c r="G30" s="203"/>
      <c r="H30" s="212"/>
      <c r="I30" s="29">
        <v>14.833333333333334</v>
      </c>
      <c r="J30" s="39">
        <v>2000</v>
      </c>
      <c r="K30" s="17">
        <f t="shared" si="1"/>
        <v>134.83146067415728</v>
      </c>
      <c r="L30" s="29">
        <v>14.833333333333334</v>
      </c>
      <c r="M30" s="18">
        <f>AVERAGE(M24:M29)</f>
        <v>1921.6734399580298</v>
      </c>
      <c r="N30" s="17">
        <f t="shared" si="3"/>
        <v>129.55101842413683</v>
      </c>
      <c r="O30" s="19">
        <f t="shared" si="4"/>
        <v>0</v>
      </c>
      <c r="P30" s="20">
        <f t="shared" si="5"/>
        <v>-5.2804422500204566</v>
      </c>
      <c r="Q30" s="208">
        <f t="shared" si="6"/>
        <v>0.96083671997901499</v>
      </c>
      <c r="R30" s="637"/>
      <c r="S30" s="40"/>
      <c r="T30" s="40"/>
      <c r="U30" s="17"/>
      <c r="V30" s="211"/>
      <c r="W30" s="17"/>
      <c r="X30" s="17"/>
      <c r="Y30" s="30">
        <f>SUM(Y24:Y29)</f>
        <v>0</v>
      </c>
      <c r="Z30" s="30">
        <f>SUM(Z24:Z29)</f>
        <v>0</v>
      </c>
      <c r="AA30" s="631"/>
      <c r="AB30" s="631"/>
      <c r="AC30" s="30">
        <v>6</v>
      </c>
      <c r="AD30" s="30">
        <f>SUM(AD24:AD29)</f>
        <v>0</v>
      </c>
      <c r="AE30" s="19">
        <f t="shared" si="8"/>
        <v>-78.326560041970197</v>
      </c>
      <c r="AF30" s="208">
        <f t="shared" si="9"/>
        <v>0.96083671997901487</v>
      </c>
      <c r="AG30" s="637"/>
    </row>
    <row r="31" spans="1:33" ht="15.75" customHeight="1">
      <c r="A31" s="654" t="s">
        <v>913</v>
      </c>
      <c r="B31" s="42" t="s">
        <v>116</v>
      </c>
      <c r="C31" s="653" t="s">
        <v>117</v>
      </c>
      <c r="D31" s="653"/>
      <c r="E31" s="42">
        <v>31.29</v>
      </c>
      <c r="F31" s="212">
        <v>4600</v>
      </c>
      <c r="G31" s="203">
        <f t="shared" ref="G31:G36" si="23">E31*F31</f>
        <v>143934</v>
      </c>
      <c r="H31" s="37">
        <v>2</v>
      </c>
      <c r="I31" s="210">
        <v>18</v>
      </c>
      <c r="J31" s="39">
        <v>2400</v>
      </c>
      <c r="K31" s="17">
        <f t="shared" si="1"/>
        <v>133.33333333333334</v>
      </c>
      <c r="L31" s="210">
        <v>18</v>
      </c>
      <c r="M31" s="18">
        <f t="shared" ref="M31:M36" si="24">F31/V31*60</f>
        <v>2280.9917355371904</v>
      </c>
      <c r="N31" s="17">
        <f t="shared" si="3"/>
        <v>126.72176308539946</v>
      </c>
      <c r="O31" s="19">
        <f t="shared" si="4"/>
        <v>0</v>
      </c>
      <c r="P31" s="20">
        <f t="shared" si="5"/>
        <v>-6.6115702479338836</v>
      </c>
      <c r="Q31" s="208">
        <f t="shared" si="6"/>
        <v>0.95041322314049592</v>
      </c>
      <c r="R31" s="637">
        <f>Q37</f>
        <v>0.95500577992368407</v>
      </c>
      <c r="S31" s="40">
        <v>8.3333333333333329E-2</v>
      </c>
      <c r="T31" s="40">
        <v>0.1673611111111111</v>
      </c>
      <c r="U31" s="203"/>
      <c r="V31" s="211">
        <f t="shared" ref="V31:V36" si="25">(T31-S31)*24*60</f>
        <v>121</v>
      </c>
      <c r="W31" s="23">
        <f>T31</f>
        <v>0.1673611111111111</v>
      </c>
      <c r="X31" s="23">
        <f>S32</f>
        <v>0.18680555555555553</v>
      </c>
      <c r="Y31" s="23"/>
      <c r="Z31" s="23"/>
      <c r="AA31" s="632"/>
      <c r="AB31" s="632"/>
      <c r="AC31" s="25">
        <v>6</v>
      </c>
      <c r="AD31" s="25"/>
      <c r="AE31" s="19">
        <f t="shared" si="8"/>
        <v>-119.00826446280962</v>
      </c>
      <c r="AF31" s="208">
        <f t="shared" si="9"/>
        <v>0.95041322314049603</v>
      </c>
      <c r="AG31" s="637">
        <f>AF37</f>
        <v>0.95500577992368407</v>
      </c>
    </row>
    <row r="32" spans="1:33" ht="15.75" customHeight="1">
      <c r="A32" s="654" t="s">
        <v>914</v>
      </c>
      <c r="B32" s="42" t="s">
        <v>116</v>
      </c>
      <c r="C32" s="653" t="s">
        <v>118</v>
      </c>
      <c r="D32" s="653"/>
      <c r="E32" s="42">
        <v>26.37</v>
      </c>
      <c r="F32" s="212">
        <v>6904</v>
      </c>
      <c r="G32" s="203">
        <f t="shared" si="23"/>
        <v>182058.48</v>
      </c>
      <c r="H32" s="37" t="s">
        <v>91</v>
      </c>
      <c r="I32" s="210">
        <v>18</v>
      </c>
      <c r="J32" s="39">
        <v>2400</v>
      </c>
      <c r="K32" s="17">
        <f t="shared" si="1"/>
        <v>133.33333333333334</v>
      </c>
      <c r="L32" s="210">
        <v>18</v>
      </c>
      <c r="M32" s="18">
        <f t="shared" si="24"/>
        <v>2288.6187845303857</v>
      </c>
      <c r="N32" s="17">
        <f t="shared" si="3"/>
        <v>127.14548802946587</v>
      </c>
      <c r="O32" s="19">
        <f t="shared" si="4"/>
        <v>0</v>
      </c>
      <c r="P32" s="20">
        <f t="shared" si="5"/>
        <v>-6.1878453038674763</v>
      </c>
      <c r="Q32" s="208">
        <f t="shared" si="6"/>
        <v>0.95359116022099388</v>
      </c>
      <c r="R32" s="637"/>
      <c r="S32" s="40">
        <v>0.18680555555555553</v>
      </c>
      <c r="T32" s="40">
        <v>0.3125</v>
      </c>
      <c r="U32" s="203">
        <f t="shared" ref="U32:U36" si="26">(S32-T31)*24*60</f>
        <v>27.999999999999979</v>
      </c>
      <c r="V32" s="211">
        <f t="shared" si="25"/>
        <v>181.00000000000006</v>
      </c>
      <c r="W32" s="23"/>
      <c r="X32" s="23"/>
      <c r="Y32" s="23"/>
      <c r="Z32" s="23"/>
      <c r="AA32" s="632"/>
      <c r="AB32" s="632"/>
      <c r="AC32" s="25"/>
      <c r="AD32" s="25"/>
      <c r="AE32" s="19">
        <f t="shared" si="8"/>
        <v>-111.38121546961429</v>
      </c>
      <c r="AF32" s="208">
        <f t="shared" si="9"/>
        <v>0.95359116022099399</v>
      </c>
      <c r="AG32" s="637"/>
    </row>
    <row r="33" spans="1:33" ht="15.75" customHeight="1">
      <c r="A33" s="654" t="s">
        <v>914</v>
      </c>
      <c r="B33" s="42" t="s">
        <v>116</v>
      </c>
      <c r="C33" s="653" t="s">
        <v>124</v>
      </c>
      <c r="D33" s="653"/>
      <c r="E33" s="42">
        <v>24.43</v>
      </c>
      <c r="F33" s="212">
        <v>6041</v>
      </c>
      <c r="G33" s="203">
        <f t="shared" si="23"/>
        <v>147581.63</v>
      </c>
      <c r="H33" s="37" t="s">
        <v>91</v>
      </c>
      <c r="I33" s="210">
        <v>14</v>
      </c>
      <c r="J33" s="39">
        <v>2400</v>
      </c>
      <c r="K33" s="17">
        <f t="shared" si="1"/>
        <v>171.42857142857142</v>
      </c>
      <c r="L33" s="210">
        <v>14</v>
      </c>
      <c r="M33" s="18">
        <f t="shared" si="24"/>
        <v>2294.0506329113923</v>
      </c>
      <c r="N33" s="17">
        <f t="shared" si="3"/>
        <v>163.86075949367088</v>
      </c>
      <c r="O33" s="19">
        <f t="shared" si="4"/>
        <v>0</v>
      </c>
      <c r="P33" s="20">
        <f t="shared" si="5"/>
        <v>-7.5678119349005328</v>
      </c>
      <c r="Q33" s="208">
        <f t="shared" si="6"/>
        <v>0.95585443037974693</v>
      </c>
      <c r="R33" s="637"/>
      <c r="S33" s="40">
        <v>0.31666666666666665</v>
      </c>
      <c r="T33" s="40">
        <v>0.42638888888888887</v>
      </c>
      <c r="U33" s="203">
        <f t="shared" si="26"/>
        <v>5.9999999999999787</v>
      </c>
      <c r="V33" s="211">
        <f t="shared" si="25"/>
        <v>158</v>
      </c>
      <c r="W33" s="23"/>
      <c r="X33" s="23"/>
      <c r="Y33" s="23"/>
      <c r="Z33" s="23"/>
      <c r="AA33" s="632"/>
      <c r="AB33" s="632"/>
      <c r="AC33" s="25"/>
      <c r="AD33" s="25"/>
      <c r="AE33" s="19">
        <f t="shared" si="8"/>
        <v>-105.94936708860769</v>
      </c>
      <c r="AF33" s="208">
        <f t="shared" si="9"/>
        <v>0.95585443037974682</v>
      </c>
      <c r="AG33" s="637"/>
    </row>
    <row r="34" spans="1:33" ht="15.75" customHeight="1">
      <c r="A34" s="654" t="s">
        <v>914</v>
      </c>
      <c r="B34" s="42" t="s">
        <v>116</v>
      </c>
      <c r="C34" s="653" t="s">
        <v>147</v>
      </c>
      <c r="D34" s="653"/>
      <c r="E34" s="42">
        <v>25.98</v>
      </c>
      <c r="F34" s="212">
        <v>2094</v>
      </c>
      <c r="G34" s="203">
        <f t="shared" si="23"/>
        <v>54402.12</v>
      </c>
      <c r="H34" s="37" t="s">
        <v>91</v>
      </c>
      <c r="I34" s="210">
        <v>17</v>
      </c>
      <c r="J34" s="39">
        <v>2400</v>
      </c>
      <c r="K34" s="17">
        <f t="shared" si="1"/>
        <v>141.1764705882353</v>
      </c>
      <c r="L34" s="210">
        <v>17</v>
      </c>
      <c r="M34" s="18">
        <f t="shared" si="24"/>
        <v>2284.3636363636379</v>
      </c>
      <c r="N34" s="17">
        <f t="shared" si="3"/>
        <v>134.37433155080222</v>
      </c>
      <c r="O34" s="19">
        <f t="shared" si="4"/>
        <v>0</v>
      </c>
      <c r="P34" s="20">
        <f t="shared" si="5"/>
        <v>-6.8021390374330792</v>
      </c>
      <c r="Q34" s="208">
        <f t="shared" si="6"/>
        <v>0.95181818181818234</v>
      </c>
      <c r="R34" s="637"/>
      <c r="S34" s="40">
        <v>0.42986111111111108</v>
      </c>
      <c r="T34" s="40">
        <v>0.4680555555555555</v>
      </c>
      <c r="U34" s="203">
        <f t="shared" si="26"/>
        <v>4.9999999999999822</v>
      </c>
      <c r="V34" s="211">
        <f t="shared" si="25"/>
        <v>54.999999999999964</v>
      </c>
      <c r="W34" s="23"/>
      <c r="X34" s="23"/>
      <c r="Y34" s="23"/>
      <c r="Z34" s="23"/>
      <c r="AA34" s="632"/>
      <c r="AB34" s="632"/>
      <c r="AC34" s="25"/>
      <c r="AD34" s="25"/>
      <c r="AE34" s="19">
        <f t="shared" si="8"/>
        <v>-115.63636363636215</v>
      </c>
      <c r="AF34" s="208">
        <f t="shared" si="9"/>
        <v>0.95181818181818245</v>
      </c>
      <c r="AG34" s="637"/>
    </row>
    <row r="35" spans="1:33" ht="15.75" customHeight="1">
      <c r="A35" s="654" t="s">
        <v>913</v>
      </c>
      <c r="B35" s="42" t="s">
        <v>116</v>
      </c>
      <c r="C35" s="653" t="s">
        <v>122</v>
      </c>
      <c r="D35" s="653"/>
      <c r="E35" s="42">
        <v>20.21</v>
      </c>
      <c r="F35" s="212">
        <v>1613</v>
      </c>
      <c r="G35" s="203">
        <f t="shared" si="23"/>
        <v>32598.73</v>
      </c>
      <c r="H35" s="37" t="s">
        <v>91</v>
      </c>
      <c r="I35" s="210">
        <v>18</v>
      </c>
      <c r="J35" s="39">
        <v>2400</v>
      </c>
      <c r="K35" s="17">
        <f t="shared" si="1"/>
        <v>133.33333333333334</v>
      </c>
      <c r="L35" s="210">
        <v>18</v>
      </c>
      <c r="M35" s="18">
        <f t="shared" si="24"/>
        <v>2304.2857142857183</v>
      </c>
      <c r="N35" s="17">
        <f t="shared" si="3"/>
        <v>128.01587301587324</v>
      </c>
      <c r="O35" s="19">
        <f t="shared" si="4"/>
        <v>0</v>
      </c>
      <c r="P35" s="20">
        <f t="shared" si="5"/>
        <v>-5.3174603174601032</v>
      </c>
      <c r="Q35" s="208">
        <f t="shared" si="6"/>
        <v>0.9601190476190492</v>
      </c>
      <c r="R35" s="637"/>
      <c r="S35" s="40">
        <v>0.47152777777777771</v>
      </c>
      <c r="T35" s="40">
        <v>0.50069444444444433</v>
      </c>
      <c r="U35" s="203">
        <f t="shared" si="26"/>
        <v>4.9999999999999822</v>
      </c>
      <c r="V35" s="211">
        <f t="shared" si="25"/>
        <v>41.999999999999929</v>
      </c>
      <c r="W35" s="23">
        <f>T35</f>
        <v>0.50069444444444433</v>
      </c>
      <c r="X35" s="23">
        <f>S36</f>
        <v>0.54027777777777763</v>
      </c>
      <c r="Y35" s="23"/>
      <c r="Z35" s="23"/>
      <c r="AA35" s="632"/>
      <c r="AB35" s="632"/>
      <c r="AC35" s="25"/>
      <c r="AD35" s="25"/>
      <c r="AE35" s="19">
        <f t="shared" si="8"/>
        <v>-95.714285714281687</v>
      </c>
      <c r="AF35" s="208">
        <f t="shared" si="9"/>
        <v>0.96011904761904932</v>
      </c>
      <c r="AG35" s="637"/>
    </row>
    <row r="36" spans="1:33" ht="15.75" customHeight="1">
      <c r="A36" s="654" t="s">
        <v>914</v>
      </c>
      <c r="B36" s="42" t="s">
        <v>116</v>
      </c>
      <c r="C36" s="653" t="s">
        <v>117</v>
      </c>
      <c r="D36" s="653"/>
      <c r="E36" s="42">
        <v>31.29</v>
      </c>
      <c r="F36" s="212">
        <v>3373</v>
      </c>
      <c r="G36" s="203">
        <f t="shared" si="23"/>
        <v>105541.17</v>
      </c>
      <c r="H36" s="37" t="s">
        <v>91</v>
      </c>
      <c r="I36" s="210">
        <v>18</v>
      </c>
      <c r="J36" s="39">
        <v>2400</v>
      </c>
      <c r="K36" s="17">
        <f t="shared" si="1"/>
        <v>133.33333333333334</v>
      </c>
      <c r="L36" s="210">
        <v>18</v>
      </c>
      <c r="M36" s="18">
        <f t="shared" si="24"/>
        <v>2299.772727272727</v>
      </c>
      <c r="N36" s="17">
        <f t="shared" si="3"/>
        <v>127.7651515151515</v>
      </c>
      <c r="O36" s="19">
        <f t="shared" si="4"/>
        <v>0</v>
      </c>
      <c r="P36" s="20">
        <f t="shared" si="5"/>
        <v>-5.5681818181818414</v>
      </c>
      <c r="Q36" s="208">
        <f t="shared" si="6"/>
        <v>0.95823863636363615</v>
      </c>
      <c r="R36" s="637"/>
      <c r="S36" s="40">
        <v>0.54027777777777763</v>
      </c>
      <c r="T36" s="40">
        <v>0.60138888888888875</v>
      </c>
      <c r="U36" s="203">
        <f t="shared" si="26"/>
        <v>56.999999999999957</v>
      </c>
      <c r="V36" s="211">
        <f t="shared" si="25"/>
        <v>88</v>
      </c>
      <c r="W36" s="23"/>
      <c r="X36" s="23"/>
      <c r="Y36" s="23"/>
      <c r="Z36" s="23"/>
      <c r="AA36" s="632"/>
      <c r="AB36" s="632"/>
      <c r="AC36" s="25"/>
      <c r="AD36" s="25"/>
      <c r="AE36" s="19">
        <f t="shared" si="8"/>
        <v>-100.22727272727298</v>
      </c>
      <c r="AF36" s="208">
        <f t="shared" si="9"/>
        <v>0.95823863636363626</v>
      </c>
      <c r="AG36" s="637"/>
    </row>
    <row r="37" spans="1:33" ht="15.75" customHeight="1">
      <c r="A37" s="654" t="s">
        <v>913</v>
      </c>
      <c r="B37" s="42" t="s">
        <v>907</v>
      </c>
      <c r="C37" s="638"/>
      <c r="D37" s="638"/>
      <c r="E37" s="209"/>
      <c r="F37" s="212"/>
      <c r="G37" s="203"/>
      <c r="H37" s="212"/>
      <c r="I37" s="29">
        <v>17.166666666666668</v>
      </c>
      <c r="J37" s="39">
        <v>2400</v>
      </c>
      <c r="K37" s="17">
        <f t="shared" si="1"/>
        <v>139.80582524271844</v>
      </c>
      <c r="L37" s="29">
        <v>17.166666666666668</v>
      </c>
      <c r="M37" s="18">
        <f>AVERAGE(M31:M36)</f>
        <v>2292.0138718168419</v>
      </c>
      <c r="N37" s="17">
        <f t="shared" si="3"/>
        <v>133.51537117379661</v>
      </c>
      <c r="O37" s="19">
        <f t="shared" si="4"/>
        <v>0</v>
      </c>
      <c r="P37" s="20">
        <f t="shared" si="5"/>
        <v>-6.2904540689218322</v>
      </c>
      <c r="Q37" s="208">
        <f t="shared" si="6"/>
        <v>0.95500577992368407</v>
      </c>
      <c r="R37" s="637"/>
      <c r="S37" s="40"/>
      <c r="T37" s="40"/>
      <c r="U37" s="203"/>
      <c r="V37" s="211"/>
      <c r="W37" s="203"/>
      <c r="X37" s="203"/>
      <c r="Y37" s="30">
        <f>SUM(Y31:Y36)</f>
        <v>0</v>
      </c>
      <c r="Z37" s="30">
        <f>SUM(Z31:Z36)</f>
        <v>0</v>
      </c>
      <c r="AA37" s="631"/>
      <c r="AB37" s="631"/>
      <c r="AC37" s="30">
        <v>6</v>
      </c>
      <c r="AD37" s="30">
        <f>SUM(AD31:AD36)</f>
        <v>0</v>
      </c>
      <c r="AE37" s="19">
        <f t="shared" si="8"/>
        <v>-107.98612818315814</v>
      </c>
      <c r="AF37" s="208">
        <f t="shared" si="9"/>
        <v>0.95500577992368407</v>
      </c>
      <c r="AG37" s="637"/>
    </row>
    <row r="38" spans="1:33" ht="15.75" customHeight="1">
      <c r="A38" s="651" t="s">
        <v>915</v>
      </c>
      <c r="B38" s="42" t="s">
        <v>116</v>
      </c>
      <c r="C38" s="633" t="s">
        <v>123</v>
      </c>
      <c r="D38" s="633"/>
      <c r="E38" s="42">
        <v>26.18</v>
      </c>
      <c r="F38" s="212">
        <v>4849</v>
      </c>
      <c r="G38" s="203">
        <f t="shared" ref="G38:G43" si="27">E38*F38</f>
        <v>126946.81999999999</v>
      </c>
      <c r="H38" s="37" t="s">
        <v>91</v>
      </c>
      <c r="I38" s="210">
        <v>20</v>
      </c>
      <c r="J38" s="39">
        <v>2400</v>
      </c>
      <c r="K38" s="17">
        <f t="shared" si="1"/>
        <v>120</v>
      </c>
      <c r="L38" s="210">
        <v>20</v>
      </c>
      <c r="M38" s="18">
        <f t="shared" ref="M38:M43" si="28">F38/V38*60</f>
        <v>2290.8661417322837</v>
      </c>
      <c r="N38" s="17">
        <f t="shared" si="3"/>
        <v>114.54330708661419</v>
      </c>
      <c r="O38" s="19">
        <f t="shared" si="4"/>
        <v>0</v>
      </c>
      <c r="P38" s="20">
        <f t="shared" si="5"/>
        <v>-5.4566929133858082</v>
      </c>
      <c r="Q38" s="208">
        <f t="shared" si="6"/>
        <v>0.95452755905511821</v>
      </c>
      <c r="R38" s="637">
        <f>Q44</f>
        <v>0.9563441649059734</v>
      </c>
      <c r="S38" s="40">
        <v>8.3333333333333329E-2</v>
      </c>
      <c r="T38" s="40">
        <v>0.17152777777777778</v>
      </c>
      <c r="U38" s="203"/>
      <c r="V38" s="211">
        <f t="shared" ref="V38:V43" si="29">(T38-S38)*24*60</f>
        <v>127</v>
      </c>
      <c r="W38" s="28">
        <f>T38</f>
        <v>0.17152777777777778</v>
      </c>
      <c r="X38" s="28">
        <f>S39</f>
        <v>0.18958333333333333</v>
      </c>
      <c r="Y38" s="28"/>
      <c r="Z38" s="28"/>
      <c r="AA38" s="632"/>
      <c r="AB38" s="632"/>
      <c r="AC38" s="25">
        <v>6</v>
      </c>
      <c r="AD38" s="25"/>
      <c r="AE38" s="19">
        <f t="shared" si="8"/>
        <v>-109.13385826771628</v>
      </c>
      <c r="AF38" s="208">
        <f t="shared" si="9"/>
        <v>0.95452755905511821</v>
      </c>
      <c r="AG38" s="637">
        <f>AF44</f>
        <v>0.9563441649059734</v>
      </c>
    </row>
    <row r="39" spans="1:33" ht="15.75" customHeight="1">
      <c r="A39" s="651" t="s">
        <v>916</v>
      </c>
      <c r="B39" s="42" t="s">
        <v>116</v>
      </c>
      <c r="C39" s="633" t="s">
        <v>125</v>
      </c>
      <c r="D39" s="633"/>
      <c r="E39" s="42">
        <v>25.98</v>
      </c>
      <c r="F39" s="212">
        <v>2763</v>
      </c>
      <c r="G39" s="203">
        <f t="shared" si="27"/>
        <v>71782.740000000005</v>
      </c>
      <c r="H39" s="37" t="s">
        <v>91</v>
      </c>
      <c r="I39" s="210">
        <v>20</v>
      </c>
      <c r="J39" s="39">
        <v>2400</v>
      </c>
      <c r="K39" s="17">
        <f t="shared" si="1"/>
        <v>120</v>
      </c>
      <c r="L39" s="210">
        <v>20</v>
      </c>
      <c r="M39" s="18">
        <f t="shared" si="28"/>
        <v>2302.5000000000005</v>
      </c>
      <c r="N39" s="17">
        <f t="shared" si="3"/>
        <v>115.12500000000003</v>
      </c>
      <c r="O39" s="19">
        <f t="shared" si="4"/>
        <v>0</v>
      </c>
      <c r="P39" s="20">
        <f t="shared" si="5"/>
        <v>-4.8749999999999716</v>
      </c>
      <c r="Q39" s="208">
        <f t="shared" si="6"/>
        <v>0.9593750000000002</v>
      </c>
      <c r="R39" s="637"/>
      <c r="S39" s="40">
        <v>0.18958333333333333</v>
      </c>
      <c r="T39" s="40">
        <v>0.23958333333333331</v>
      </c>
      <c r="U39" s="203">
        <f t="shared" ref="U39:U43" si="30">(S39-T38)*24*60</f>
        <v>25.999999999999986</v>
      </c>
      <c r="V39" s="211">
        <f t="shared" si="29"/>
        <v>71.999999999999986</v>
      </c>
      <c r="W39" s="203"/>
      <c r="X39" s="203"/>
      <c r="Y39" s="203"/>
      <c r="Z39" s="203"/>
      <c r="AA39" s="632"/>
      <c r="AB39" s="632"/>
      <c r="AC39" s="25"/>
      <c r="AD39" s="25"/>
      <c r="AE39" s="19">
        <f t="shared" si="8"/>
        <v>-97.499999999999545</v>
      </c>
      <c r="AF39" s="208">
        <f t="shared" si="9"/>
        <v>0.9593750000000002</v>
      </c>
      <c r="AG39" s="637"/>
    </row>
    <row r="40" spans="1:33">
      <c r="A40" s="652" t="s">
        <v>915</v>
      </c>
      <c r="B40" s="42" t="s">
        <v>116</v>
      </c>
      <c r="C40" s="633" t="s">
        <v>119</v>
      </c>
      <c r="D40" s="633"/>
      <c r="E40" s="42">
        <v>26.18</v>
      </c>
      <c r="F40" s="212">
        <v>3800</v>
      </c>
      <c r="G40" s="203">
        <f t="shared" si="27"/>
        <v>99484</v>
      </c>
      <c r="H40" s="37">
        <v>2</v>
      </c>
      <c r="I40" s="210">
        <v>18</v>
      </c>
      <c r="J40" s="39">
        <v>2400</v>
      </c>
      <c r="K40" s="17">
        <f t="shared" si="1"/>
        <v>133.33333333333334</v>
      </c>
      <c r="L40" s="210">
        <v>18</v>
      </c>
      <c r="M40" s="18">
        <f t="shared" si="28"/>
        <v>2303.0303030303039</v>
      </c>
      <c r="N40" s="17">
        <f t="shared" si="3"/>
        <v>127.946127946128</v>
      </c>
      <c r="O40" s="19">
        <f t="shared" si="4"/>
        <v>0</v>
      </c>
      <c r="P40" s="20">
        <f t="shared" si="5"/>
        <v>-5.3872053872053414</v>
      </c>
      <c r="Q40" s="208">
        <f t="shared" si="6"/>
        <v>0.95959595959595989</v>
      </c>
      <c r="R40" s="637"/>
      <c r="S40" s="40">
        <v>0.24305555555555552</v>
      </c>
      <c r="T40" s="40">
        <v>0.3118055555555555</v>
      </c>
      <c r="U40" s="203">
        <f t="shared" si="30"/>
        <v>4.9999999999999822</v>
      </c>
      <c r="V40" s="211">
        <f t="shared" si="29"/>
        <v>98.999999999999972</v>
      </c>
      <c r="W40" s="203"/>
      <c r="X40" s="203"/>
      <c r="Y40" s="203"/>
      <c r="Z40" s="203"/>
      <c r="AA40" s="632"/>
      <c r="AB40" s="632"/>
      <c r="AC40" s="25"/>
      <c r="AD40" s="25"/>
      <c r="AE40" s="19">
        <f t="shared" si="8"/>
        <v>-96.969696969696088</v>
      </c>
      <c r="AF40" s="208">
        <f t="shared" si="9"/>
        <v>0.95959595959596</v>
      </c>
      <c r="AG40" s="637"/>
    </row>
    <row r="41" spans="1:33">
      <c r="A41" s="652" t="s">
        <v>915</v>
      </c>
      <c r="B41" s="42" t="s">
        <v>116</v>
      </c>
      <c r="C41" s="633" t="s">
        <v>121</v>
      </c>
      <c r="D41" s="633"/>
      <c r="E41" s="42">
        <v>25.99</v>
      </c>
      <c r="F41" s="212">
        <v>3144</v>
      </c>
      <c r="G41" s="203">
        <f t="shared" si="27"/>
        <v>81712.56</v>
      </c>
      <c r="H41" s="37" t="s">
        <v>91</v>
      </c>
      <c r="I41" s="210">
        <v>14</v>
      </c>
      <c r="J41" s="39">
        <v>2400</v>
      </c>
      <c r="K41" s="17">
        <f t="shared" si="1"/>
        <v>171.42857142857142</v>
      </c>
      <c r="L41" s="210">
        <v>14</v>
      </c>
      <c r="M41" s="18">
        <f t="shared" si="28"/>
        <v>2300.4878048780479</v>
      </c>
      <c r="N41" s="17">
        <f t="shared" si="3"/>
        <v>164.32055749128912</v>
      </c>
      <c r="O41" s="19">
        <f t="shared" si="4"/>
        <v>0</v>
      </c>
      <c r="P41" s="20">
        <f t="shared" si="5"/>
        <v>-7.1080139372822941</v>
      </c>
      <c r="Q41" s="208">
        <f t="shared" si="6"/>
        <v>0.95853658536585329</v>
      </c>
      <c r="R41" s="637"/>
      <c r="S41" s="40">
        <v>0.31527777777777771</v>
      </c>
      <c r="T41" s="40">
        <v>0.37222222222222218</v>
      </c>
      <c r="U41" s="203">
        <f t="shared" si="30"/>
        <v>4.9999999999999822</v>
      </c>
      <c r="V41" s="211">
        <f t="shared" si="29"/>
        <v>82.000000000000028</v>
      </c>
      <c r="W41" s="23"/>
      <c r="X41" s="23"/>
      <c r="Y41" s="23"/>
      <c r="Z41" s="23"/>
      <c r="AA41" s="632"/>
      <c r="AB41" s="632"/>
      <c r="AC41" s="25"/>
      <c r="AD41" s="25"/>
      <c r="AE41" s="19">
        <f t="shared" si="8"/>
        <v>-99.512195121952118</v>
      </c>
      <c r="AF41" s="208">
        <f t="shared" si="9"/>
        <v>0.95853658536585329</v>
      </c>
      <c r="AG41" s="637"/>
    </row>
    <row r="42" spans="1:33">
      <c r="A42" s="652" t="s">
        <v>915</v>
      </c>
      <c r="B42" s="42" t="s">
        <v>116</v>
      </c>
      <c r="C42" s="633" t="s">
        <v>126</v>
      </c>
      <c r="D42" s="633"/>
      <c r="E42" s="42">
        <v>34.1</v>
      </c>
      <c r="F42" s="212">
        <v>5314</v>
      </c>
      <c r="G42" s="203">
        <f t="shared" si="27"/>
        <v>181207.4</v>
      </c>
      <c r="H42" s="37" t="s">
        <v>91</v>
      </c>
      <c r="I42" s="210">
        <v>17</v>
      </c>
      <c r="J42" s="39">
        <v>1600</v>
      </c>
      <c r="K42" s="17">
        <f t="shared" si="1"/>
        <v>94.117647058823536</v>
      </c>
      <c r="L42" s="210">
        <v>17</v>
      </c>
      <c r="M42" s="18">
        <f t="shared" si="28"/>
        <v>1525.5502392344501</v>
      </c>
      <c r="N42" s="17">
        <f t="shared" si="3"/>
        <v>89.738249366732362</v>
      </c>
      <c r="O42" s="19">
        <f t="shared" si="4"/>
        <v>0</v>
      </c>
      <c r="P42" s="20">
        <f t="shared" si="5"/>
        <v>-4.3793976920911746</v>
      </c>
      <c r="Q42" s="208">
        <f t="shared" si="6"/>
        <v>0.95346889952153124</v>
      </c>
      <c r="R42" s="637"/>
      <c r="S42" s="40">
        <v>0.37569444444444439</v>
      </c>
      <c r="T42" s="40">
        <v>0.52083333333333326</v>
      </c>
      <c r="U42" s="203">
        <f t="shared" si="30"/>
        <v>4.9999999999999822</v>
      </c>
      <c r="V42" s="211">
        <f t="shared" si="29"/>
        <v>208.99999999999997</v>
      </c>
      <c r="W42" s="23">
        <f>T42</f>
        <v>0.52083333333333326</v>
      </c>
      <c r="X42" s="23">
        <f>S43</f>
        <v>0.56111111111111101</v>
      </c>
      <c r="Y42" s="23"/>
      <c r="Z42" s="23"/>
      <c r="AA42" s="632"/>
      <c r="AB42" s="632"/>
      <c r="AC42" s="25"/>
      <c r="AD42" s="25"/>
      <c r="AE42" s="19">
        <f t="shared" si="8"/>
        <v>-74.449760765549854</v>
      </c>
      <c r="AF42" s="208">
        <f t="shared" si="9"/>
        <v>0.95346889952153135</v>
      </c>
      <c r="AG42" s="637"/>
    </row>
    <row r="43" spans="1:33">
      <c r="A43" s="652" t="s">
        <v>915</v>
      </c>
      <c r="B43" s="42" t="s">
        <v>116</v>
      </c>
      <c r="C43" s="633" t="s">
        <v>119</v>
      </c>
      <c r="D43" s="633"/>
      <c r="E43" s="42">
        <v>26.18</v>
      </c>
      <c r="F43" s="212">
        <v>2969</v>
      </c>
      <c r="G43" s="203">
        <f t="shared" si="27"/>
        <v>77728.42</v>
      </c>
      <c r="H43" s="37" t="s">
        <v>91</v>
      </c>
      <c r="I43" s="210">
        <v>18</v>
      </c>
      <c r="J43" s="39">
        <v>2400</v>
      </c>
      <c r="K43" s="17">
        <f t="shared" si="1"/>
        <v>133.33333333333334</v>
      </c>
      <c r="L43" s="210">
        <v>18</v>
      </c>
      <c r="M43" s="18">
        <f t="shared" si="28"/>
        <v>2283.8461538461524</v>
      </c>
      <c r="N43" s="17">
        <f t="shared" si="3"/>
        <v>126.8803418803418</v>
      </c>
      <c r="O43" s="19">
        <f t="shared" si="4"/>
        <v>0</v>
      </c>
      <c r="P43" s="20">
        <f t="shared" si="5"/>
        <v>-6.4529914529915402</v>
      </c>
      <c r="Q43" s="208">
        <f t="shared" si="6"/>
        <v>0.9516025641025635</v>
      </c>
      <c r="R43" s="637"/>
      <c r="S43" s="40">
        <v>0.56111111111111101</v>
      </c>
      <c r="T43" s="40">
        <v>0.6152777777777777</v>
      </c>
      <c r="U43" s="203">
        <f t="shared" si="30"/>
        <v>57.999999999999957</v>
      </c>
      <c r="V43" s="211">
        <f t="shared" si="29"/>
        <v>78.000000000000043</v>
      </c>
      <c r="W43" s="23"/>
      <c r="X43" s="23"/>
      <c r="Y43" s="23"/>
      <c r="Z43" s="23"/>
      <c r="AA43" s="632"/>
      <c r="AB43" s="632"/>
      <c r="AC43" s="25"/>
      <c r="AD43" s="25"/>
      <c r="AE43" s="19">
        <f t="shared" si="8"/>
        <v>-116.15384615384755</v>
      </c>
      <c r="AF43" s="208">
        <f t="shared" si="9"/>
        <v>0.9516025641025635</v>
      </c>
      <c r="AG43" s="637"/>
    </row>
    <row r="44" spans="1:33">
      <c r="A44" s="652" t="s">
        <v>915</v>
      </c>
      <c r="B44" s="44" t="s">
        <v>907</v>
      </c>
      <c r="C44" s="638"/>
      <c r="D44" s="638"/>
      <c r="E44" s="209"/>
      <c r="F44" s="44"/>
      <c r="G44" s="17"/>
      <c r="H44" s="212"/>
      <c r="I44" s="29">
        <v>17.833333333333332</v>
      </c>
      <c r="J44" s="39">
        <v>2266.6666666666665</v>
      </c>
      <c r="K44" s="17">
        <f t="shared" si="1"/>
        <v>127.10280373831776</v>
      </c>
      <c r="L44" s="29">
        <v>17.833333333333332</v>
      </c>
      <c r="M44" s="18">
        <f>AVERAGE(M38:M43)</f>
        <v>2167.7134404535395</v>
      </c>
      <c r="N44" s="17">
        <f t="shared" si="3"/>
        <v>121.55402469832933</v>
      </c>
      <c r="O44" s="19">
        <f t="shared" si="4"/>
        <v>0</v>
      </c>
      <c r="P44" s="20">
        <f t="shared" si="5"/>
        <v>-5.5487790399884318</v>
      </c>
      <c r="Q44" s="208">
        <f t="shared" si="6"/>
        <v>0.9563441649059734</v>
      </c>
      <c r="R44" s="637"/>
      <c r="S44" s="40"/>
      <c r="T44" s="40"/>
      <c r="U44" s="17"/>
      <c r="V44" s="211"/>
      <c r="W44" s="17"/>
      <c r="X44" s="17"/>
      <c r="Y44" s="30">
        <f>SUM(Y38:Y43)</f>
        <v>0</v>
      </c>
      <c r="Z44" s="30">
        <f>SUM(Z38:Z43)</f>
        <v>0</v>
      </c>
      <c r="AA44" s="631"/>
      <c r="AB44" s="631"/>
      <c r="AC44" s="30">
        <v>6</v>
      </c>
      <c r="AD44" s="30">
        <f>SUM(AD38:AD43)</f>
        <v>0</v>
      </c>
      <c r="AE44" s="19">
        <f t="shared" si="8"/>
        <v>-98.953226213126982</v>
      </c>
      <c r="AF44" s="208">
        <f t="shared" si="9"/>
        <v>0.9563441649059734</v>
      </c>
      <c r="AG44" s="637"/>
    </row>
    <row r="45" spans="1:33" ht="15.75" customHeight="1">
      <c r="A45" s="648" t="s">
        <v>917</v>
      </c>
      <c r="B45" s="42" t="s">
        <v>127</v>
      </c>
      <c r="C45" s="625" t="s">
        <v>128</v>
      </c>
      <c r="D45" s="626"/>
      <c r="E45" s="42">
        <v>21.13</v>
      </c>
      <c r="F45" s="212">
        <v>5009</v>
      </c>
      <c r="G45" s="203">
        <f t="shared" ref="G45:G48" si="31">E45*F45</f>
        <v>105840.17</v>
      </c>
      <c r="H45" s="37" t="s">
        <v>91</v>
      </c>
      <c r="I45" s="210">
        <v>10</v>
      </c>
      <c r="J45" s="39">
        <v>3000</v>
      </c>
      <c r="K45" s="17">
        <f t="shared" si="1"/>
        <v>300</v>
      </c>
      <c r="L45" s="210">
        <v>10</v>
      </c>
      <c r="M45" s="18">
        <f t="shared" ref="M45:M48" si="32">F45/V45*60</f>
        <v>2862.2857142857147</v>
      </c>
      <c r="N45" s="18">
        <f t="shared" si="3"/>
        <v>286.22857142857146</v>
      </c>
      <c r="O45" s="19">
        <f t="shared" si="4"/>
        <v>0</v>
      </c>
      <c r="P45" s="20">
        <f t="shared" si="5"/>
        <v>-13.771428571428544</v>
      </c>
      <c r="Q45" s="208">
        <f t="shared" si="6"/>
        <v>0.95409523809523822</v>
      </c>
      <c r="R45" s="643">
        <f>Q49</f>
        <v>0.96025815944355397</v>
      </c>
      <c r="S45" s="40">
        <v>0.20833333333333334</v>
      </c>
      <c r="T45" s="40">
        <v>0.28125</v>
      </c>
      <c r="U45" s="28"/>
      <c r="V45" s="211">
        <f t="shared" ref="V45:V48" si="33">(T45-S45)*24*60</f>
        <v>104.99999999999999</v>
      </c>
      <c r="W45" s="23"/>
      <c r="X45" s="23"/>
      <c r="Y45" s="26"/>
      <c r="Z45" s="26"/>
      <c r="AA45" s="627"/>
      <c r="AB45" s="628"/>
      <c r="AC45" s="25">
        <v>4</v>
      </c>
      <c r="AD45" s="25"/>
      <c r="AE45" s="19">
        <f t="shared" si="8"/>
        <v>-137.71428571428532</v>
      </c>
      <c r="AF45" s="208">
        <f t="shared" si="9"/>
        <v>0.95409523809523822</v>
      </c>
      <c r="AG45" s="643">
        <f>AF49</f>
        <v>0.96025815944355386</v>
      </c>
    </row>
    <row r="46" spans="1:33" ht="15.75" customHeight="1">
      <c r="A46" s="649" t="s">
        <v>917</v>
      </c>
      <c r="B46" s="42" t="s">
        <v>127</v>
      </c>
      <c r="C46" s="625" t="s">
        <v>129</v>
      </c>
      <c r="D46" s="626"/>
      <c r="E46" s="42">
        <v>27.17</v>
      </c>
      <c r="F46" s="212">
        <v>4266</v>
      </c>
      <c r="G46" s="203">
        <f t="shared" si="31"/>
        <v>115907.22</v>
      </c>
      <c r="H46" s="37" t="s">
        <v>91</v>
      </c>
      <c r="I46" s="210">
        <v>10</v>
      </c>
      <c r="J46" s="39">
        <v>3000</v>
      </c>
      <c r="K46" s="17">
        <f t="shared" si="1"/>
        <v>300</v>
      </c>
      <c r="L46" s="210">
        <v>10</v>
      </c>
      <c r="M46" s="18">
        <f t="shared" si="32"/>
        <v>2875.9550561797751</v>
      </c>
      <c r="N46" s="18">
        <f t="shared" si="3"/>
        <v>287.59550561797749</v>
      </c>
      <c r="O46" s="19">
        <f t="shared" si="4"/>
        <v>0</v>
      </c>
      <c r="P46" s="20">
        <f t="shared" si="5"/>
        <v>-12.404494382022506</v>
      </c>
      <c r="Q46" s="208">
        <f t="shared" si="6"/>
        <v>0.95865168539325829</v>
      </c>
      <c r="R46" s="644"/>
      <c r="S46" s="40">
        <v>0.28541666666666665</v>
      </c>
      <c r="T46" s="40">
        <v>0.34722222222222221</v>
      </c>
      <c r="U46" s="203">
        <f t="shared" ref="U46:U48" si="34">(S46-T45)*24*60</f>
        <v>5.9999999999999787</v>
      </c>
      <c r="V46" s="211">
        <f t="shared" si="33"/>
        <v>89</v>
      </c>
      <c r="W46" s="23"/>
      <c r="X46" s="23"/>
      <c r="Y46" s="26"/>
      <c r="Z46" s="26"/>
      <c r="AA46" s="627"/>
      <c r="AB46" s="628"/>
      <c r="AC46" s="25"/>
      <c r="AD46" s="25"/>
      <c r="AE46" s="19">
        <f t="shared" si="8"/>
        <v>-124.04494382022494</v>
      </c>
      <c r="AF46" s="208">
        <f t="shared" si="9"/>
        <v>0.9586516853932584</v>
      </c>
      <c r="AG46" s="644"/>
    </row>
    <row r="47" spans="1:33" ht="15.75" customHeight="1">
      <c r="A47" s="649" t="s">
        <v>917</v>
      </c>
      <c r="B47" s="42" t="s">
        <v>127</v>
      </c>
      <c r="C47" s="625" t="s">
        <v>130</v>
      </c>
      <c r="D47" s="626"/>
      <c r="E47" s="42">
        <v>35.869999999999997</v>
      </c>
      <c r="F47" s="212">
        <v>1350</v>
      </c>
      <c r="G47" s="203">
        <f t="shared" si="31"/>
        <v>48424.5</v>
      </c>
      <c r="H47" s="37" t="s">
        <v>91</v>
      </c>
      <c r="I47" s="210">
        <v>9</v>
      </c>
      <c r="J47" s="39">
        <v>3000</v>
      </c>
      <c r="K47" s="17">
        <f t="shared" si="1"/>
        <v>333.33333333333331</v>
      </c>
      <c r="L47" s="210">
        <v>9</v>
      </c>
      <c r="M47" s="18">
        <f t="shared" si="32"/>
        <v>2892.8571428571449</v>
      </c>
      <c r="N47" s="18">
        <f t="shared" si="3"/>
        <v>321.42857142857167</v>
      </c>
      <c r="O47" s="19">
        <f t="shared" si="4"/>
        <v>0</v>
      </c>
      <c r="P47" s="20">
        <f t="shared" si="5"/>
        <v>-11.904761904761642</v>
      </c>
      <c r="Q47" s="208">
        <f t="shared" si="6"/>
        <v>0.96428571428571508</v>
      </c>
      <c r="R47" s="644"/>
      <c r="S47" s="40">
        <v>0.3520833333333333</v>
      </c>
      <c r="T47" s="40">
        <v>0.37152777777777773</v>
      </c>
      <c r="U47" s="203">
        <f t="shared" si="34"/>
        <v>6.9999999999999751</v>
      </c>
      <c r="V47" s="211">
        <f t="shared" si="33"/>
        <v>27.999999999999979</v>
      </c>
      <c r="W47" s="23"/>
      <c r="X47" s="23"/>
      <c r="Y47" s="26"/>
      <c r="Z47" s="26"/>
      <c r="AA47" s="627"/>
      <c r="AB47" s="628"/>
      <c r="AC47" s="25"/>
      <c r="AD47" s="25"/>
      <c r="AE47" s="19">
        <f t="shared" si="8"/>
        <v>-107.14285714285506</v>
      </c>
      <c r="AF47" s="208">
        <f t="shared" si="9"/>
        <v>0.96428571428571497</v>
      </c>
      <c r="AG47" s="644"/>
    </row>
    <row r="48" spans="1:33" ht="15.75" customHeight="1">
      <c r="A48" s="649" t="s">
        <v>918</v>
      </c>
      <c r="B48" s="42" t="s">
        <v>127</v>
      </c>
      <c r="C48" s="625" t="s">
        <v>131</v>
      </c>
      <c r="D48" s="626"/>
      <c r="E48" s="42">
        <v>34.35</v>
      </c>
      <c r="F48" s="212">
        <v>482</v>
      </c>
      <c r="G48" s="203">
        <f t="shared" si="31"/>
        <v>16556.7</v>
      </c>
      <c r="H48" s="37" t="s">
        <v>91</v>
      </c>
      <c r="I48" s="210">
        <v>8</v>
      </c>
      <c r="J48" s="39">
        <v>3000</v>
      </c>
      <c r="K48" s="17">
        <f t="shared" si="1"/>
        <v>375</v>
      </c>
      <c r="L48" s="210">
        <v>8</v>
      </c>
      <c r="M48" s="18">
        <f t="shared" si="32"/>
        <v>2892.0000000000105</v>
      </c>
      <c r="N48" s="18">
        <f t="shared" si="3"/>
        <v>361.50000000000131</v>
      </c>
      <c r="O48" s="19">
        <f t="shared" si="4"/>
        <v>0</v>
      </c>
      <c r="P48" s="20">
        <f t="shared" si="5"/>
        <v>-13.499999999998693</v>
      </c>
      <c r="Q48" s="208">
        <f t="shared" si="6"/>
        <v>0.96400000000000352</v>
      </c>
      <c r="R48" s="644"/>
      <c r="S48" s="40">
        <v>0.37499999999999994</v>
      </c>
      <c r="T48" s="40">
        <v>0.38194444444444436</v>
      </c>
      <c r="U48" s="203">
        <f t="shared" si="34"/>
        <v>4.9999999999999822</v>
      </c>
      <c r="V48" s="211">
        <f t="shared" si="33"/>
        <v>9.9999999999999645</v>
      </c>
      <c r="W48" s="23"/>
      <c r="X48" s="23"/>
      <c r="Y48" s="26"/>
      <c r="Z48" s="26"/>
      <c r="AA48" s="627"/>
      <c r="AB48" s="628"/>
      <c r="AC48" s="25"/>
      <c r="AD48" s="25"/>
      <c r="AE48" s="19">
        <f t="shared" si="8"/>
        <v>-107.99999999998954</v>
      </c>
      <c r="AF48" s="208">
        <f t="shared" si="9"/>
        <v>0.96400000000000352</v>
      </c>
      <c r="AG48" s="644"/>
    </row>
    <row r="49" spans="1:33" ht="15.75" customHeight="1">
      <c r="A49" s="650" t="s">
        <v>72</v>
      </c>
      <c r="B49" s="42" t="s">
        <v>919</v>
      </c>
      <c r="C49" s="629"/>
      <c r="D49" s="630"/>
      <c r="E49" s="201"/>
      <c r="F49" s="212"/>
      <c r="G49" s="203"/>
      <c r="H49" s="212"/>
      <c r="I49" s="29">
        <v>9.25</v>
      </c>
      <c r="J49" s="39">
        <v>3000</v>
      </c>
      <c r="K49" s="17">
        <f t="shared" si="1"/>
        <v>324.32432432432432</v>
      </c>
      <c r="L49" s="29">
        <v>9.25</v>
      </c>
      <c r="M49" s="18">
        <f>AVERAGE(M45:M48)</f>
        <v>2880.7744783306616</v>
      </c>
      <c r="N49" s="17">
        <f t="shared" si="3"/>
        <v>311.43507873844993</v>
      </c>
      <c r="O49" s="19">
        <f t="shared" si="4"/>
        <v>0</v>
      </c>
      <c r="P49" s="20">
        <f t="shared" si="5"/>
        <v>-12.889245585874392</v>
      </c>
      <c r="Q49" s="208">
        <f t="shared" si="6"/>
        <v>0.96025815944355397</v>
      </c>
      <c r="R49" s="645"/>
      <c r="S49" s="40"/>
      <c r="T49" s="40"/>
      <c r="U49" s="203"/>
      <c r="V49" s="211"/>
      <c r="W49" s="23"/>
      <c r="X49" s="23"/>
      <c r="Y49" s="30">
        <f>SUM(Y45:Y48)</f>
        <v>0</v>
      </c>
      <c r="Z49" s="30">
        <f>SUM(Z45:Z48)</f>
        <v>0</v>
      </c>
      <c r="AA49" s="646"/>
      <c r="AB49" s="647"/>
      <c r="AC49" s="30">
        <v>4</v>
      </c>
      <c r="AD49" s="30">
        <f>SUM(AD45:AD48)</f>
        <v>0</v>
      </c>
      <c r="AE49" s="19">
        <f t="shared" si="8"/>
        <v>-119.22552166933838</v>
      </c>
      <c r="AF49" s="208">
        <f t="shared" si="9"/>
        <v>0.96025815944355386</v>
      </c>
      <c r="AG49" s="645"/>
    </row>
    <row r="50" spans="1:33" ht="15.75" customHeight="1">
      <c r="A50" s="641" t="s">
        <v>920</v>
      </c>
      <c r="B50" s="42" t="s">
        <v>92</v>
      </c>
      <c r="C50" s="633" t="s">
        <v>133</v>
      </c>
      <c r="D50" s="633"/>
      <c r="E50" s="42">
        <v>59.04</v>
      </c>
      <c r="F50" s="48">
        <v>1057</v>
      </c>
      <c r="G50" s="203">
        <f t="shared" ref="G50:G57" si="35">E50*F50</f>
        <v>62405.279999999999</v>
      </c>
      <c r="H50" s="37" t="s">
        <v>91</v>
      </c>
      <c r="I50" s="210">
        <v>19</v>
      </c>
      <c r="J50" s="39">
        <v>2000</v>
      </c>
      <c r="K50" s="17">
        <f t="shared" si="1"/>
        <v>105.26315789473684</v>
      </c>
      <c r="L50" s="210">
        <v>19</v>
      </c>
      <c r="M50" s="18">
        <f t="shared" ref="M50" si="36">F50/V50*60</f>
        <v>1921.818181818182</v>
      </c>
      <c r="N50" s="18">
        <f t="shared" si="3"/>
        <v>101.14832535885168</v>
      </c>
      <c r="O50" s="19">
        <f t="shared" si="4"/>
        <v>0</v>
      </c>
      <c r="P50" s="20">
        <f t="shared" si="5"/>
        <v>-4.1148325358851565</v>
      </c>
      <c r="Q50" s="208">
        <f t="shared" si="6"/>
        <v>0.96090909090909105</v>
      </c>
      <c r="R50" s="637">
        <f>Q58</f>
        <v>0.95749552933355919</v>
      </c>
      <c r="S50" s="40">
        <v>0.20833333333333334</v>
      </c>
      <c r="T50" s="40">
        <v>0.23125000000000001</v>
      </c>
      <c r="U50" s="28"/>
      <c r="V50" s="211">
        <f t="shared" ref="V50:V57" si="37">(T50-S50)*24*60</f>
        <v>33</v>
      </c>
      <c r="W50" s="23"/>
      <c r="X50" s="23"/>
      <c r="Y50" s="28"/>
      <c r="Z50" s="28"/>
      <c r="AA50" s="632"/>
      <c r="AB50" s="632"/>
      <c r="AC50" s="25">
        <v>8</v>
      </c>
      <c r="AD50" s="25"/>
      <c r="AE50" s="19">
        <f t="shared" si="8"/>
        <v>-78.181818181818016</v>
      </c>
      <c r="AF50" s="208">
        <f t="shared" si="9"/>
        <v>0.96090909090909105</v>
      </c>
      <c r="AG50" s="637">
        <f>AF58</f>
        <v>0.9574955293335593</v>
      </c>
    </row>
    <row r="51" spans="1:33" ht="15.75" customHeight="1">
      <c r="A51" s="641" t="s">
        <v>920</v>
      </c>
      <c r="B51" s="42" t="s">
        <v>103</v>
      </c>
      <c r="C51" s="633" t="s">
        <v>132</v>
      </c>
      <c r="D51" s="633"/>
      <c r="E51" s="42">
        <v>51.44</v>
      </c>
      <c r="F51" s="48">
        <v>3855</v>
      </c>
      <c r="G51" s="203">
        <f t="shared" si="35"/>
        <v>198301.19999999998</v>
      </c>
      <c r="H51" s="37" t="s">
        <v>91</v>
      </c>
      <c r="I51" s="210">
        <v>18</v>
      </c>
      <c r="J51" s="39">
        <v>2000</v>
      </c>
      <c r="K51" s="17">
        <f t="shared" si="1"/>
        <v>111.11111111111111</v>
      </c>
      <c r="L51" s="210">
        <v>18</v>
      </c>
      <c r="M51" s="18">
        <f>F51/V51*60</f>
        <v>1911.5702479338847</v>
      </c>
      <c r="N51" s="18">
        <f t="shared" si="3"/>
        <v>106.19834710743804</v>
      </c>
      <c r="O51" s="19">
        <f t="shared" si="4"/>
        <v>0</v>
      </c>
      <c r="P51" s="20">
        <f t="shared" si="5"/>
        <v>-4.9127640036730753</v>
      </c>
      <c r="Q51" s="208">
        <f t="shared" si="6"/>
        <v>0.95578512396694237</v>
      </c>
      <c r="R51" s="637"/>
      <c r="S51" s="40">
        <v>0.23472222222222222</v>
      </c>
      <c r="T51" s="40">
        <v>0.31874999999999998</v>
      </c>
      <c r="U51" s="203">
        <f t="shared" ref="U51:U57" si="38">IF(S51=TIME(17,0,0),"",(S51-T50)*24*60)</f>
        <v>4.9999999999999822</v>
      </c>
      <c r="V51" s="211">
        <f t="shared" si="37"/>
        <v>120.99999999999997</v>
      </c>
      <c r="W51" s="23"/>
      <c r="X51" s="23"/>
      <c r="Y51" s="23"/>
      <c r="Z51" s="23"/>
      <c r="AA51" s="632"/>
      <c r="AB51" s="632"/>
      <c r="AC51" s="25"/>
      <c r="AD51" s="25"/>
      <c r="AE51" s="19">
        <f t="shared" si="8"/>
        <v>-88.42975206611527</v>
      </c>
      <c r="AF51" s="208">
        <f t="shared" si="9"/>
        <v>0.95578512396694237</v>
      </c>
      <c r="AG51" s="637"/>
    </row>
    <row r="52" spans="1:33" ht="15.75" customHeight="1">
      <c r="A52" s="641" t="s">
        <v>921</v>
      </c>
      <c r="B52" s="42" t="s">
        <v>92</v>
      </c>
      <c r="C52" s="625" t="s">
        <v>135</v>
      </c>
      <c r="D52" s="626"/>
      <c r="E52" s="42">
        <v>51.44</v>
      </c>
      <c r="F52" s="48">
        <v>1397</v>
      </c>
      <c r="G52" s="203">
        <f t="shared" si="35"/>
        <v>71861.679999999993</v>
      </c>
      <c r="H52" s="37" t="s">
        <v>91</v>
      </c>
      <c r="I52" s="210">
        <v>25</v>
      </c>
      <c r="J52" s="39">
        <v>2000</v>
      </c>
      <c r="K52" s="17">
        <f t="shared" si="1"/>
        <v>80</v>
      </c>
      <c r="L52" s="210">
        <v>25</v>
      </c>
      <c r="M52" s="18">
        <f t="shared" ref="M52:M57" si="39">F52/V52*60</f>
        <v>1905</v>
      </c>
      <c r="N52" s="18">
        <f t="shared" si="3"/>
        <v>76.2</v>
      </c>
      <c r="O52" s="19">
        <f t="shared" si="4"/>
        <v>0</v>
      </c>
      <c r="P52" s="20">
        <f t="shared" si="5"/>
        <v>-3.7999999999999972</v>
      </c>
      <c r="Q52" s="208">
        <f t="shared" si="6"/>
        <v>0.95250000000000001</v>
      </c>
      <c r="R52" s="637"/>
      <c r="S52" s="40">
        <v>0.32361111111111107</v>
      </c>
      <c r="T52" s="40">
        <v>0.35416666666666663</v>
      </c>
      <c r="U52" s="203">
        <f t="shared" si="38"/>
        <v>6.9999999999999751</v>
      </c>
      <c r="V52" s="211">
        <f t="shared" si="37"/>
        <v>44</v>
      </c>
      <c r="W52" s="23"/>
      <c r="X52" s="23"/>
      <c r="Y52" s="26"/>
      <c r="Z52" s="26"/>
      <c r="AA52" s="632"/>
      <c r="AB52" s="632"/>
      <c r="AC52" s="25"/>
      <c r="AD52" s="25"/>
      <c r="AE52" s="19">
        <f t="shared" si="8"/>
        <v>-95</v>
      </c>
      <c r="AF52" s="208">
        <f t="shared" si="9"/>
        <v>0.95250000000000001</v>
      </c>
      <c r="AG52" s="637"/>
    </row>
    <row r="53" spans="1:33" ht="15.75" customHeight="1">
      <c r="A53" s="641" t="s">
        <v>920</v>
      </c>
      <c r="B53" s="42" t="s">
        <v>96</v>
      </c>
      <c r="C53" s="204" t="s">
        <v>136</v>
      </c>
      <c r="D53" s="205"/>
      <c r="E53" s="42">
        <v>46</v>
      </c>
      <c r="F53" s="48">
        <v>1176</v>
      </c>
      <c r="G53" s="203">
        <f t="shared" si="35"/>
        <v>54096</v>
      </c>
      <c r="H53" s="37" t="s">
        <v>91</v>
      </c>
      <c r="I53" s="210">
        <v>16</v>
      </c>
      <c r="J53" s="39">
        <v>2000</v>
      </c>
      <c r="K53" s="17">
        <f t="shared" si="1"/>
        <v>125</v>
      </c>
      <c r="L53" s="210">
        <v>16</v>
      </c>
      <c r="M53" s="18">
        <f t="shared" si="39"/>
        <v>1907.0270270270257</v>
      </c>
      <c r="N53" s="18">
        <f t="shared" si="3"/>
        <v>119.18918918918911</v>
      </c>
      <c r="O53" s="19">
        <f t="shared" si="4"/>
        <v>0</v>
      </c>
      <c r="P53" s="20">
        <f t="shared" si="5"/>
        <v>-5.8108108108108922</v>
      </c>
      <c r="Q53" s="208">
        <f t="shared" si="6"/>
        <v>0.95351351351351288</v>
      </c>
      <c r="R53" s="637"/>
      <c r="S53" s="40">
        <v>0.35972222222222217</v>
      </c>
      <c r="T53" s="40">
        <v>0.38541666666666663</v>
      </c>
      <c r="U53" s="203">
        <f t="shared" si="38"/>
        <v>7.9999999999999716</v>
      </c>
      <c r="V53" s="211">
        <f t="shared" si="37"/>
        <v>37.000000000000028</v>
      </c>
      <c r="W53" s="23"/>
      <c r="X53" s="23"/>
      <c r="Y53" s="26"/>
      <c r="Z53" s="26"/>
      <c r="AA53" s="632"/>
      <c r="AB53" s="632"/>
      <c r="AC53" s="25"/>
      <c r="AD53" s="25"/>
      <c r="AE53" s="19">
        <f t="shared" si="8"/>
        <v>-92.972972972974276</v>
      </c>
      <c r="AF53" s="208">
        <f t="shared" si="9"/>
        <v>0.95351351351351288</v>
      </c>
      <c r="AG53" s="637"/>
    </row>
    <row r="54" spans="1:33" ht="15.75" customHeight="1">
      <c r="A54" s="641" t="s">
        <v>921</v>
      </c>
      <c r="B54" s="42" t="s">
        <v>96</v>
      </c>
      <c r="C54" s="204" t="s">
        <v>137</v>
      </c>
      <c r="D54" s="205"/>
      <c r="E54" s="42">
        <v>46</v>
      </c>
      <c r="F54" s="48">
        <v>1409</v>
      </c>
      <c r="G54" s="203">
        <f t="shared" si="35"/>
        <v>64814</v>
      </c>
      <c r="H54" s="37" t="s">
        <v>91</v>
      </c>
      <c r="I54" s="210">
        <v>17</v>
      </c>
      <c r="J54" s="39">
        <v>2000</v>
      </c>
      <c r="K54" s="17">
        <f t="shared" si="1"/>
        <v>117.64705882352941</v>
      </c>
      <c r="L54" s="210">
        <v>17</v>
      </c>
      <c r="M54" s="18">
        <f t="shared" si="39"/>
        <v>1921.3636363636365</v>
      </c>
      <c r="N54" s="18">
        <f t="shared" si="3"/>
        <v>113.02139037433156</v>
      </c>
      <c r="O54" s="19">
        <f t="shared" si="4"/>
        <v>0</v>
      </c>
      <c r="P54" s="20">
        <f t="shared" si="5"/>
        <v>-4.6256684491978461</v>
      </c>
      <c r="Q54" s="208">
        <f t="shared" si="6"/>
        <v>0.9606818181818183</v>
      </c>
      <c r="R54" s="637"/>
      <c r="S54" s="40">
        <v>0.39027777777777772</v>
      </c>
      <c r="T54" s="40">
        <v>0.42083333333333328</v>
      </c>
      <c r="U54" s="203">
        <f t="shared" si="38"/>
        <v>6.9999999999999751</v>
      </c>
      <c r="V54" s="211">
        <f t="shared" si="37"/>
        <v>44</v>
      </c>
      <c r="W54" s="23"/>
      <c r="X54" s="23"/>
      <c r="Y54" s="26"/>
      <c r="Z54" s="26"/>
      <c r="AA54" s="632"/>
      <c r="AB54" s="632"/>
      <c r="AC54" s="25"/>
      <c r="AD54" s="25"/>
      <c r="AE54" s="19">
        <f t="shared" si="8"/>
        <v>-78.636363636363512</v>
      </c>
      <c r="AF54" s="208">
        <f t="shared" si="9"/>
        <v>0.96068181818181819</v>
      </c>
      <c r="AG54" s="637"/>
    </row>
    <row r="55" spans="1:33" ht="15.75" customHeight="1">
      <c r="A55" s="641" t="s">
        <v>920</v>
      </c>
      <c r="B55" s="42" t="s">
        <v>92</v>
      </c>
      <c r="C55" s="625" t="s">
        <v>138</v>
      </c>
      <c r="D55" s="626"/>
      <c r="E55" s="42">
        <v>55.56</v>
      </c>
      <c r="F55" s="48">
        <v>2613</v>
      </c>
      <c r="G55" s="203">
        <f t="shared" si="35"/>
        <v>145178.28</v>
      </c>
      <c r="H55" s="37" t="s">
        <v>91</v>
      </c>
      <c r="I55" s="210">
        <v>17</v>
      </c>
      <c r="J55" s="39">
        <v>2000</v>
      </c>
      <c r="K55" s="17">
        <f t="shared" si="1"/>
        <v>117.64705882352941</v>
      </c>
      <c r="L55" s="210">
        <v>17</v>
      </c>
      <c r="M55" s="18">
        <f t="shared" si="39"/>
        <v>1911.9512195121945</v>
      </c>
      <c r="N55" s="18">
        <f t="shared" si="3"/>
        <v>112.46771879483497</v>
      </c>
      <c r="O55" s="19">
        <f t="shared" si="4"/>
        <v>0</v>
      </c>
      <c r="P55" s="20">
        <f t="shared" si="5"/>
        <v>-5.1793400286944404</v>
      </c>
      <c r="Q55" s="208">
        <f t="shared" si="6"/>
        <v>0.9559756097560973</v>
      </c>
      <c r="R55" s="637"/>
      <c r="S55" s="40">
        <v>0.70833333333333337</v>
      </c>
      <c r="T55" s="40">
        <v>0.76527777777777783</v>
      </c>
      <c r="U55" s="203" t="str">
        <f t="shared" si="38"/>
        <v/>
      </c>
      <c r="V55" s="211">
        <f t="shared" si="37"/>
        <v>82.000000000000028</v>
      </c>
      <c r="W55" s="23"/>
      <c r="X55" s="23"/>
      <c r="Y55" s="26"/>
      <c r="Z55" s="26"/>
      <c r="AA55" s="627"/>
      <c r="AB55" s="628"/>
      <c r="AC55" s="25"/>
      <c r="AD55" s="25"/>
      <c r="AE55" s="19">
        <f t="shared" si="8"/>
        <v>-88.048780487805516</v>
      </c>
      <c r="AF55" s="208">
        <f t="shared" si="9"/>
        <v>0.95597560975609719</v>
      </c>
      <c r="AG55" s="637"/>
    </row>
    <row r="56" spans="1:33" ht="15.75" customHeight="1">
      <c r="A56" s="641" t="s">
        <v>75</v>
      </c>
      <c r="B56" s="42" t="s">
        <v>92</v>
      </c>
      <c r="C56" s="625" t="s">
        <v>420</v>
      </c>
      <c r="D56" s="626"/>
      <c r="E56" s="42">
        <v>58.17</v>
      </c>
      <c r="F56" s="48">
        <v>2668</v>
      </c>
      <c r="G56" s="203">
        <f t="shared" si="35"/>
        <v>155197.56</v>
      </c>
      <c r="H56" s="37" t="s">
        <v>91</v>
      </c>
      <c r="I56" s="210">
        <v>13</v>
      </c>
      <c r="J56" s="39">
        <v>2000</v>
      </c>
      <c r="K56" s="17">
        <f t="shared" si="1"/>
        <v>153.84615384615384</v>
      </c>
      <c r="L56" s="210">
        <v>13</v>
      </c>
      <c r="M56" s="18">
        <f t="shared" si="39"/>
        <v>1905.7142857142851</v>
      </c>
      <c r="N56" s="18">
        <f t="shared" si="3"/>
        <v>146.59340659340654</v>
      </c>
      <c r="O56" s="19">
        <f t="shared" si="4"/>
        <v>0</v>
      </c>
      <c r="P56" s="20">
        <f t="shared" si="5"/>
        <v>-7.252747252747298</v>
      </c>
      <c r="Q56" s="208">
        <f t="shared" si="6"/>
        <v>0.95285714285714251</v>
      </c>
      <c r="R56" s="637"/>
      <c r="S56" s="40">
        <v>0.77013888888888893</v>
      </c>
      <c r="T56" s="40">
        <v>0.82847222222222228</v>
      </c>
      <c r="U56" s="203">
        <f t="shared" si="38"/>
        <v>6.9999999999999751</v>
      </c>
      <c r="V56" s="211">
        <f t="shared" si="37"/>
        <v>84.000000000000028</v>
      </c>
      <c r="W56" s="23"/>
      <c r="X56" s="23"/>
      <c r="Y56" s="26"/>
      <c r="Z56" s="26"/>
      <c r="AA56" s="627"/>
      <c r="AB56" s="628"/>
      <c r="AC56" s="25"/>
      <c r="AD56" s="25"/>
      <c r="AE56" s="19">
        <f t="shared" si="8"/>
        <v>-94.285714285714903</v>
      </c>
      <c r="AF56" s="208">
        <f t="shared" si="9"/>
        <v>0.95285714285714251</v>
      </c>
      <c r="AG56" s="637"/>
    </row>
    <row r="57" spans="1:33" ht="15.75" customHeight="1">
      <c r="A57" s="641" t="s">
        <v>920</v>
      </c>
      <c r="B57" s="42" t="s">
        <v>92</v>
      </c>
      <c r="C57" s="625" t="s">
        <v>114</v>
      </c>
      <c r="D57" s="626"/>
      <c r="E57" s="42">
        <v>54.09</v>
      </c>
      <c r="F57" s="48">
        <v>1000</v>
      </c>
      <c r="G57" s="203">
        <f t="shared" si="35"/>
        <v>54090</v>
      </c>
      <c r="H57" s="37">
        <v>2</v>
      </c>
      <c r="I57" s="210">
        <v>18</v>
      </c>
      <c r="J57" s="39">
        <v>2000</v>
      </c>
      <c r="K57" s="17">
        <f t="shared" si="1"/>
        <v>111.11111111111111</v>
      </c>
      <c r="L57" s="210">
        <v>18</v>
      </c>
      <c r="M57" s="18">
        <f t="shared" si="39"/>
        <v>1935.483870967739</v>
      </c>
      <c r="N57" s="18">
        <f t="shared" si="3"/>
        <v>107.52688172042994</v>
      </c>
      <c r="O57" s="19">
        <f t="shared" si="4"/>
        <v>0</v>
      </c>
      <c r="P57" s="20">
        <f t="shared" si="5"/>
        <v>-3.5842293906811733</v>
      </c>
      <c r="Q57" s="208">
        <f t="shared" si="6"/>
        <v>0.96774193548386944</v>
      </c>
      <c r="R57" s="637"/>
      <c r="S57" s="40">
        <v>0.83263888888888893</v>
      </c>
      <c r="T57" s="40">
        <v>0.85416666666666674</v>
      </c>
      <c r="U57" s="203">
        <f t="shared" si="38"/>
        <v>5.9999999999999787</v>
      </c>
      <c r="V57" s="211">
        <f t="shared" si="37"/>
        <v>31.00000000000005</v>
      </c>
      <c r="W57" s="23"/>
      <c r="X57" s="23"/>
      <c r="Y57" s="26"/>
      <c r="Z57" s="26"/>
      <c r="AA57" s="627"/>
      <c r="AB57" s="628"/>
      <c r="AC57" s="25"/>
      <c r="AD57" s="25"/>
      <c r="AE57" s="19">
        <f t="shared" si="8"/>
        <v>-64.516129032261006</v>
      </c>
      <c r="AF57" s="208">
        <f t="shared" si="9"/>
        <v>0.96774193548386944</v>
      </c>
      <c r="AG57" s="637"/>
    </row>
    <row r="58" spans="1:33">
      <c r="A58" s="642" t="s">
        <v>921</v>
      </c>
      <c r="B58" s="42" t="s">
        <v>52</v>
      </c>
      <c r="C58" s="638"/>
      <c r="D58" s="638"/>
      <c r="E58" s="209"/>
      <c r="F58" s="44"/>
      <c r="G58" s="17"/>
      <c r="H58" s="212"/>
      <c r="I58" s="29">
        <v>17.875</v>
      </c>
      <c r="J58" s="39">
        <v>2000</v>
      </c>
      <c r="K58" s="17">
        <f t="shared" si="1"/>
        <v>111.88811188811189</v>
      </c>
      <c r="L58" s="29">
        <v>17.875</v>
      </c>
      <c r="M58" s="18">
        <f>AVERAGE(M50:M57)</f>
        <v>1914.9910586671185</v>
      </c>
      <c r="N58" s="17">
        <f t="shared" si="3"/>
        <v>107.1323669184402</v>
      </c>
      <c r="O58" s="19">
        <f t="shared" si="4"/>
        <v>0</v>
      </c>
      <c r="P58" s="20">
        <f t="shared" si="5"/>
        <v>-4.7557449696716958</v>
      </c>
      <c r="Q58" s="208">
        <f t="shared" si="6"/>
        <v>0.95749552933355919</v>
      </c>
      <c r="R58" s="637"/>
      <c r="S58" s="40"/>
      <c r="T58" s="40"/>
      <c r="U58" s="203"/>
      <c r="V58" s="211"/>
      <c r="W58" s="17"/>
      <c r="X58" s="17"/>
      <c r="Y58" s="30">
        <f>SUM(Y50:Y57)</f>
        <v>0</v>
      </c>
      <c r="Z58" s="30">
        <f>SUM(Z50:Z57)</f>
        <v>0</v>
      </c>
      <c r="AA58" s="631"/>
      <c r="AB58" s="631"/>
      <c r="AC58" s="30">
        <v>8</v>
      </c>
      <c r="AD58" s="30">
        <f>SUM(AD50:AD57)</f>
        <v>0</v>
      </c>
      <c r="AE58" s="19">
        <f>M58-J58</f>
        <v>-85.008941332881477</v>
      </c>
      <c r="AF58" s="208">
        <f t="shared" si="9"/>
        <v>0.9574955293335593</v>
      </c>
      <c r="AG58" s="637"/>
    </row>
    <row r="59" spans="1:33" ht="15.75" customHeight="1">
      <c r="A59" s="639" t="s">
        <v>922</v>
      </c>
      <c r="B59" s="212" t="s">
        <v>127</v>
      </c>
      <c r="C59" s="633" t="s">
        <v>141</v>
      </c>
      <c r="D59" s="633"/>
      <c r="E59" s="42">
        <v>35.119999999999997</v>
      </c>
      <c r="F59" s="48">
        <v>3801</v>
      </c>
      <c r="G59" s="203">
        <f t="shared" ref="G59:G62" si="40">E59*F59</f>
        <v>133491.12</v>
      </c>
      <c r="H59" s="37" t="s">
        <v>91</v>
      </c>
      <c r="I59" s="210">
        <v>10</v>
      </c>
      <c r="J59" s="39">
        <v>3000</v>
      </c>
      <c r="K59" s="17">
        <f t="shared" si="1"/>
        <v>300</v>
      </c>
      <c r="L59" s="210">
        <v>10</v>
      </c>
      <c r="M59" s="18">
        <f t="shared" ref="M59:M62" si="41">F59/V59*60</f>
        <v>2886.8354430379745</v>
      </c>
      <c r="N59" s="17">
        <f t="shared" si="3"/>
        <v>288.68354430379748</v>
      </c>
      <c r="O59" s="19">
        <f t="shared" si="4"/>
        <v>0</v>
      </c>
      <c r="P59" s="20">
        <f t="shared" si="5"/>
        <v>-11.316455696202524</v>
      </c>
      <c r="Q59" s="208">
        <f t="shared" si="6"/>
        <v>0.96227848101265823</v>
      </c>
      <c r="R59" s="637">
        <f>Q63</f>
        <v>0.96278092246446689</v>
      </c>
      <c r="S59" s="40">
        <v>0.20833333333333334</v>
      </c>
      <c r="T59" s="40">
        <v>0.26319444444444445</v>
      </c>
      <c r="U59" s="203"/>
      <c r="V59" s="211">
        <f t="shared" ref="V59:V62" si="42">(T59-S59)*24*60</f>
        <v>79</v>
      </c>
      <c r="W59" s="23"/>
      <c r="X59" s="23"/>
      <c r="Y59" s="28"/>
      <c r="Z59" s="28"/>
      <c r="AA59" s="632"/>
      <c r="AB59" s="632"/>
      <c r="AC59" s="25">
        <v>4</v>
      </c>
      <c r="AD59" s="25"/>
      <c r="AE59" s="19">
        <f t="shared" ref="AE59:AE71" si="43">M59-J59</f>
        <v>-113.16455696202547</v>
      </c>
      <c r="AF59" s="208">
        <f t="shared" si="9"/>
        <v>0.96227848101265823</v>
      </c>
      <c r="AG59" s="637">
        <f>AF63</f>
        <v>0.96278092246446689</v>
      </c>
    </row>
    <row r="60" spans="1:33" ht="15.75" customHeight="1">
      <c r="A60" s="639" t="s">
        <v>923</v>
      </c>
      <c r="B60" s="212" t="s">
        <v>127</v>
      </c>
      <c r="C60" s="633" t="s">
        <v>142</v>
      </c>
      <c r="D60" s="633"/>
      <c r="E60" s="42">
        <v>26.78</v>
      </c>
      <c r="F60" s="48">
        <v>2108</v>
      </c>
      <c r="G60" s="203">
        <f t="shared" si="40"/>
        <v>56452.240000000005</v>
      </c>
      <c r="H60" s="37" t="s">
        <v>91</v>
      </c>
      <c r="I60" s="210">
        <v>10</v>
      </c>
      <c r="J60" s="39">
        <v>3000</v>
      </c>
      <c r="K60" s="17">
        <f t="shared" si="1"/>
        <v>300</v>
      </c>
      <c r="L60" s="210">
        <v>10</v>
      </c>
      <c r="M60" s="18">
        <f t="shared" si="41"/>
        <v>2874.5454545454545</v>
      </c>
      <c r="N60" s="17">
        <f t="shared" si="3"/>
        <v>287.45454545454544</v>
      </c>
      <c r="O60" s="19">
        <f t="shared" si="4"/>
        <v>0</v>
      </c>
      <c r="P60" s="20">
        <f t="shared" si="5"/>
        <v>-12.545454545454561</v>
      </c>
      <c r="Q60" s="208">
        <f t="shared" si="6"/>
        <v>0.95818181818181813</v>
      </c>
      <c r="R60" s="637"/>
      <c r="S60" s="40">
        <v>0.26666666666666666</v>
      </c>
      <c r="T60" s="40">
        <v>0.29722222222222222</v>
      </c>
      <c r="U60" s="203">
        <f t="shared" ref="U60:U62" si="44">(S60-T59)*24*60</f>
        <v>4.9999999999999822</v>
      </c>
      <c r="V60" s="211">
        <f t="shared" si="42"/>
        <v>44</v>
      </c>
      <c r="W60" s="203"/>
      <c r="X60" s="203"/>
      <c r="Y60" s="203"/>
      <c r="Z60" s="203"/>
      <c r="AA60" s="632"/>
      <c r="AB60" s="632"/>
      <c r="AC60" s="25"/>
      <c r="AD60" s="25"/>
      <c r="AE60" s="19">
        <f t="shared" si="43"/>
        <v>-125.4545454545455</v>
      </c>
      <c r="AF60" s="208">
        <f t="shared" si="9"/>
        <v>0.95818181818181813</v>
      </c>
      <c r="AG60" s="637"/>
    </row>
    <row r="61" spans="1:33" ht="15.75" customHeight="1">
      <c r="A61" s="639" t="s">
        <v>923</v>
      </c>
      <c r="B61" s="212" t="s">
        <v>127</v>
      </c>
      <c r="C61" s="633" t="s">
        <v>143</v>
      </c>
      <c r="D61" s="633"/>
      <c r="E61" s="42">
        <v>36.14</v>
      </c>
      <c r="F61" s="48">
        <v>1071</v>
      </c>
      <c r="G61" s="203">
        <f t="shared" si="40"/>
        <v>38705.94</v>
      </c>
      <c r="H61" s="37" t="s">
        <v>91</v>
      </c>
      <c r="I61" s="210">
        <v>11</v>
      </c>
      <c r="J61" s="39">
        <v>3000</v>
      </c>
      <c r="K61" s="17">
        <f t="shared" si="1"/>
        <v>272.72727272727275</v>
      </c>
      <c r="L61" s="210">
        <v>11</v>
      </c>
      <c r="M61" s="18">
        <f t="shared" si="41"/>
        <v>2920.909090909091</v>
      </c>
      <c r="N61" s="17">
        <f t="shared" si="3"/>
        <v>265.53719008264466</v>
      </c>
      <c r="O61" s="19">
        <f t="shared" si="4"/>
        <v>0</v>
      </c>
      <c r="P61" s="20">
        <f t="shared" si="5"/>
        <v>-7.1900826446280917</v>
      </c>
      <c r="Q61" s="208">
        <f t="shared" si="6"/>
        <v>0.97363636363636363</v>
      </c>
      <c r="R61" s="637"/>
      <c r="S61" s="40">
        <v>0.30069444444444443</v>
      </c>
      <c r="T61" s="40">
        <v>0.31597222222222221</v>
      </c>
      <c r="U61" s="203">
        <f t="shared" si="44"/>
        <v>4.9999999999999822</v>
      </c>
      <c r="V61" s="211">
        <f t="shared" si="42"/>
        <v>22</v>
      </c>
      <c r="W61" s="203"/>
      <c r="X61" s="203"/>
      <c r="Y61" s="203"/>
      <c r="Z61" s="203"/>
      <c r="AA61" s="632"/>
      <c r="AB61" s="632"/>
      <c r="AC61" s="25"/>
      <c r="AD61" s="25"/>
      <c r="AE61" s="19">
        <f t="shared" si="43"/>
        <v>-79.090909090909008</v>
      </c>
      <c r="AF61" s="208">
        <f t="shared" si="9"/>
        <v>0.97363636363636363</v>
      </c>
      <c r="AG61" s="637"/>
    </row>
    <row r="62" spans="1:33" ht="15.75" customHeight="1">
      <c r="A62" s="639" t="s">
        <v>922</v>
      </c>
      <c r="B62" s="212" t="s">
        <v>127</v>
      </c>
      <c r="C62" s="633" t="s">
        <v>144</v>
      </c>
      <c r="D62" s="633"/>
      <c r="E62" s="42">
        <v>35.869999999999997</v>
      </c>
      <c r="F62" s="48">
        <v>3541</v>
      </c>
      <c r="G62" s="203">
        <f t="shared" si="40"/>
        <v>127015.66999999998</v>
      </c>
      <c r="H62" s="37" t="s">
        <v>91</v>
      </c>
      <c r="I62" s="210">
        <v>10</v>
      </c>
      <c r="J62" s="39">
        <v>3000</v>
      </c>
      <c r="K62" s="17">
        <f t="shared" si="1"/>
        <v>300</v>
      </c>
      <c r="L62" s="210">
        <v>10</v>
      </c>
      <c r="M62" s="18">
        <f t="shared" si="41"/>
        <v>2871.0810810810822</v>
      </c>
      <c r="N62" s="17">
        <f t="shared" si="3"/>
        <v>287.10810810810824</v>
      </c>
      <c r="O62" s="19">
        <f t="shared" si="4"/>
        <v>0</v>
      </c>
      <c r="P62" s="20">
        <f t="shared" si="5"/>
        <v>-12.89189189189176</v>
      </c>
      <c r="Q62" s="208">
        <f t="shared" si="6"/>
        <v>0.95702702702702747</v>
      </c>
      <c r="R62" s="637"/>
      <c r="S62" s="40">
        <v>0.31944444444444442</v>
      </c>
      <c r="T62" s="40">
        <v>0.37083333333333329</v>
      </c>
      <c r="U62" s="203">
        <f t="shared" si="44"/>
        <v>4.9999999999999822</v>
      </c>
      <c r="V62" s="211">
        <f t="shared" si="42"/>
        <v>73.999999999999972</v>
      </c>
      <c r="W62" s="203"/>
      <c r="X62" s="203"/>
      <c r="Y62" s="203"/>
      <c r="Z62" s="203"/>
      <c r="AA62" s="632"/>
      <c r="AB62" s="632"/>
      <c r="AC62" s="25"/>
      <c r="AD62" s="25"/>
      <c r="AE62" s="19">
        <f t="shared" si="43"/>
        <v>-128.91891891891783</v>
      </c>
      <c r="AF62" s="208">
        <f t="shared" si="9"/>
        <v>0.95702702702702735</v>
      </c>
      <c r="AG62" s="637"/>
    </row>
    <row r="63" spans="1:33">
      <c r="A63" s="640" t="s">
        <v>924</v>
      </c>
      <c r="B63" s="42" t="s">
        <v>907</v>
      </c>
      <c r="C63" s="638"/>
      <c r="D63" s="638"/>
      <c r="E63" s="209"/>
      <c r="F63" s="44"/>
      <c r="G63" s="17"/>
      <c r="H63" s="212"/>
      <c r="I63" s="29">
        <v>10.25</v>
      </c>
      <c r="J63" s="39">
        <v>3000</v>
      </c>
      <c r="K63" s="17">
        <f t="shared" si="1"/>
        <v>292.6829268292683</v>
      </c>
      <c r="L63" s="29">
        <v>10.25</v>
      </c>
      <c r="M63" s="18">
        <f>AVERAGE(M59:M62)</f>
        <v>2888.3427673934007</v>
      </c>
      <c r="N63" s="17">
        <f t="shared" si="3"/>
        <v>281.78953828228299</v>
      </c>
      <c r="O63" s="19">
        <f t="shared" si="4"/>
        <v>0</v>
      </c>
      <c r="P63" s="20">
        <f t="shared" si="5"/>
        <v>-10.893388546985307</v>
      </c>
      <c r="Q63" s="208">
        <f t="shared" si="6"/>
        <v>0.96278092246446689</v>
      </c>
      <c r="R63" s="637"/>
      <c r="S63" s="40"/>
      <c r="T63" s="40"/>
      <c r="U63" s="17"/>
      <c r="V63" s="211"/>
      <c r="W63" s="17"/>
      <c r="X63" s="17"/>
      <c r="Y63" s="30">
        <f>SUM(Y59:Y62)</f>
        <v>0</v>
      </c>
      <c r="Z63" s="30">
        <f>SUM(Z59:Z62)</f>
        <v>0</v>
      </c>
      <c r="AA63" s="631"/>
      <c r="AB63" s="631"/>
      <c r="AC63" s="30">
        <v>4</v>
      </c>
      <c r="AD63" s="30">
        <f>SUM(AD59:AD62)</f>
        <v>0</v>
      </c>
      <c r="AE63" s="19">
        <f t="shared" si="43"/>
        <v>-111.65723260659934</v>
      </c>
      <c r="AF63" s="208">
        <f t="shared" si="9"/>
        <v>0.96278092246446689</v>
      </c>
      <c r="AG63" s="637"/>
    </row>
    <row r="64" spans="1:33" ht="15.75" customHeight="1">
      <c r="A64" s="634" t="s">
        <v>925</v>
      </c>
      <c r="B64" s="212" t="s">
        <v>116</v>
      </c>
      <c r="C64" s="633" t="s">
        <v>145</v>
      </c>
      <c r="D64" s="633"/>
      <c r="E64" s="42">
        <v>19.02</v>
      </c>
      <c r="F64" s="212">
        <v>4900</v>
      </c>
      <c r="G64" s="203">
        <f t="shared" ref="G64:G70" si="45">E64*F64</f>
        <v>93198</v>
      </c>
      <c r="H64" s="37">
        <v>2</v>
      </c>
      <c r="I64" s="210">
        <v>14</v>
      </c>
      <c r="J64" s="39">
        <v>2400</v>
      </c>
      <c r="K64" s="17">
        <f t="shared" si="1"/>
        <v>171.42857142857142</v>
      </c>
      <c r="L64" s="210">
        <v>14</v>
      </c>
      <c r="M64" s="18">
        <f t="shared" ref="M64:M70" si="46">F64/V64*60</f>
        <v>2296.875</v>
      </c>
      <c r="N64" s="17">
        <f t="shared" si="3"/>
        <v>164.0625</v>
      </c>
      <c r="O64" s="19">
        <f t="shared" si="4"/>
        <v>0</v>
      </c>
      <c r="P64" s="20">
        <f t="shared" si="5"/>
        <v>-7.3660714285714164</v>
      </c>
      <c r="Q64" s="208">
        <f t="shared" si="6"/>
        <v>0.95703125000000011</v>
      </c>
      <c r="R64" s="637">
        <f>Q71</f>
        <v>0.95608632593966492</v>
      </c>
      <c r="S64" s="40">
        <v>8.3333333333333329E-2</v>
      </c>
      <c r="T64" s="40">
        <v>0.17222222222222222</v>
      </c>
      <c r="U64" s="28"/>
      <c r="V64" s="211">
        <f t="shared" ref="V64:V70" si="47">(T64-S64)*24*60</f>
        <v>128</v>
      </c>
      <c r="W64" s="23">
        <f>T64</f>
        <v>0.17222222222222222</v>
      </c>
      <c r="X64" s="23">
        <f>S65</f>
        <v>0.19166666666666665</v>
      </c>
      <c r="Y64" s="23"/>
      <c r="Z64" s="23"/>
      <c r="AA64" s="632"/>
      <c r="AB64" s="632"/>
      <c r="AC64" s="25">
        <v>7</v>
      </c>
      <c r="AD64" s="25"/>
      <c r="AE64" s="19">
        <f t="shared" si="43"/>
        <v>-103.125</v>
      </c>
      <c r="AF64" s="208">
        <f t="shared" si="9"/>
        <v>0.95703125</v>
      </c>
      <c r="AG64" s="637">
        <f>AF71</f>
        <v>0.95608632593966492</v>
      </c>
    </row>
    <row r="65" spans="1:33" ht="15.75" customHeight="1">
      <c r="A65" s="635" t="s">
        <v>925</v>
      </c>
      <c r="B65" s="212" t="s">
        <v>116</v>
      </c>
      <c r="C65" s="633" t="s">
        <v>146</v>
      </c>
      <c r="D65" s="633"/>
      <c r="E65" s="42">
        <v>20.36</v>
      </c>
      <c r="F65" s="212">
        <v>3145</v>
      </c>
      <c r="G65" s="203">
        <f t="shared" si="45"/>
        <v>64032.2</v>
      </c>
      <c r="H65" s="37" t="s">
        <v>91</v>
      </c>
      <c r="I65" s="210">
        <v>17</v>
      </c>
      <c r="J65" s="39">
        <v>2400</v>
      </c>
      <c r="K65" s="17">
        <f t="shared" si="1"/>
        <v>141.1764705882353</v>
      </c>
      <c r="L65" s="210">
        <v>17</v>
      </c>
      <c r="M65" s="18">
        <f t="shared" si="46"/>
        <v>2301.2195121951222</v>
      </c>
      <c r="N65" s="17">
        <f t="shared" si="3"/>
        <v>135.36585365853659</v>
      </c>
      <c r="O65" s="19">
        <f t="shared" si="4"/>
        <v>0</v>
      </c>
      <c r="P65" s="20">
        <f t="shared" si="5"/>
        <v>-5.8106169296987105</v>
      </c>
      <c r="Q65" s="208">
        <f t="shared" si="6"/>
        <v>0.95884146341463417</v>
      </c>
      <c r="R65" s="637"/>
      <c r="S65" s="40">
        <v>0.19166666666666665</v>
      </c>
      <c r="T65" s="40">
        <v>0.24861111111111109</v>
      </c>
      <c r="U65" s="203">
        <f t="shared" ref="U65:U70" si="48">(S65-T64)*24*60</f>
        <v>27.999999999999979</v>
      </c>
      <c r="V65" s="211">
        <f t="shared" si="47"/>
        <v>81.999999999999986</v>
      </c>
      <c r="W65" s="23"/>
      <c r="X65" s="23"/>
      <c r="Y65" s="23"/>
      <c r="Z65" s="23"/>
      <c r="AA65" s="632"/>
      <c r="AB65" s="632"/>
      <c r="AC65" s="25"/>
      <c r="AD65" s="25"/>
      <c r="AE65" s="19">
        <f t="shared" si="43"/>
        <v>-98.780487804877794</v>
      </c>
      <c r="AF65" s="208">
        <f t="shared" si="9"/>
        <v>0.95884146341463428</v>
      </c>
      <c r="AG65" s="637"/>
    </row>
    <row r="66" spans="1:33" ht="15.75" customHeight="1">
      <c r="A66" s="635" t="s">
        <v>86</v>
      </c>
      <c r="B66" s="212" t="s">
        <v>116</v>
      </c>
      <c r="C66" s="633" t="s">
        <v>120</v>
      </c>
      <c r="D66" s="633"/>
      <c r="E66" s="42">
        <v>25.99</v>
      </c>
      <c r="F66" s="212">
        <v>843</v>
      </c>
      <c r="G66" s="203">
        <f t="shared" si="45"/>
        <v>21909.57</v>
      </c>
      <c r="H66" s="37" t="s">
        <v>91</v>
      </c>
      <c r="I66" s="210">
        <v>18</v>
      </c>
      <c r="J66" s="39">
        <v>2400</v>
      </c>
      <c r="K66" s="17">
        <f t="shared" si="1"/>
        <v>133.33333333333334</v>
      </c>
      <c r="L66" s="210">
        <v>18</v>
      </c>
      <c r="M66" s="18">
        <f t="shared" si="46"/>
        <v>2299.090909090909</v>
      </c>
      <c r="N66" s="17">
        <f t="shared" si="3"/>
        <v>127.72727272727272</v>
      </c>
      <c r="O66" s="19">
        <f t="shared" si="4"/>
        <v>0</v>
      </c>
      <c r="P66" s="20">
        <f t="shared" si="5"/>
        <v>-5.6060606060606233</v>
      </c>
      <c r="Q66" s="208">
        <f t="shared" si="6"/>
        <v>0.95795454545454528</v>
      </c>
      <c r="R66" s="637"/>
      <c r="S66" s="40">
        <v>0.25208333333333333</v>
      </c>
      <c r="T66" s="40">
        <v>0.2673611111111111</v>
      </c>
      <c r="U66" s="203">
        <f t="shared" si="48"/>
        <v>5.0000000000000222</v>
      </c>
      <c r="V66" s="211">
        <f t="shared" si="47"/>
        <v>22</v>
      </c>
      <c r="W66" s="23"/>
      <c r="X66" s="23"/>
      <c r="Y66" s="23"/>
      <c r="Z66" s="23"/>
      <c r="AA66" s="632"/>
      <c r="AB66" s="632"/>
      <c r="AC66" s="25"/>
      <c r="AD66" s="25"/>
      <c r="AE66" s="19">
        <f t="shared" si="43"/>
        <v>-100.90909090909099</v>
      </c>
      <c r="AF66" s="208">
        <f t="shared" si="9"/>
        <v>0.95795454545454539</v>
      </c>
      <c r="AG66" s="637"/>
    </row>
    <row r="67" spans="1:33" ht="15.75" customHeight="1">
      <c r="A67" s="635" t="s">
        <v>926</v>
      </c>
      <c r="B67" s="212" t="s">
        <v>116</v>
      </c>
      <c r="C67" s="633" t="s">
        <v>148</v>
      </c>
      <c r="D67" s="633"/>
      <c r="E67" s="42">
        <v>28.29</v>
      </c>
      <c r="F67" s="212">
        <v>3539</v>
      </c>
      <c r="G67" s="203">
        <f t="shared" si="45"/>
        <v>100118.31</v>
      </c>
      <c r="H67" s="37" t="s">
        <v>91</v>
      </c>
      <c r="I67" s="210">
        <v>21</v>
      </c>
      <c r="J67" s="39">
        <v>2400</v>
      </c>
      <c r="K67" s="17">
        <f t="shared" si="1"/>
        <v>114.28571428571429</v>
      </c>
      <c r="L67" s="210">
        <v>21</v>
      </c>
      <c r="M67" s="18">
        <f t="shared" si="46"/>
        <v>2283.2258064516136</v>
      </c>
      <c r="N67" s="17">
        <f t="shared" si="3"/>
        <v>108.72503840245778</v>
      </c>
      <c r="O67" s="19">
        <f t="shared" si="4"/>
        <v>0</v>
      </c>
      <c r="P67" s="20">
        <f t="shared" si="5"/>
        <v>-5.5606758832565077</v>
      </c>
      <c r="Q67" s="208">
        <f t="shared" si="6"/>
        <v>0.95134408602150555</v>
      </c>
      <c r="R67" s="637"/>
      <c r="S67" s="40">
        <v>0.2722222222222222</v>
      </c>
      <c r="T67" s="40">
        <v>0.33680555555555552</v>
      </c>
      <c r="U67" s="203">
        <f t="shared" si="48"/>
        <v>6.9999999999999751</v>
      </c>
      <c r="V67" s="211">
        <f t="shared" si="47"/>
        <v>92.999999999999986</v>
      </c>
      <c r="W67" s="23"/>
      <c r="X67" s="23"/>
      <c r="Y67" s="23"/>
      <c r="Z67" s="23"/>
      <c r="AA67" s="632"/>
      <c r="AB67" s="632"/>
      <c r="AC67" s="25"/>
      <c r="AD67" s="25"/>
      <c r="AE67" s="19">
        <f t="shared" si="43"/>
        <v>-116.77419354838639</v>
      </c>
      <c r="AF67" s="208">
        <f t="shared" si="9"/>
        <v>0.95134408602150566</v>
      </c>
      <c r="AG67" s="637"/>
    </row>
    <row r="68" spans="1:33" ht="15.75" customHeight="1">
      <c r="A68" s="635" t="s">
        <v>925</v>
      </c>
      <c r="B68" s="212" t="s">
        <v>116</v>
      </c>
      <c r="C68" s="633" t="s">
        <v>149</v>
      </c>
      <c r="D68" s="633"/>
      <c r="E68" s="42">
        <v>24.25</v>
      </c>
      <c r="F68" s="212">
        <v>3372</v>
      </c>
      <c r="G68" s="203">
        <f t="shared" si="45"/>
        <v>81771</v>
      </c>
      <c r="H68" s="37" t="s">
        <v>91</v>
      </c>
      <c r="I68" s="210">
        <v>17</v>
      </c>
      <c r="J68" s="39">
        <v>2400</v>
      </c>
      <c r="K68" s="17">
        <f t="shared" si="1"/>
        <v>141.1764705882353</v>
      </c>
      <c r="L68" s="210">
        <v>17</v>
      </c>
      <c r="M68" s="18">
        <f t="shared" si="46"/>
        <v>2299.090909090909</v>
      </c>
      <c r="N68" s="17">
        <f t="shared" si="3"/>
        <v>135.24064171122996</v>
      </c>
      <c r="O68" s="19">
        <f t="shared" si="4"/>
        <v>0</v>
      </c>
      <c r="P68" s="20">
        <f t="shared" si="5"/>
        <v>-5.9358288770053491</v>
      </c>
      <c r="Q68" s="208">
        <f t="shared" si="6"/>
        <v>0.95795454545454539</v>
      </c>
      <c r="R68" s="637"/>
      <c r="S68" s="40">
        <v>0.34166666666666662</v>
      </c>
      <c r="T68" s="40">
        <v>0.40277777777777773</v>
      </c>
      <c r="U68" s="203">
        <f t="shared" si="48"/>
        <v>6.9999999999999751</v>
      </c>
      <c r="V68" s="211">
        <f t="shared" si="47"/>
        <v>88</v>
      </c>
      <c r="W68" s="23"/>
      <c r="X68" s="23"/>
      <c r="Y68" s="23"/>
      <c r="Z68" s="23"/>
      <c r="AA68" s="632"/>
      <c r="AB68" s="632"/>
      <c r="AC68" s="25"/>
      <c r="AD68" s="25"/>
      <c r="AE68" s="19">
        <f t="shared" si="43"/>
        <v>-100.90909090909099</v>
      </c>
      <c r="AF68" s="208">
        <f t="shared" si="9"/>
        <v>0.95795454545454539</v>
      </c>
      <c r="AG68" s="637"/>
    </row>
    <row r="69" spans="1:33" ht="15.75" customHeight="1">
      <c r="A69" s="635" t="s">
        <v>925</v>
      </c>
      <c r="B69" s="212" t="s">
        <v>116</v>
      </c>
      <c r="C69" s="633" t="s">
        <v>150</v>
      </c>
      <c r="D69" s="633"/>
      <c r="E69" s="42">
        <v>23.89</v>
      </c>
      <c r="F69" s="212">
        <v>3563</v>
      </c>
      <c r="G69" s="203">
        <f t="shared" si="45"/>
        <v>85120.07</v>
      </c>
      <c r="H69" s="37" t="s">
        <v>91</v>
      </c>
      <c r="I69" s="210">
        <v>13</v>
      </c>
      <c r="J69" s="39">
        <v>2400</v>
      </c>
      <c r="K69" s="17">
        <f t="shared" ref="K69:K71" si="49">J69/I69</f>
        <v>184.61538461538461</v>
      </c>
      <c r="L69" s="210">
        <v>13</v>
      </c>
      <c r="M69" s="18">
        <f t="shared" si="46"/>
        <v>2298.7096774193551</v>
      </c>
      <c r="N69" s="17">
        <f t="shared" ref="N69:N71" si="50">M69/L69</f>
        <v>176.8238213399504</v>
      </c>
      <c r="O69" s="19">
        <f t="shared" ref="O69:O71" si="51">L69-I69</f>
        <v>0</v>
      </c>
      <c r="P69" s="20">
        <f t="shared" ref="P69:P71" si="52">N69-K69</f>
        <v>-7.7915632754342141</v>
      </c>
      <c r="Q69" s="208">
        <f t="shared" ref="Q69:Q71" si="53">N69/K69</f>
        <v>0.95779569892473138</v>
      </c>
      <c r="R69" s="637"/>
      <c r="S69" s="40">
        <v>0.40763888888888883</v>
      </c>
      <c r="T69" s="40">
        <v>0.47222222222222215</v>
      </c>
      <c r="U69" s="203">
        <f t="shared" si="48"/>
        <v>6.9999999999999751</v>
      </c>
      <c r="V69" s="211">
        <f t="shared" si="47"/>
        <v>92.999999999999986</v>
      </c>
      <c r="W69" s="23">
        <f>T69</f>
        <v>0.47222222222222215</v>
      </c>
      <c r="X69" s="23">
        <f>S70</f>
        <v>0.51249999999999984</v>
      </c>
      <c r="Y69" s="23"/>
      <c r="Z69" s="23"/>
      <c r="AA69" s="632"/>
      <c r="AB69" s="632"/>
      <c r="AC69" s="25"/>
      <c r="AD69" s="25"/>
      <c r="AE69" s="19">
        <f t="shared" si="43"/>
        <v>-101.2903225806449</v>
      </c>
      <c r="AF69" s="208">
        <f t="shared" ref="AF69:AF71" si="54">M69/J69</f>
        <v>0.95779569892473126</v>
      </c>
      <c r="AG69" s="637"/>
    </row>
    <row r="70" spans="1:33" ht="15.75" customHeight="1">
      <c r="A70" s="635" t="s">
        <v>925</v>
      </c>
      <c r="B70" s="212" t="s">
        <v>116</v>
      </c>
      <c r="C70" s="625" t="s">
        <v>145</v>
      </c>
      <c r="D70" s="626"/>
      <c r="E70" s="42">
        <v>19.02</v>
      </c>
      <c r="F70" s="212">
        <v>3959</v>
      </c>
      <c r="G70" s="203">
        <f t="shared" si="45"/>
        <v>75300.179999999993</v>
      </c>
      <c r="H70" s="37" t="s">
        <v>91</v>
      </c>
      <c r="I70" s="210">
        <v>14</v>
      </c>
      <c r="J70" s="39">
        <v>2400</v>
      </c>
      <c r="K70" s="17">
        <f t="shared" si="49"/>
        <v>171.42857142857142</v>
      </c>
      <c r="L70" s="210">
        <v>14</v>
      </c>
      <c r="M70" s="18">
        <f t="shared" si="46"/>
        <v>2284.0384615384628</v>
      </c>
      <c r="N70" s="17">
        <f t="shared" si="50"/>
        <v>163.14560439560449</v>
      </c>
      <c r="O70" s="19">
        <f t="shared" si="51"/>
        <v>0</v>
      </c>
      <c r="P70" s="20">
        <f t="shared" si="52"/>
        <v>-8.2829670329669227</v>
      </c>
      <c r="Q70" s="208">
        <f t="shared" si="53"/>
        <v>0.95168269230769298</v>
      </c>
      <c r="R70" s="637"/>
      <c r="S70" s="40">
        <v>0.51249999999999984</v>
      </c>
      <c r="T70" s="40">
        <v>0.58472222222222203</v>
      </c>
      <c r="U70" s="203">
        <f t="shared" si="48"/>
        <v>57.999999999999872</v>
      </c>
      <c r="V70" s="211">
        <f t="shared" si="47"/>
        <v>103.99999999999994</v>
      </c>
      <c r="W70" s="23"/>
      <c r="X70" s="23"/>
      <c r="Y70" s="26"/>
      <c r="Z70" s="26"/>
      <c r="AA70" s="627"/>
      <c r="AB70" s="628"/>
      <c r="AC70" s="25"/>
      <c r="AD70" s="25"/>
      <c r="AE70" s="19">
        <f t="shared" si="43"/>
        <v>-115.9615384615372</v>
      </c>
      <c r="AF70" s="208">
        <f t="shared" si="54"/>
        <v>0.95168269230769287</v>
      </c>
      <c r="AG70" s="637"/>
    </row>
    <row r="71" spans="1:33" ht="16.5" customHeight="1">
      <c r="A71" s="636" t="s">
        <v>925</v>
      </c>
      <c r="B71" s="42" t="s">
        <v>52</v>
      </c>
      <c r="C71" s="629"/>
      <c r="D71" s="630"/>
      <c r="E71" s="209"/>
      <c r="F71" s="44"/>
      <c r="G71" s="17"/>
      <c r="H71" s="212"/>
      <c r="I71" s="29">
        <v>16.285714285714285</v>
      </c>
      <c r="J71" s="39">
        <v>2400</v>
      </c>
      <c r="K71" s="17">
        <f t="shared" si="49"/>
        <v>147.36842105263159</v>
      </c>
      <c r="L71" s="29">
        <v>16.285714285714285</v>
      </c>
      <c r="M71" s="18">
        <f>AVERAGE(M64:M70)</f>
        <v>2294.6071822551958</v>
      </c>
      <c r="N71" s="17">
        <f t="shared" si="50"/>
        <v>140.89693224374011</v>
      </c>
      <c r="O71" s="19">
        <f t="shared" si="51"/>
        <v>0</v>
      </c>
      <c r="P71" s="20">
        <f t="shared" si="52"/>
        <v>-6.471488808891479</v>
      </c>
      <c r="Q71" s="208">
        <f t="shared" si="53"/>
        <v>0.95608632593966492</v>
      </c>
      <c r="R71" s="637"/>
      <c r="S71" s="40"/>
      <c r="T71" s="40"/>
      <c r="U71" s="17"/>
      <c r="V71" s="211"/>
      <c r="W71" s="17"/>
      <c r="X71" s="17"/>
      <c r="Y71" s="30">
        <f>SUM(Y64:Y70)</f>
        <v>0</v>
      </c>
      <c r="Z71" s="30">
        <f>SUM(Z64:Z70)</f>
        <v>0</v>
      </c>
      <c r="AA71" s="631"/>
      <c r="AB71" s="631"/>
      <c r="AC71" s="30">
        <v>7</v>
      </c>
      <c r="AD71" s="30">
        <f>SUM(AD64:AD70)</f>
        <v>0</v>
      </c>
      <c r="AE71" s="19">
        <f t="shared" si="43"/>
        <v>-105.39281774480423</v>
      </c>
      <c r="AF71" s="208">
        <f t="shared" si="54"/>
        <v>0.95608632593966492</v>
      </c>
      <c r="AG71" s="637"/>
    </row>
    <row r="72" spans="1:33">
      <c r="D72" s="33"/>
      <c r="E72" s="33"/>
    </row>
  </sheetData>
  <mergeCells count="189"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7:D7"/>
    <mergeCell ref="AA7:AB7"/>
    <mergeCell ref="C8:D8"/>
    <mergeCell ref="AA8:AB8"/>
    <mergeCell ref="A9:A14"/>
    <mergeCell ref="C9:D9"/>
    <mergeCell ref="R9:R14"/>
    <mergeCell ref="AA9:AB9"/>
    <mergeCell ref="AA14:AB14"/>
    <mergeCell ref="AG15:AG23"/>
    <mergeCell ref="C16:D16"/>
    <mergeCell ref="AA16:AB16"/>
    <mergeCell ref="C17:D17"/>
    <mergeCell ref="AA17:AB17"/>
    <mergeCell ref="C18:D18"/>
    <mergeCell ref="AG9:AG14"/>
    <mergeCell ref="C10:D10"/>
    <mergeCell ref="AA10:AB10"/>
    <mergeCell ref="C11:D11"/>
    <mergeCell ref="AA11:AB11"/>
    <mergeCell ref="C12:D12"/>
    <mergeCell ref="AA12:AB12"/>
    <mergeCell ref="C13:D13"/>
    <mergeCell ref="AA13:AB13"/>
    <mergeCell ref="C14:D14"/>
    <mergeCell ref="AA18:AB18"/>
    <mergeCell ref="C19:D19"/>
    <mergeCell ref="AA19:AB19"/>
    <mergeCell ref="C23:D23"/>
    <mergeCell ref="AA23:AB23"/>
    <mergeCell ref="A24:A30"/>
    <mergeCell ref="C24:D24"/>
    <mergeCell ref="R24:R30"/>
    <mergeCell ref="AA24:AB24"/>
    <mergeCell ref="AA29:AB29"/>
    <mergeCell ref="A15:A23"/>
    <mergeCell ref="C15:D15"/>
    <mergeCell ref="R15:R23"/>
    <mergeCell ref="AA15:AB15"/>
    <mergeCell ref="AG24:AG30"/>
    <mergeCell ref="C25:D25"/>
    <mergeCell ref="AA25:AB25"/>
    <mergeCell ref="C26:D26"/>
    <mergeCell ref="AA26:AB26"/>
    <mergeCell ref="C27:D27"/>
    <mergeCell ref="AA27:AB27"/>
    <mergeCell ref="C28:D28"/>
    <mergeCell ref="AA28:AB28"/>
    <mergeCell ref="C29:D29"/>
    <mergeCell ref="C30:D30"/>
    <mergeCell ref="AA30:AB30"/>
    <mergeCell ref="A31:A37"/>
    <mergeCell ref="C31:D31"/>
    <mergeCell ref="R31:R37"/>
    <mergeCell ref="AA31:AB31"/>
    <mergeCell ref="AA36:AB36"/>
    <mergeCell ref="C37:D37"/>
    <mergeCell ref="AA37:AB37"/>
    <mergeCell ref="AG31:AG37"/>
    <mergeCell ref="C32:D32"/>
    <mergeCell ref="AA32:AB32"/>
    <mergeCell ref="C33:D33"/>
    <mergeCell ref="AA33:AB33"/>
    <mergeCell ref="C34:D34"/>
    <mergeCell ref="AA34:AB34"/>
    <mergeCell ref="C35:D35"/>
    <mergeCell ref="AA35:AB35"/>
    <mergeCell ref="C36:D36"/>
    <mergeCell ref="A38:A44"/>
    <mergeCell ref="C38:D38"/>
    <mergeCell ref="R38:R44"/>
    <mergeCell ref="AA38:AB38"/>
    <mergeCell ref="AG38:AG44"/>
    <mergeCell ref="C39:D39"/>
    <mergeCell ref="AA39:AB39"/>
    <mergeCell ref="C40:D40"/>
    <mergeCell ref="AA40:AB40"/>
    <mergeCell ref="C41:D41"/>
    <mergeCell ref="AG45:AG49"/>
    <mergeCell ref="C46:D46"/>
    <mergeCell ref="AA46:AB46"/>
    <mergeCell ref="C47:D47"/>
    <mergeCell ref="AA47:AB47"/>
    <mergeCell ref="C48:D48"/>
    <mergeCell ref="AA41:AB41"/>
    <mergeCell ref="C42:D42"/>
    <mergeCell ref="AA42:AB42"/>
    <mergeCell ref="C43:D43"/>
    <mergeCell ref="AA43:AB43"/>
    <mergeCell ref="C44:D44"/>
    <mergeCell ref="AA44:AB44"/>
    <mergeCell ref="AA48:AB48"/>
    <mergeCell ref="C49:D49"/>
    <mergeCell ref="AA49:AB49"/>
    <mergeCell ref="C50:D50"/>
    <mergeCell ref="R50:R58"/>
    <mergeCell ref="AA50:AB50"/>
    <mergeCell ref="AA56:AB56"/>
    <mergeCell ref="C57:D57"/>
    <mergeCell ref="AA57:AB57"/>
    <mergeCell ref="A45:A49"/>
    <mergeCell ref="C45:D45"/>
    <mergeCell ref="R45:R49"/>
    <mergeCell ref="AA45:AB45"/>
    <mergeCell ref="C58:D58"/>
    <mergeCell ref="AA58:AB58"/>
    <mergeCell ref="A59:A63"/>
    <mergeCell ref="C59:D59"/>
    <mergeCell ref="R59:R63"/>
    <mergeCell ref="AA59:AB59"/>
    <mergeCell ref="AG50:AG58"/>
    <mergeCell ref="C51:D51"/>
    <mergeCell ref="AA51:AB51"/>
    <mergeCell ref="C52:D52"/>
    <mergeCell ref="AA52:AB52"/>
    <mergeCell ref="AA53:AB53"/>
    <mergeCell ref="AA54:AB54"/>
    <mergeCell ref="C55:D55"/>
    <mergeCell ref="AA55:AB55"/>
    <mergeCell ref="C56:D56"/>
    <mergeCell ref="AG59:AG63"/>
    <mergeCell ref="C60:D60"/>
    <mergeCell ref="AA60:AB60"/>
    <mergeCell ref="C61:D61"/>
    <mergeCell ref="AA61:AB61"/>
    <mergeCell ref="C62:D62"/>
    <mergeCell ref="AA62:AB62"/>
    <mergeCell ref="C63:D63"/>
    <mergeCell ref="AA63:AB63"/>
    <mergeCell ref="A50:A58"/>
    <mergeCell ref="A64:A71"/>
    <mergeCell ref="C64:D64"/>
    <mergeCell ref="R64:R71"/>
    <mergeCell ref="AA64:AB64"/>
    <mergeCell ref="AG64:AG71"/>
    <mergeCell ref="C65:D65"/>
    <mergeCell ref="AA65:AB65"/>
    <mergeCell ref="C66:D66"/>
    <mergeCell ref="AA66:AB66"/>
    <mergeCell ref="C67:D67"/>
    <mergeCell ref="C71:D71"/>
    <mergeCell ref="AA71:AB71"/>
    <mergeCell ref="AA67:AB67"/>
    <mergeCell ref="C68:D68"/>
    <mergeCell ref="AA68:AB68"/>
    <mergeCell ref="C69:D69"/>
    <mergeCell ref="AA69:AB69"/>
    <mergeCell ref="C70:D70"/>
    <mergeCell ref="AA70:AB70"/>
  </mergeCells>
  <phoneticPr fontId="3" type="noConversion"/>
  <conditionalFormatting sqref="O62:O69 O58:O59 O71 O5:O9 O14:O16 O23:O55">
    <cfRule type="cellIs" dxfId="698" priority="61" operator="greaterThan">
      <formula>0</formula>
    </cfRule>
  </conditionalFormatting>
  <conditionalFormatting sqref="P5:P7 P62 AE62 P64:P69 P31:P36 P59 P9 P14:P16 P24:P29 P50:P55 P38:P48 AE5:AE59 AE64:AE71">
    <cfRule type="cellIs" dxfId="697" priority="65" operator="lessThan">
      <formula>0</formula>
    </cfRule>
  </conditionalFormatting>
  <conditionalFormatting sqref="AF62 Q62:Q69 Q58:Q59 Q71 Q5:Q9 Q14:Q16 Q23:Q55 AF5:AF59 AF64:AF71">
    <cfRule type="cellIs" dxfId="696" priority="62" operator="greaterThan">
      <formula>1</formula>
    </cfRule>
    <cfRule type="cellIs" dxfId="695" priority="63" operator="lessThan">
      <formula>0.8</formula>
    </cfRule>
  </conditionalFormatting>
  <conditionalFormatting sqref="AG15:AG16 R15:R16 AG62 R62:R69 AG58:AG59 R58:R59 R71 AG5:AG9 R5:R9 AG23:AG55 R23:R55">
    <cfRule type="cellIs" dxfId="694" priority="67" operator="lessThan">
      <formula>0.8</formula>
    </cfRule>
  </conditionalFormatting>
  <conditionalFormatting sqref="AG45">
    <cfRule type="cellIs" dxfId="693" priority="69" operator="lessThan">
      <formula>0.8</formula>
    </cfRule>
  </conditionalFormatting>
  <conditionalFormatting sqref="AG24:AG29">
    <cfRule type="cellIs" dxfId="692" priority="66" operator="lessThan">
      <formula>0.8</formula>
    </cfRule>
  </conditionalFormatting>
  <conditionalFormatting sqref="AG31">
    <cfRule type="cellIs" dxfId="691" priority="68" operator="lessThan">
      <formula>0.8</formula>
    </cfRule>
  </conditionalFormatting>
  <conditionalFormatting sqref="AG38:AG43">
    <cfRule type="cellIs" dxfId="690" priority="64" operator="lessThan">
      <formula>0.8</formula>
    </cfRule>
  </conditionalFormatting>
  <conditionalFormatting sqref="AE63">
    <cfRule type="cellIs" dxfId="689" priority="60" operator="lessThan">
      <formula>0</formula>
    </cfRule>
  </conditionalFormatting>
  <conditionalFormatting sqref="AF63">
    <cfRule type="cellIs" dxfId="688" priority="58" operator="greaterThan">
      <formula>1</formula>
    </cfRule>
    <cfRule type="cellIs" dxfId="687" priority="59" operator="lessThan">
      <formula>0.8</formula>
    </cfRule>
  </conditionalFormatting>
  <conditionalFormatting sqref="O17:O18">
    <cfRule type="cellIs" dxfId="686" priority="53" operator="greaterThan">
      <formula>0</formula>
    </cfRule>
  </conditionalFormatting>
  <conditionalFormatting sqref="P17:P18">
    <cfRule type="cellIs" dxfId="685" priority="56" operator="lessThan">
      <formula>0</formula>
    </cfRule>
  </conditionalFormatting>
  <conditionalFormatting sqref="Q17:Q18">
    <cfRule type="cellIs" dxfId="684" priority="54" operator="greaterThan">
      <formula>1</formula>
    </cfRule>
    <cfRule type="cellIs" dxfId="683" priority="55" operator="lessThan">
      <formula>0.8</formula>
    </cfRule>
  </conditionalFormatting>
  <conditionalFormatting sqref="R17:R18 AG17:AG18">
    <cfRule type="cellIs" dxfId="682" priority="57" operator="lessThan">
      <formula>0.8</formula>
    </cfRule>
  </conditionalFormatting>
  <conditionalFormatting sqref="O10:O13">
    <cfRule type="cellIs" dxfId="681" priority="49" operator="greaterThan">
      <formula>0</formula>
    </cfRule>
  </conditionalFormatting>
  <conditionalFormatting sqref="P10:P13">
    <cfRule type="cellIs" dxfId="680" priority="52" operator="lessThan">
      <formula>0</formula>
    </cfRule>
  </conditionalFormatting>
  <conditionalFormatting sqref="Q10:Q13">
    <cfRule type="cellIs" dxfId="679" priority="50" operator="greaterThan">
      <formula>1</formula>
    </cfRule>
    <cfRule type="cellIs" dxfId="678" priority="51" operator="lessThan">
      <formula>0.8</formula>
    </cfRule>
  </conditionalFormatting>
  <conditionalFormatting sqref="O56">
    <cfRule type="cellIs" dxfId="677" priority="44" operator="greaterThan">
      <formula>0</formula>
    </cfRule>
  </conditionalFormatting>
  <conditionalFormatting sqref="P56">
    <cfRule type="cellIs" dxfId="676" priority="47" operator="lessThan">
      <formula>0</formula>
    </cfRule>
  </conditionalFormatting>
  <conditionalFormatting sqref="Q56">
    <cfRule type="cellIs" dxfId="675" priority="45" operator="greaterThan">
      <formula>1</formula>
    </cfRule>
    <cfRule type="cellIs" dxfId="674" priority="46" operator="lessThan">
      <formula>0.8</formula>
    </cfRule>
  </conditionalFormatting>
  <conditionalFormatting sqref="R56 AG56">
    <cfRule type="cellIs" dxfId="673" priority="48" operator="lessThan">
      <formula>0.8</formula>
    </cfRule>
  </conditionalFormatting>
  <conditionalFormatting sqref="O61">
    <cfRule type="cellIs" dxfId="672" priority="39" operator="greaterThan">
      <formula>0</formula>
    </cfRule>
  </conditionalFormatting>
  <conditionalFormatting sqref="P61 AE61">
    <cfRule type="cellIs" dxfId="671" priority="42" operator="lessThan">
      <formula>0</formula>
    </cfRule>
  </conditionalFormatting>
  <conditionalFormatting sqref="Q61 AF61">
    <cfRule type="cellIs" dxfId="670" priority="40" operator="greaterThan">
      <formula>1</formula>
    </cfRule>
    <cfRule type="cellIs" dxfId="669" priority="41" operator="lessThan">
      <formula>0.8</formula>
    </cfRule>
  </conditionalFormatting>
  <conditionalFormatting sqref="R61 AG61">
    <cfRule type="cellIs" dxfId="668" priority="43" operator="lessThan">
      <formula>0.8</formula>
    </cfRule>
  </conditionalFormatting>
  <conditionalFormatting sqref="O70">
    <cfRule type="cellIs" dxfId="667" priority="34" operator="greaterThan">
      <formula>0</formula>
    </cfRule>
  </conditionalFormatting>
  <conditionalFormatting sqref="P70">
    <cfRule type="cellIs" dxfId="666" priority="37" operator="lessThan">
      <formula>0</formula>
    </cfRule>
  </conditionalFormatting>
  <conditionalFormatting sqref="Q70">
    <cfRule type="cellIs" dxfId="665" priority="35" operator="greaterThan">
      <formula>1</formula>
    </cfRule>
    <cfRule type="cellIs" dxfId="664" priority="36" operator="lessThan">
      <formula>0.8</formula>
    </cfRule>
  </conditionalFormatting>
  <conditionalFormatting sqref="R70">
    <cfRule type="cellIs" dxfId="663" priority="38" operator="lessThan">
      <formula>0.8</formula>
    </cfRule>
  </conditionalFormatting>
  <conditionalFormatting sqref="O19:O20">
    <cfRule type="cellIs" dxfId="662" priority="29" operator="greaterThan">
      <formula>0</formula>
    </cfRule>
  </conditionalFormatting>
  <conditionalFormatting sqref="P19:P20">
    <cfRule type="cellIs" dxfId="661" priority="32" operator="lessThan">
      <formula>0</formula>
    </cfRule>
  </conditionalFormatting>
  <conditionalFormatting sqref="Q19:Q20">
    <cfRule type="cellIs" dxfId="660" priority="30" operator="greaterThan">
      <formula>1</formula>
    </cfRule>
    <cfRule type="cellIs" dxfId="659" priority="31" operator="lessThan">
      <formula>0.8</formula>
    </cfRule>
  </conditionalFormatting>
  <conditionalFormatting sqref="R19:R20 AG19:AG20">
    <cfRule type="cellIs" dxfId="658" priority="33" operator="lessThan">
      <formula>0.8</formula>
    </cfRule>
  </conditionalFormatting>
  <conditionalFormatting sqref="O57">
    <cfRule type="cellIs" dxfId="657" priority="24" operator="greaterThan">
      <formula>0</formula>
    </cfRule>
  </conditionalFormatting>
  <conditionalFormatting sqref="P57">
    <cfRule type="cellIs" dxfId="656" priority="27" operator="lessThan">
      <formula>0</formula>
    </cfRule>
  </conditionalFormatting>
  <conditionalFormatting sqref="Q57">
    <cfRule type="cellIs" dxfId="655" priority="25" operator="greaterThan">
      <formula>1</formula>
    </cfRule>
    <cfRule type="cellIs" dxfId="654" priority="26" operator="lessThan">
      <formula>0.8</formula>
    </cfRule>
  </conditionalFormatting>
  <conditionalFormatting sqref="AG57 R57">
    <cfRule type="cellIs" dxfId="653" priority="28" operator="lessThan">
      <formula>0.8</formula>
    </cfRule>
  </conditionalFormatting>
  <conditionalFormatting sqref="O60">
    <cfRule type="cellIs" dxfId="652" priority="19" operator="greaterThan">
      <formula>0</formula>
    </cfRule>
  </conditionalFormatting>
  <conditionalFormatting sqref="P60 AE60">
    <cfRule type="cellIs" dxfId="651" priority="22" operator="lessThan">
      <formula>0</formula>
    </cfRule>
  </conditionalFormatting>
  <conditionalFormatting sqref="Q60 AF60">
    <cfRule type="cellIs" dxfId="650" priority="20" operator="greaterThan">
      <formula>1</formula>
    </cfRule>
    <cfRule type="cellIs" dxfId="649" priority="21" operator="lessThan">
      <formula>0.8</formula>
    </cfRule>
  </conditionalFormatting>
  <conditionalFormatting sqref="R60 AG60">
    <cfRule type="cellIs" dxfId="648" priority="23" operator="lessThan">
      <formula>0.8</formula>
    </cfRule>
  </conditionalFormatting>
  <conditionalFormatting sqref="O21">
    <cfRule type="cellIs" dxfId="647" priority="14" operator="greaterThan">
      <formula>0</formula>
    </cfRule>
  </conditionalFormatting>
  <conditionalFormatting sqref="P21">
    <cfRule type="cellIs" dxfId="646" priority="17" operator="lessThan">
      <formula>0</formula>
    </cfRule>
  </conditionalFormatting>
  <conditionalFormatting sqref="Q21">
    <cfRule type="cellIs" dxfId="645" priority="15" operator="greaterThan">
      <formula>1</formula>
    </cfRule>
    <cfRule type="cellIs" dxfId="644" priority="16" operator="lessThan">
      <formula>0.8</formula>
    </cfRule>
  </conditionalFormatting>
  <conditionalFormatting sqref="AG21 R21">
    <cfRule type="cellIs" dxfId="643" priority="18" operator="lessThan">
      <formula>0.8</formula>
    </cfRule>
  </conditionalFormatting>
  <conditionalFormatting sqref="O22">
    <cfRule type="cellIs" dxfId="642" priority="9" operator="greaterThan">
      <formula>0</formula>
    </cfRule>
  </conditionalFormatting>
  <conditionalFormatting sqref="P22">
    <cfRule type="cellIs" dxfId="641" priority="12" operator="lessThan">
      <formula>0</formula>
    </cfRule>
  </conditionalFormatting>
  <conditionalFormatting sqref="Q22">
    <cfRule type="cellIs" dxfId="640" priority="10" operator="greaterThan">
      <formula>1</formula>
    </cfRule>
    <cfRule type="cellIs" dxfId="639" priority="11" operator="lessThan">
      <formula>0.8</formula>
    </cfRule>
  </conditionalFormatting>
  <conditionalFormatting sqref="AG22 R22">
    <cfRule type="cellIs" dxfId="638" priority="13" operator="lessThan">
      <formula>0.8</formula>
    </cfRule>
  </conditionalFormatting>
  <conditionalFormatting sqref="P8">
    <cfRule type="cellIs" dxfId="637" priority="8" operator="lessThan">
      <formula>0</formula>
    </cfRule>
  </conditionalFormatting>
  <conditionalFormatting sqref="P23">
    <cfRule type="cellIs" dxfId="636" priority="7" operator="lessThan">
      <formula>0</formula>
    </cfRule>
  </conditionalFormatting>
  <conditionalFormatting sqref="P30">
    <cfRule type="cellIs" dxfId="635" priority="6" operator="lessThan">
      <formula>0</formula>
    </cfRule>
  </conditionalFormatting>
  <conditionalFormatting sqref="P37">
    <cfRule type="cellIs" dxfId="634" priority="5" operator="lessThan">
      <formula>0</formula>
    </cfRule>
  </conditionalFormatting>
  <conditionalFormatting sqref="P49">
    <cfRule type="cellIs" dxfId="633" priority="4" operator="lessThan">
      <formula>0</formula>
    </cfRule>
  </conditionalFormatting>
  <conditionalFormatting sqref="P58">
    <cfRule type="cellIs" dxfId="632" priority="3" operator="lessThan">
      <formula>0</formula>
    </cfRule>
  </conditionalFormatting>
  <conditionalFormatting sqref="P63">
    <cfRule type="cellIs" dxfId="631" priority="2" operator="lessThan">
      <formula>0</formula>
    </cfRule>
  </conditionalFormatting>
  <conditionalFormatting sqref="P71">
    <cfRule type="cellIs" dxfId="630" priority="1" operator="lessThan">
      <formula>0</formula>
    </cfRule>
  </conditionalFormatting>
  <dataValidations count="1">
    <dataValidation type="list" allowBlank="1" showInputMessage="1" showErrorMessage="1" sqref="AB8 AA5:AB7 AA8:AA62 AB10:AB59 AA63:AB71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C13" sqref="C13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612" t="s">
        <v>717</v>
      </c>
      <c r="C1" s="612"/>
      <c r="D1" s="612"/>
      <c r="E1" s="612"/>
      <c r="F1" s="612"/>
      <c r="G1" s="612"/>
      <c r="H1" s="612"/>
      <c r="I1" s="612"/>
      <c r="J1" s="612"/>
      <c r="K1" s="51"/>
      <c r="L1" s="51"/>
      <c r="M1" s="51"/>
      <c r="N1" s="51"/>
      <c r="O1" s="51"/>
      <c r="P1" s="51"/>
    </row>
    <row r="2" spans="2:17" ht="27.75" customHeight="1">
      <c r="B2" s="613"/>
      <c r="C2" s="613"/>
      <c r="D2" s="613"/>
      <c r="E2" s="613"/>
      <c r="F2" s="613"/>
      <c r="G2" s="613"/>
      <c r="H2" s="613"/>
      <c r="I2" s="613"/>
      <c r="J2" s="613"/>
      <c r="K2" s="53"/>
      <c r="L2" s="53"/>
      <c r="M2" s="53"/>
      <c r="N2" s="51"/>
      <c r="O2" s="51"/>
      <c r="P2" s="51"/>
    </row>
    <row r="3" spans="2:17" ht="46.5" customHeight="1">
      <c r="B3" s="54" t="s">
        <v>718</v>
      </c>
      <c r="C3" s="614" t="str">
        <f>TEXT('0807 4度C'!A2,"yyyy.mm.ddaaaa")</f>
        <v>2026.08.07星期五</v>
      </c>
      <c r="D3" s="615"/>
      <c r="E3" s="54" t="s">
        <v>719</v>
      </c>
      <c r="F3" s="616">
        <f>'0807 4度C'!D1</f>
        <v>142175</v>
      </c>
      <c r="G3" s="617"/>
      <c r="H3" s="54" t="s">
        <v>720</v>
      </c>
      <c r="I3" s="618">
        <f>'0807 4度C'!F1</f>
        <v>4983901.8599999994</v>
      </c>
      <c r="J3" s="619"/>
      <c r="K3" s="55"/>
      <c r="L3" s="56"/>
      <c r="M3" s="57"/>
      <c r="N3" s="57"/>
    </row>
    <row r="4" spans="2:17" ht="28.5" customHeight="1">
      <c r="B4" s="620" t="s">
        <v>721</v>
      </c>
      <c r="C4" s="606" t="s">
        <v>722</v>
      </c>
      <c r="D4" s="607"/>
      <c r="E4" s="623" t="s">
        <v>723</v>
      </c>
      <c r="F4" s="624"/>
      <c r="G4" s="623" t="s">
        <v>724</v>
      </c>
      <c r="H4" s="624"/>
      <c r="I4" s="623" t="s">
        <v>725</v>
      </c>
      <c r="J4" s="624"/>
      <c r="K4" s="604" t="s">
        <v>726</v>
      </c>
      <c r="L4" s="605"/>
      <c r="M4" s="605" t="s">
        <v>727</v>
      </c>
      <c r="N4" s="605"/>
    </row>
    <row r="5" spans="2:17" ht="28.5" customHeight="1">
      <c r="B5" s="621"/>
      <c r="C5" s="606" t="s">
        <v>728</v>
      </c>
      <c r="D5" s="607"/>
      <c r="E5" s="606" t="s">
        <v>729</v>
      </c>
      <c r="F5" s="607"/>
      <c r="G5" s="608" t="s">
        <v>730</v>
      </c>
      <c r="H5" s="609"/>
      <c r="I5" s="610" t="s">
        <v>731</v>
      </c>
      <c r="J5" s="611"/>
      <c r="K5" s="58" t="s">
        <v>732</v>
      </c>
      <c r="L5" s="59" t="s">
        <v>733</v>
      </c>
      <c r="M5" s="58" t="s">
        <v>734</v>
      </c>
      <c r="N5" s="59" t="s">
        <v>735</v>
      </c>
    </row>
    <row r="6" spans="2:17" ht="28.5" customHeight="1">
      <c r="B6" s="621"/>
      <c r="C6" s="606" t="s">
        <v>169</v>
      </c>
      <c r="D6" s="607"/>
      <c r="E6" s="598">
        <f>AVERAGE(D13:M13)</f>
        <v>158.36867175669869</v>
      </c>
      <c r="F6" s="599">
        <f>AVERAGE(D31:O31,D13:J13)</f>
        <v>167.34392046291913</v>
      </c>
      <c r="G6" s="600">
        <f>AVERAGE(D13:J13)</f>
        <v>167.34392046291913</v>
      </c>
      <c r="H6" s="601"/>
      <c r="I6" s="600">
        <f>AVERAGE(K13:M13)</f>
        <v>137.42642477551769</v>
      </c>
      <c r="J6" s="601"/>
      <c r="K6" s="602">
        <f>'0807 4度C'!Y2</f>
        <v>0</v>
      </c>
      <c r="L6" s="587">
        <f>'0807 4度C'!Z2</f>
        <v>0</v>
      </c>
      <c r="M6" s="603">
        <f>'0807 4度C'!AC2</f>
        <v>53</v>
      </c>
      <c r="N6" s="587">
        <f>'0807 4度C'!AD2</f>
        <v>0</v>
      </c>
    </row>
    <row r="7" spans="2:17" ht="28.5" customHeight="1">
      <c r="B7" s="621"/>
      <c r="C7" s="588" t="s">
        <v>170</v>
      </c>
      <c r="D7" s="589"/>
      <c r="E7" s="590">
        <f>AVERAGE(D14:M14)</f>
        <v>151.6498435046197</v>
      </c>
      <c r="F7" s="591">
        <f>AVERAGE(D32:O32,D14:J14)</f>
        <v>160.2411018497387</v>
      </c>
      <c r="G7" s="592">
        <f>AVERAGE(D14:J14)</f>
        <v>160.2411018497387</v>
      </c>
      <c r="H7" s="593"/>
      <c r="I7" s="592">
        <f>AVERAGE(K14:M14)</f>
        <v>131.60357403267531</v>
      </c>
      <c r="J7" s="593"/>
      <c r="K7" s="602"/>
      <c r="L7" s="587"/>
      <c r="M7" s="603"/>
      <c r="N7" s="587"/>
    </row>
    <row r="8" spans="2:17" ht="28.5" customHeight="1">
      <c r="B8" s="622"/>
      <c r="C8" s="588" t="s">
        <v>171</v>
      </c>
      <c r="D8" s="589"/>
      <c r="E8" s="594">
        <f>AVERAGE(D15:M15)</f>
        <v>0.95812482804466126</v>
      </c>
      <c r="F8" s="595">
        <f>AVERAGE(D15:J15,D33:O33)</f>
        <v>0.95835111857953748</v>
      </c>
      <c r="G8" s="596">
        <f>AVERAGE(D15:J15)</f>
        <v>0.95835111857953748</v>
      </c>
      <c r="H8" s="597"/>
      <c r="I8" s="596">
        <f>AVERAGE(K15:M15)</f>
        <v>0.95759681679661668</v>
      </c>
      <c r="J8" s="597"/>
      <c r="K8" s="602"/>
      <c r="L8" s="587"/>
      <c r="M8" s="603"/>
      <c r="N8" s="587"/>
    </row>
    <row r="9" spans="2:17" ht="28.5" customHeight="1" thickBot="1">
      <c r="H9" s="61"/>
      <c r="K9" s="62" t="s">
        <v>736</v>
      </c>
      <c r="N9" s="57"/>
      <c r="O9" s="57"/>
      <c r="P9" s="57"/>
      <c r="Q9" s="57"/>
    </row>
    <row r="10" spans="2:17" ht="30" customHeight="1">
      <c r="B10" s="570" t="s">
        <v>737</v>
      </c>
      <c r="C10" s="571"/>
      <c r="D10" s="572" t="s">
        <v>738</v>
      </c>
      <c r="E10" s="573"/>
      <c r="F10" s="573"/>
      <c r="G10" s="573"/>
      <c r="H10" s="573"/>
      <c r="I10" s="573"/>
      <c r="J10" s="574"/>
      <c r="K10" s="575" t="s">
        <v>739</v>
      </c>
      <c r="L10" s="576"/>
      <c r="M10" s="577"/>
      <c r="P10" s="63"/>
      <c r="Q10" s="63"/>
    </row>
    <row r="11" spans="2:17" ht="17.25" customHeight="1">
      <c r="B11" s="578" t="s">
        <v>740</v>
      </c>
      <c r="C11" s="579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80"/>
      <c r="C12" s="581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582" t="s">
        <v>741</v>
      </c>
      <c r="C13" s="70" t="s">
        <v>742</v>
      </c>
      <c r="D13" s="71">
        <f>SUMIFS('0807 4度C'!$K:$K,'0807 4度C'!$A:$A,"新豐6線",'0807 4度C'!$B:$B,"平均")</f>
        <v>130.43478260869566</v>
      </c>
      <c r="E13" s="72">
        <f>SUMIFS('0807 4度C'!$K:$K,'0807 4度C'!$A:$A,"新豐2線",'0807 4度C'!$B:$B,"平均")</f>
        <v>85.714285714285708</v>
      </c>
      <c r="F13" s="73">
        <f>SUMIFS('0807 4度C'!$K:$K,'0807 4度C'!$A:$A,"新豐5線",'0807 4度C'!$B:$B,"平均")</f>
        <v>98.591549295774641</v>
      </c>
      <c r="G13" s="73">
        <f>SUMIFS('0807 4度C'!$K:$K,'0807 4度C'!$A:$A,"新豐7線",'0807 4度C'!$B:$B,"平均")</f>
        <v>127.65957446808511</v>
      </c>
      <c r="H13" s="73">
        <f>SUMIFS('0807 4度C'!$K:$K,'0807 4度C'!$A:$A,"新豐3線",'0807 4度C'!$B:$B,"平均")</f>
        <v>324.32432432432432</v>
      </c>
      <c r="I13" s="73">
        <f>SUMIFS('0807 4度C'!$K:$K,'0807 4度C'!$A:$A,"新豐1線",'0807 4度C'!$B:$B,"平均")</f>
        <v>112</v>
      </c>
      <c r="J13" s="74">
        <f>SUMIFS('0807 4度C'!$K:$K,'0807 4度C'!$A:$A,"新豐10線",'0807 4度C'!$B:$B,"平均")</f>
        <v>292.6829268292683</v>
      </c>
      <c r="K13" s="75">
        <f>SUMIFS('0807 4度C'!$K:$K,'0807 4度C'!$A:$A,"新豐8線",'0807 4度C'!$B:$B,"平均")</f>
        <v>141.1764705882353</v>
      </c>
      <c r="L13" s="76">
        <f>SUMIFS('0807 4度C'!$K:$K,'0807 4度C'!$A:$A,"新豐9線",'0807 4度C'!$B:$B,"平均")</f>
        <v>127.10280373831776</v>
      </c>
      <c r="M13" s="74">
        <f>SUMIFS('0807 4度C'!$K:$K,'0807 4度C'!$A:$A,"新豐4線",'0807 4度C'!$B:$B,"平均")</f>
        <v>144</v>
      </c>
    </row>
    <row r="14" spans="2:17" ht="39.6" customHeight="1">
      <c r="B14" s="583"/>
      <c r="C14" s="77" t="s">
        <v>743</v>
      </c>
      <c r="D14" s="78">
        <f>SUMIFS('0807 4度C'!$N:$N,'0807 4度C'!$A:$A,"新豐6線",'0807 4度C'!$B:$B,"平均")</f>
        <v>124.92297876219129</v>
      </c>
      <c r="E14" s="79">
        <f>SUMIFS('0807 4度C'!$N:$N,'0807 4度C'!$A:$A,"新豐2線",'0807 4度C'!$B:$B,"平均")</f>
        <v>81.9335520962115</v>
      </c>
      <c r="F14" s="79">
        <f>SUMIFS('0807 4度C'!$N:$N,'0807 4度C'!$A:$A,"新豐5線",'0807 4度C'!$B:$B,"平均")</f>
        <v>94.772800922605853</v>
      </c>
      <c r="G14" s="79">
        <f>SUMIFS('0807 4度C'!$N:$N,'0807 4度C'!$A:$A,"新豐7線",'0807 4度C'!$B:$B,"平均")</f>
        <v>122.94092009197793</v>
      </c>
      <c r="H14" s="79">
        <f>SUMIFS('0807 4度C'!$N:$N,'0807 4度C'!$A:$A,"新豐3線",'0807 4度C'!$B:$B,"平均")</f>
        <v>307.03675577186112</v>
      </c>
      <c r="I14" s="79">
        <f>SUMIFS('0807 4度C'!$N:$N,'0807 4度C'!$A:$A,"新豐1線",'0807 4度C'!$B:$B,"平均")</f>
        <v>107.23098136950767</v>
      </c>
      <c r="J14" s="80">
        <f>SUMIFS('0807 4度C'!$N:$N,'0807 4度C'!$A:$A,"新豐10線",'0807 4度C'!$B:$B,"平均")</f>
        <v>282.84972393381565</v>
      </c>
      <c r="K14" s="81">
        <f>SUMIFS('0807 4度C'!$N:$N,'0807 4度C'!$A:$A,"新豐8線",'0807 4度C'!$B:$B,"平均")</f>
        <v>135.31673026752597</v>
      </c>
      <c r="L14" s="82">
        <f>SUMIFS('0807 4度C'!$N:$N,'0807 4度C'!$A:$A,"新豐9線",'0807 4度C'!$B:$B,"平均")</f>
        <v>121.59338875971366</v>
      </c>
      <c r="M14" s="80">
        <f>SUMIFS('0807 4度C'!$N:$N,'0807 4度C'!$A:$A,"新豐4線",'0807 4度C'!$B:$B,"平均")</f>
        <v>137.9006030707863</v>
      </c>
    </row>
    <row r="15" spans="2:17" ht="40.15" customHeight="1">
      <c r="B15" s="584"/>
      <c r="C15" s="83" t="s">
        <v>744</v>
      </c>
      <c r="D15" s="84">
        <f t="shared" ref="D15:M15" si="0">D14/D13</f>
        <v>0.95774283717679987</v>
      </c>
      <c r="E15" s="85">
        <f t="shared" si="0"/>
        <v>0.9558914411224676</v>
      </c>
      <c r="F15" s="85">
        <f t="shared" si="0"/>
        <v>0.96126698078643091</v>
      </c>
      <c r="G15" s="85">
        <f t="shared" si="0"/>
        <v>0.96303720738716037</v>
      </c>
      <c r="H15" s="85">
        <f t="shared" si="0"/>
        <v>0.94669666362990512</v>
      </c>
      <c r="I15" s="85">
        <f t="shared" si="0"/>
        <v>0.95741947651346138</v>
      </c>
      <c r="J15" s="86">
        <f t="shared" si="0"/>
        <v>0.96640322344053675</v>
      </c>
      <c r="K15" s="84">
        <f t="shared" si="0"/>
        <v>0.95849350606164219</v>
      </c>
      <c r="L15" s="85">
        <f t="shared" si="0"/>
        <v>0.95665386744774716</v>
      </c>
      <c r="M15" s="86">
        <f t="shared" si="0"/>
        <v>0.95764307688046046</v>
      </c>
    </row>
    <row r="16" spans="2:17" ht="17.25" customHeight="1">
      <c r="B16" s="585" t="s">
        <v>745</v>
      </c>
      <c r="C16" s="87" t="s">
        <v>746</v>
      </c>
      <c r="D16" s="88">
        <f>VLOOKUP("新豐6線",'0807 4度C'!$A:$T,19,0)</f>
        <v>0.70833333333333337</v>
      </c>
      <c r="E16" s="89">
        <f>VLOOKUP("新豐2線",'0807 4度C'!$A:$T,19,0)</f>
        <v>8.3333333333333329E-2</v>
      </c>
      <c r="F16" s="89">
        <f>VLOOKUP("新豐5線",'0807 4度C'!$A:$T,19,0)</f>
        <v>0.20833333333333334</v>
      </c>
      <c r="G16" s="89">
        <f>VLOOKUP("新豐7線",'0807 4度C'!$A:$T,19,0)</f>
        <v>0.20833333333333334</v>
      </c>
      <c r="H16" s="89">
        <f>VLOOKUP("新豐3線",'0807 4度C'!$A:$T,19,0)</f>
        <v>0.20833333333333334</v>
      </c>
      <c r="I16" s="89">
        <f>VLOOKUP("新豐1線",'0807 4度C'!$A:$T,19,0)</f>
        <v>0.20833333333333334</v>
      </c>
      <c r="J16" s="90">
        <f>VLOOKUP("新豐10線",'0807 4度C'!$A:$T,19,0)</f>
        <v>0.20833333333333334</v>
      </c>
      <c r="K16" s="91">
        <f>VLOOKUP("新豐8線",'0807 4度C'!$A:$T,19,0)</f>
        <v>8.3333333333333329E-2</v>
      </c>
      <c r="L16" s="92">
        <f>VLOOKUP("新豐9線",'0807 4度C'!$A:$T,19,0)</f>
        <v>8.3333333333333329E-2</v>
      </c>
      <c r="M16" s="93">
        <f>VLOOKUP("新豐4線",'0807 4度C'!$A:$T,19,0)</f>
        <v>8.3333333333333329E-2</v>
      </c>
    </row>
    <row r="17" spans="2:13" ht="17.25" customHeight="1">
      <c r="B17" s="586"/>
      <c r="C17" s="87" t="s">
        <v>747</v>
      </c>
      <c r="D17" s="91">
        <f>LOOKUP(2,1/(('0807 4度C'!$A:$A="新豐6線")*('0807 4度C'!$T:$T&lt;&gt;"")),'0807 4度C'!$T:$T)</f>
        <v>0.82430555555555551</v>
      </c>
      <c r="E17" s="89">
        <f>LOOKUP(2,1/(('0807 4度C'!$A:$A="新豐2線")*('0807 4度C'!$T:$T&lt;&gt;"")),'0807 4度C'!$T:$T)</f>
        <v>0.50138888888888888</v>
      </c>
      <c r="F17" s="89">
        <f>LOOKUP(2,1/(('0807 4度C'!$A:$A="新豐5線")*('0807 4度C'!$T:$T&lt;&gt;"")),'0807 4度C'!$T:$T)</f>
        <v>0.82777777777777783</v>
      </c>
      <c r="G17" s="89">
        <f>LOOKUP(2,1/(('0807 4度C'!$A:$A="新豐7線")*('0807 4度C'!$T:$T&lt;&gt;"")),'0807 4度C'!$T:$T)</f>
        <v>0.84027777777777779</v>
      </c>
      <c r="H17" s="89">
        <f>LOOKUP(2,1/(('0807 4度C'!$A:$A="新豐3線")*('0807 4度C'!$T:$T&lt;&gt;"")),'0807 4度C'!$T:$T)</f>
        <v>0.3666666666666667</v>
      </c>
      <c r="I17" s="89">
        <f>LOOKUP(2,1/(('0807 4度C'!$A:$A="新豐1線")*('0807 4度C'!$T:$T&lt;&gt;"")),'0807 4度C'!$T:$T)</f>
        <v>0.80763888888888891</v>
      </c>
      <c r="J17" s="90">
        <f>LOOKUP(2,1/(('0807 4度C'!$A:$A="新豐10線")*('0807 4度C'!$T:$T&lt;&gt;"")),'0807 4度C'!$T:$T)</f>
        <v>0.36319444444444438</v>
      </c>
      <c r="K17" s="88">
        <f>LOOKUP(2,1/(('0807 4度C'!$A:$A="新豐8線")*('0807 4度C'!$T:$T&lt;&gt;"")),'0807 4度C'!$T:$T)</f>
        <v>0.49861111111111112</v>
      </c>
      <c r="L17" s="89">
        <f>LOOKUP(2,1/(('0807 4度C'!$A:$A="新豐9線")*('0807 4度C'!$T:$T&lt;&gt;"")),'0807 4度C'!$T:$T)</f>
        <v>0.58055555555555549</v>
      </c>
      <c r="M17" s="90">
        <f>LOOKUP(2,1/(('0807 4度C'!$A:$A="新豐4線")*('0807 4度C'!$T:$T&lt;&gt;"")),'0807 4度C'!$T:$T)</f>
        <v>0.51249999999999996</v>
      </c>
    </row>
    <row r="18" spans="2:13" ht="17.25" customHeight="1">
      <c r="B18" s="564" t="s">
        <v>748</v>
      </c>
      <c r="C18" s="94" t="s">
        <v>749</v>
      </c>
      <c r="D18" s="95">
        <f>SUMIFS('0807 4度C'!$Y:$Y,'0807 4度C'!$A:$A,"新豐6線",'0807 4度C'!$B:$B,"平均")</f>
        <v>0</v>
      </c>
      <c r="E18" s="96">
        <f>SUMIFS('0807 4度C'!$Y:$Y,'0807 4度C'!$A:$A,"新豐2線",'0807 4度C'!$B:$B,"平均")</f>
        <v>0</v>
      </c>
      <c r="F18" s="96">
        <f>SUMIFS('0807 4度C'!$Y:$Y,'0807 4度C'!$A:$A,"新豐5線",'0807 4度C'!$B:$B,"平均")</f>
        <v>0</v>
      </c>
      <c r="G18" s="96">
        <f>SUMIFS('0807 4度C'!$Y:$Y,'0807 4度C'!$A:$A,"新豐7線",'0807 4度C'!$B:$B,"平均")</f>
        <v>0</v>
      </c>
      <c r="H18" s="96">
        <f>SUMIFS('0807 4度C'!$Y:$Y,'0807 4度C'!$A:$A,"新豐3線",'0807 4度C'!$B:$B,"平均")</f>
        <v>0</v>
      </c>
      <c r="I18" s="96">
        <f>SUMIFS('0807 4度C'!$Y:$Y,'0807 4度C'!$A:$A,"新豐1線",'0807 4度C'!$B:$B,"平均")</f>
        <v>0</v>
      </c>
      <c r="J18" s="97">
        <f>SUMIFS('0807 4度C'!$Y:$Y,'0807 4度C'!$A:$A,"新豐10線",'0807 4度C'!$B:$B,"平均")</f>
        <v>0</v>
      </c>
      <c r="K18" s="98">
        <f>SUMIFS('0807 4度C'!$Y:$Y,'0807 4度C'!$A:$A,"新豐8線",'0807 4度C'!$B:$B,"平均")</f>
        <v>0</v>
      </c>
      <c r="L18" s="96">
        <f>SUMIFS('0807 4度C'!$Y:$Y,'0807 4度C'!$A:$A,"新豐9線",'0807 4度C'!$B:$B,"平均")</f>
        <v>0</v>
      </c>
      <c r="M18" s="97">
        <f>SUMIFS('0807 4度C'!$Y:$Y,'0807 4度C'!$A:$A,"新豐4線",'0807 4度C'!$B:$B,"平均")</f>
        <v>0</v>
      </c>
    </row>
    <row r="19" spans="2:13" ht="17.25" customHeight="1">
      <c r="B19" s="565"/>
      <c r="C19" s="94" t="s">
        <v>750</v>
      </c>
      <c r="D19" s="95">
        <f>SUMIFS('0807 4度C'!$Z:$Z,'0807 4度C'!$A:$A,"新豐6線",'0807 4度C'!$B:$B,"平均")</f>
        <v>0</v>
      </c>
      <c r="E19" s="96">
        <f>SUMIFS('0807 4度C'!$Z:$Z,'0807 4度C'!$A:$A,"新豐2線",'0807 4度C'!$B:$B,"平均")</f>
        <v>0</v>
      </c>
      <c r="F19" s="96">
        <f>SUMIFS('0807 4度C'!$Z:$Z,'0807 4度C'!$A:$A,"新豐5線",'0807 4度C'!$B:$B,"平均")</f>
        <v>0</v>
      </c>
      <c r="G19" s="96">
        <f>SUMIFS('0807 4度C'!$Z:$Z,'0807 4度C'!$A:$A,"新豐7線",'0807 4度C'!$B:$B,"平均")</f>
        <v>0</v>
      </c>
      <c r="H19" s="96">
        <f>SUMIFS('0807 4度C'!$Z:$Z,'0807 4度C'!$A:$A,"新豐3線",'0807 4度C'!$B:$B,"平均")</f>
        <v>0</v>
      </c>
      <c r="I19" s="96">
        <f>SUMIFS('0807 4度C'!$Z:$Z,'0807 4度C'!$A:$A,"新豐1線",'0807 4度C'!$B:$B,"平均")</f>
        <v>0</v>
      </c>
      <c r="J19" s="97">
        <f>SUMIFS('0807 4度C'!$Z:$Z,'0807 4度C'!$A:$A,"新豐10線",'0807 4度C'!$B:$B,"平均")</f>
        <v>0</v>
      </c>
      <c r="K19" s="98">
        <f>SUMIFS('0807 4度C'!$Z:$Z,'0807 4度C'!$A:$A,"新豐8線",'0807 4度C'!$B:$B,"平均")</f>
        <v>0</v>
      </c>
      <c r="L19" s="96">
        <f>SUMIFS('0807 4度C'!$Z:$Z,'0807 4度C'!$A:$A,"新豐9線",'0807 4度C'!$B:$B,"平均")</f>
        <v>0</v>
      </c>
      <c r="M19" s="97">
        <f>SUMIFS('0807 4度C'!$Z:$Z,'0807 4度C'!$A:$A,"新豐4線",'0807 4度C'!$B:$B,"平均")</f>
        <v>0</v>
      </c>
    </row>
    <row r="20" spans="2:13" ht="17.25" customHeight="1">
      <c r="B20" s="564" t="s">
        <v>751</v>
      </c>
      <c r="C20" s="94" t="s">
        <v>749</v>
      </c>
      <c r="D20" s="95">
        <f>SUMIFS('0807 4度C'!$AC:$AC,'0807 4度C'!$A:$A,"新豐6線",'0807 4度C'!$B:$B,"平均")</f>
        <v>3</v>
      </c>
      <c r="E20" s="96">
        <f>SUMIFS('0807 4度C'!$AC:$AC,'0807 4度C'!$A:$A,"新豐2線",'0807 4度C'!$B:$B,"平均")</f>
        <v>4</v>
      </c>
      <c r="F20" s="96">
        <f>SUMIFS('0807 4度C'!$AC:$AC,'0807 4度C'!$A:$A,"新豐5線",'0807 4度C'!$B:$B,"平均")</f>
        <v>8</v>
      </c>
      <c r="G20" s="96">
        <f>SUMIFS('0807 4度C'!$AC:$AC,'0807 4度C'!$A:$A,"新豐7線",'0807 4度C'!$B:$B,"平均")</f>
        <v>6</v>
      </c>
      <c r="H20" s="96">
        <f>SUMIFS('0807 4度C'!$AC:$AC,'0807 4度C'!$A:$A,"新豐3線",'0807 4度C'!$B:$B,"平均")</f>
        <v>4</v>
      </c>
      <c r="I20" s="96">
        <f>SUMIFS('0807 4度C'!$AC:$AC,'0807 4度C'!$A:$A,"新豐1線",'0807 4度C'!$B:$B,"平均")</f>
        <v>7</v>
      </c>
      <c r="J20" s="97">
        <f>SUMIFS('0807 4度C'!$AC:$AC,'0807 4度C'!$A:$A,"新豐10線",'0807 4度C'!$B:$B,"平均")</f>
        <v>4</v>
      </c>
      <c r="K20" s="98">
        <f>SUMIFS('0807 4度C'!$AC:$AC,'0807 4度C'!$A:$A,"新豐8線",'0807 4度C'!$B:$B,"平均")</f>
        <v>5</v>
      </c>
      <c r="L20" s="96">
        <f>SUMIFS('0807 4度C'!$AC:$AC,'0807 4度C'!$A:$A,"新豐9線",'0807 4度C'!$B:$B,"平均")</f>
        <v>6</v>
      </c>
      <c r="M20" s="97">
        <f>SUMIFS('0807 4度C'!$AC:$AC,'0807 4度C'!$A:$A,"新豐4線",'0807 4度C'!$B:$B,"平均")</f>
        <v>6</v>
      </c>
    </row>
    <row r="21" spans="2:13" ht="17.25" customHeight="1">
      <c r="B21" s="565"/>
      <c r="C21" s="94" t="s">
        <v>752</v>
      </c>
      <c r="D21" s="95">
        <f>SUMIFS('0807 4度C'!$AD:$AD,'0807 4度C'!$A:$A,"新豐6線",'0807 4度C'!$B:$B,"平均")</f>
        <v>0</v>
      </c>
      <c r="E21" s="96">
        <f>SUMIFS('0807 4度C'!$AD:$AD,'0807 4度C'!$A:$A,"新豐2線",'0807 4度C'!$B:$B,"平均")</f>
        <v>0</v>
      </c>
      <c r="F21" s="96">
        <f>SUMIFS('0807 4度C'!$AD:$AD,'0807 4度C'!$A:$A,"新豐5線",'0807 4度C'!$B:$B,"平均")</f>
        <v>0</v>
      </c>
      <c r="G21" s="96">
        <f>SUMIFS('0807 4度C'!$AD:$AD,'0807 4度C'!$A:$A,"新豐7線",'0807 4度C'!$B:$B,"平均")</f>
        <v>0</v>
      </c>
      <c r="H21" s="96">
        <f>SUMIFS('0807 4度C'!$AD:$AD,'0807 4度C'!$A:$A,"新豐3線",'0807 4度C'!$B:$B,"平均")</f>
        <v>0</v>
      </c>
      <c r="I21" s="96">
        <f>SUMIFS('0807 4度C'!$AD:$AD,'0807 4度C'!$A:$A,"新豐1線",'0807 4度C'!$B:$B,"平均")</f>
        <v>0</v>
      </c>
      <c r="J21" s="97">
        <f>SUMIFS('0807 4度C'!$AD:$AD,'0807 4度C'!$A:$A,"新豐10線",'0807 4度C'!$B:$B,"平均")</f>
        <v>0</v>
      </c>
      <c r="K21" s="98">
        <f>SUMIFS('0807 4度C'!$AD:$AD,'0807 4度C'!$A:$A,"新豐8線",'0807 4度C'!$B:$B,"平均")</f>
        <v>0</v>
      </c>
      <c r="L21" s="96">
        <f>SUMIFS('0807 4度C'!$AD:$AD,'0807 4度C'!$A:$A,"新豐9線",'0807 4度C'!$B:$B,"平均")</f>
        <v>0</v>
      </c>
      <c r="M21" s="97">
        <f>SUMIFS('0807 4度C'!$AD:$AD,'0807 4度C'!$A:$A,"新豐4線",'0807 4度C'!$B:$B,"平均")</f>
        <v>0</v>
      </c>
    </row>
    <row r="22" spans="2:13" ht="17.25" customHeight="1">
      <c r="B22" s="566" t="s">
        <v>753</v>
      </c>
      <c r="C22" s="567"/>
      <c r="D22" s="99">
        <f>SUMIFS('0807 4度C'!$I:$I,'0807 4度C'!$A:$A,"新豐6線",'0807 4度C'!$B:$B,"平均")</f>
        <v>15.333333333333334</v>
      </c>
      <c r="E22" s="100">
        <f>SUMIFS('0807 4度C'!$I:$I,'0807 4度C'!$A:$A,"新豐2線",'0807 4度C'!$B:$B,"平均")</f>
        <v>17.5</v>
      </c>
      <c r="F22" s="100">
        <f>SUMIFS('0807 4度C'!$I:$I,'0807 4度C'!$A:$A,"新豐5線",'0807 4度C'!$B:$B,"平均")</f>
        <v>17.75</v>
      </c>
      <c r="G22" s="100">
        <f>SUMIFS('0807 4度C'!$I:$I,'0807 4度C'!$A:$A,"新豐7線",'0807 4度C'!$B:$B,"平均")</f>
        <v>15.666666666666666</v>
      </c>
      <c r="H22" s="100">
        <f>SUMIFS('0807 4度C'!$I:$I,'0807 4度C'!$A:$A,"新豐3線",'0807 4度C'!$B:$B,"平均")</f>
        <v>9.25</v>
      </c>
      <c r="I22" s="100">
        <f>SUMIFS('0807 4度C'!$I:$I,'0807 4度C'!$A:$A,"新豐1線",'0807 4度C'!$B:$B,"平均")</f>
        <v>17.857142857142858</v>
      </c>
      <c r="J22" s="101">
        <f>SUMIFS('0807 4度C'!$I:$I,'0807 4度C'!$A:$A,"新豐10線",'0807 4度C'!$B:$B,"平均")</f>
        <v>10.25</v>
      </c>
      <c r="K22" s="99">
        <f>SUMIFS('0807 4度C'!$I:$I,'0807 4度C'!$A:$A,"新豐8線",'0807 4度C'!$B:$B,"平均")</f>
        <v>17</v>
      </c>
      <c r="L22" s="100">
        <f>SUMIFS('0807 4度C'!$I:$I,'0807 4度C'!$A:$A,"新豐9線",'0807 4度C'!$B:$B,"平均")</f>
        <v>17.833333333333332</v>
      </c>
      <c r="M22" s="101">
        <f>SUMIFS('0807 4度C'!$I:$I,'0807 4度C'!$A:$A,"新豐4線",'0807 4度C'!$B:$B,"平均")</f>
        <v>16.666666666666668</v>
      </c>
    </row>
    <row r="23" spans="2:13" ht="17.25" customHeight="1">
      <c r="B23" s="566" t="s">
        <v>754</v>
      </c>
      <c r="C23" s="567"/>
      <c r="D23" s="102" t="s">
        <v>202</v>
      </c>
      <c r="E23" s="103" t="s">
        <v>203</v>
      </c>
      <c r="F23" s="103" t="s">
        <v>755</v>
      </c>
      <c r="G23" s="103" t="s">
        <v>755</v>
      </c>
      <c r="H23" s="103" t="s">
        <v>205</v>
      </c>
      <c r="I23" s="103" t="s">
        <v>202</v>
      </c>
      <c r="J23" s="104" t="s">
        <v>205</v>
      </c>
      <c r="K23" s="102" t="s">
        <v>756</v>
      </c>
      <c r="L23" s="103" t="s">
        <v>757</v>
      </c>
      <c r="M23" s="104" t="s">
        <v>756</v>
      </c>
    </row>
    <row r="24" spans="2:13" ht="17.25" customHeight="1">
      <c r="B24" s="566" t="s">
        <v>758</v>
      </c>
      <c r="C24" s="567"/>
      <c r="D24" s="102"/>
      <c r="E24" s="103"/>
      <c r="F24" s="103" t="s">
        <v>759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68" t="s">
        <v>760</v>
      </c>
      <c r="C25" s="569"/>
      <c r="D25" s="105"/>
      <c r="E25" s="106" t="s">
        <v>761</v>
      </c>
      <c r="F25" s="562" t="s">
        <v>762</v>
      </c>
      <c r="G25" s="563"/>
      <c r="H25" s="106" t="s">
        <v>763</v>
      </c>
      <c r="I25" s="106" t="s">
        <v>764</v>
      </c>
      <c r="J25" s="107" t="s">
        <v>765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62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68"/>
  <sheetViews>
    <sheetView zoomScale="80" zoomScaleNormal="80" workbookViewId="0">
      <pane ySplit="4" topLeftCell="A38" activePane="bottomLeft" state="frozen"/>
      <selection activeCell="J38" sqref="J38"/>
      <selection pane="bottomLeft" activeCell="G11" sqref="G11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41" customWidth="1"/>
    <col min="20" max="20" width="7.625" style="41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29" width="15.125" style="41" customWidth="1"/>
    <col min="30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766</v>
      </c>
      <c r="B1" s="1"/>
      <c r="C1" s="2" t="s">
        <v>767</v>
      </c>
      <c r="D1" s="3">
        <f>SUM(F5:F67)</f>
        <v>142175</v>
      </c>
      <c r="E1" s="191" t="s">
        <v>768</v>
      </c>
      <c r="F1" s="1">
        <f>SUM(G5:G67)</f>
        <v>4983901.8599999994</v>
      </c>
      <c r="G1" s="1" t="s">
        <v>769</v>
      </c>
      <c r="H1" s="5">
        <f>L8+L13+L47+L55+L22+L60+L35+L42+L29+L67</f>
        <v>155.10714285714283</v>
      </c>
      <c r="I1" s="676" t="s">
        <v>770</v>
      </c>
      <c r="J1" s="676"/>
      <c r="K1" s="676"/>
      <c r="L1" s="676" t="s">
        <v>771</v>
      </c>
      <c r="M1" s="676"/>
      <c r="N1" s="676"/>
      <c r="O1" s="676" t="s">
        <v>772</v>
      </c>
      <c r="P1" s="676"/>
      <c r="Q1" s="676"/>
      <c r="R1" s="676"/>
      <c r="S1" s="676" t="s">
        <v>773</v>
      </c>
      <c r="T1" s="676"/>
      <c r="U1" s="676"/>
      <c r="V1" s="676"/>
      <c r="W1" s="676"/>
      <c r="X1" s="676"/>
      <c r="Y1" s="6" t="s">
        <v>774</v>
      </c>
      <c r="Z1" s="7" t="s">
        <v>775</v>
      </c>
      <c r="AA1" s="677" t="s">
        <v>776</v>
      </c>
      <c r="AB1" s="677"/>
      <c r="AC1" s="199" t="s">
        <v>777</v>
      </c>
      <c r="AD1" s="7" t="s">
        <v>778</v>
      </c>
      <c r="AE1" s="676" t="s">
        <v>779</v>
      </c>
      <c r="AF1" s="678"/>
      <c r="AG1" s="678"/>
    </row>
    <row r="2" spans="1:33" ht="26.25" customHeight="1">
      <c r="A2" s="35">
        <v>46241</v>
      </c>
      <c r="B2" s="36" t="s">
        <v>780</v>
      </c>
      <c r="C2" s="2" t="s">
        <v>781</v>
      </c>
      <c r="D2" s="10">
        <f>AVERAGE(N8,N13,N47,N55,N22,N60,N29,N35,N42,N67)</f>
        <v>151.6498435046197</v>
      </c>
      <c r="E2" s="11" t="s">
        <v>14</v>
      </c>
      <c r="F2" s="12">
        <f>F1/D1</f>
        <v>35.054699208721644</v>
      </c>
      <c r="G2" s="1" t="s">
        <v>782</v>
      </c>
      <c r="H2" s="196">
        <f>COUNT(H5:H67)</f>
        <v>1</v>
      </c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14">
        <f>SUM(Y8+Y13+Y22+Y29+Y35+Y42+Y47+Y55+Y60+Y67)</f>
        <v>0</v>
      </c>
      <c r="Z2" s="14">
        <f>SUM(Z8+Z13+Z22+Z29+Z35+Z42+Z47+Z55+Z60+Z67)</f>
        <v>0</v>
      </c>
      <c r="AA2" s="677"/>
      <c r="AB2" s="677"/>
      <c r="AC2" s="200">
        <v>53</v>
      </c>
      <c r="AD2" s="14">
        <f>SUM(AD8+AD13+AD22+AD29+AD35+AD42+AD47+AD55+AD60+AD67)</f>
        <v>0</v>
      </c>
      <c r="AE2" s="678"/>
      <c r="AF2" s="678"/>
      <c r="AG2" s="678"/>
    </row>
    <row r="3" spans="1:33" ht="40.5" customHeight="1">
      <c r="A3" s="632" t="s">
        <v>783</v>
      </c>
      <c r="B3" s="632" t="s">
        <v>784</v>
      </c>
      <c r="C3" s="632" t="s">
        <v>785</v>
      </c>
      <c r="D3" s="632"/>
      <c r="E3" s="674" t="s">
        <v>786</v>
      </c>
      <c r="F3" s="632" t="s">
        <v>787</v>
      </c>
      <c r="G3" s="674" t="s">
        <v>788</v>
      </c>
      <c r="H3" s="667" t="s">
        <v>789</v>
      </c>
      <c r="I3" s="665" t="s">
        <v>790</v>
      </c>
      <c r="J3" s="662" t="s">
        <v>791</v>
      </c>
      <c r="K3" s="672" t="s">
        <v>741</v>
      </c>
      <c r="L3" s="665" t="s">
        <v>792</v>
      </c>
      <c r="M3" s="662" t="s">
        <v>793</v>
      </c>
      <c r="N3" s="672" t="s">
        <v>741</v>
      </c>
      <c r="O3" s="665" t="s">
        <v>790</v>
      </c>
      <c r="P3" s="672" t="s">
        <v>781</v>
      </c>
      <c r="Q3" s="663" t="s">
        <v>794</v>
      </c>
      <c r="R3" s="641" t="s">
        <v>795</v>
      </c>
      <c r="S3" s="673" t="s">
        <v>29</v>
      </c>
      <c r="T3" s="673"/>
      <c r="U3" s="667" t="s">
        <v>30</v>
      </c>
      <c r="V3" s="667" t="s">
        <v>796</v>
      </c>
      <c r="W3" s="632" t="s">
        <v>797</v>
      </c>
      <c r="X3" s="632"/>
      <c r="Y3" s="668" t="s">
        <v>798</v>
      </c>
      <c r="Z3" s="631"/>
      <c r="AA3" s="669" t="s">
        <v>799</v>
      </c>
      <c r="AB3" s="670"/>
      <c r="AC3" s="668" t="s">
        <v>800</v>
      </c>
      <c r="AD3" s="631"/>
      <c r="AE3" s="662" t="s">
        <v>793</v>
      </c>
      <c r="AF3" s="663" t="s">
        <v>801</v>
      </c>
      <c r="AG3" s="641" t="s">
        <v>802</v>
      </c>
    </row>
    <row r="4" spans="1:33" ht="15.75" customHeight="1">
      <c r="A4" s="632"/>
      <c r="B4" s="632"/>
      <c r="C4" s="632"/>
      <c r="D4" s="632"/>
      <c r="E4" s="675"/>
      <c r="F4" s="632"/>
      <c r="G4" s="675"/>
      <c r="H4" s="667"/>
      <c r="I4" s="665"/>
      <c r="J4" s="662"/>
      <c r="K4" s="672"/>
      <c r="L4" s="665"/>
      <c r="M4" s="662"/>
      <c r="N4" s="672"/>
      <c r="O4" s="665"/>
      <c r="P4" s="672"/>
      <c r="Q4" s="663"/>
      <c r="R4" s="641"/>
      <c r="S4" s="195" t="s">
        <v>39</v>
      </c>
      <c r="T4" s="195" t="s">
        <v>40</v>
      </c>
      <c r="U4" s="667"/>
      <c r="V4" s="667"/>
      <c r="W4" s="191" t="s">
        <v>803</v>
      </c>
      <c r="X4" s="191" t="s">
        <v>804</v>
      </c>
      <c r="Y4" s="189" t="s">
        <v>805</v>
      </c>
      <c r="Z4" s="189" t="s">
        <v>806</v>
      </c>
      <c r="AA4" s="671"/>
      <c r="AB4" s="670"/>
      <c r="AC4" s="189" t="s">
        <v>807</v>
      </c>
      <c r="AD4" s="189" t="s">
        <v>808</v>
      </c>
      <c r="AE4" s="662"/>
      <c r="AF4" s="663"/>
      <c r="AG4" s="641"/>
    </row>
    <row r="5" spans="1:33">
      <c r="A5" s="664" t="s">
        <v>809</v>
      </c>
      <c r="B5" s="42" t="s">
        <v>92</v>
      </c>
      <c r="C5" s="666" t="s">
        <v>93</v>
      </c>
      <c r="D5" s="666"/>
      <c r="E5" s="42">
        <v>50.92</v>
      </c>
      <c r="F5" s="195">
        <v>1717</v>
      </c>
      <c r="G5" s="191">
        <f t="shared" ref="G5:G7" si="0">E5*F5</f>
        <v>87429.64</v>
      </c>
      <c r="H5" s="37" t="s">
        <v>91</v>
      </c>
      <c r="I5" s="193">
        <v>15</v>
      </c>
      <c r="J5" s="39">
        <v>2000</v>
      </c>
      <c r="K5" s="17">
        <f t="shared" ref="K5:K67" si="1">J5/I5</f>
        <v>133.33333333333334</v>
      </c>
      <c r="L5" s="193">
        <v>15</v>
      </c>
      <c r="M5" s="18">
        <f t="shared" ref="M5:M7" si="2">F5/V5*60</f>
        <v>1907.7777777777787</v>
      </c>
      <c r="N5" s="17">
        <f t="shared" ref="N5:N67" si="3">M5/L5</f>
        <v>127.18518518518525</v>
      </c>
      <c r="O5" s="19">
        <f t="shared" ref="O5:O67" si="4">L5-I5</f>
        <v>0</v>
      </c>
      <c r="P5" s="20">
        <f t="shared" ref="P5:P67" si="5">N5-K5</f>
        <v>-6.1481481481480955</v>
      </c>
      <c r="Q5" s="190">
        <f t="shared" ref="Q5:Q67" si="6">N5/K5</f>
        <v>0.95388888888888934</v>
      </c>
      <c r="R5" s="637">
        <f>Q8</f>
        <v>0.95774283717679987</v>
      </c>
      <c r="S5" s="40">
        <v>0.70833333333333337</v>
      </c>
      <c r="T5" s="40">
        <v>0.74583333333333335</v>
      </c>
      <c r="U5" s="191"/>
      <c r="V5" s="194">
        <f t="shared" ref="V5:V7" si="7">(T5-S5)*24*60</f>
        <v>53.999999999999972</v>
      </c>
      <c r="W5" s="23"/>
      <c r="X5" s="23"/>
      <c r="Y5" s="24"/>
      <c r="Z5" s="24"/>
      <c r="AA5" s="632"/>
      <c r="AB5" s="632"/>
      <c r="AC5" s="135">
        <v>3</v>
      </c>
      <c r="AD5" s="25"/>
      <c r="AE5" s="19">
        <f t="shared" ref="AE5:AE54" si="8">M5-J5</f>
        <v>-92.222222222221262</v>
      </c>
      <c r="AF5" s="190">
        <f t="shared" ref="AF5:AF67" si="9">M5/J5</f>
        <v>0.95388888888888934</v>
      </c>
      <c r="AG5" s="637">
        <f>AF8</f>
        <v>0.95774283717679998</v>
      </c>
    </row>
    <row r="6" spans="1:33">
      <c r="A6" s="665" t="s">
        <v>809</v>
      </c>
      <c r="B6" s="42" t="s">
        <v>92</v>
      </c>
      <c r="C6" s="666" t="s">
        <v>94</v>
      </c>
      <c r="D6" s="666"/>
      <c r="E6" s="42">
        <v>50.98</v>
      </c>
      <c r="F6" s="195">
        <v>1686</v>
      </c>
      <c r="G6" s="191">
        <f t="shared" si="0"/>
        <v>85952.28</v>
      </c>
      <c r="H6" s="37" t="s">
        <v>91</v>
      </c>
      <c r="I6" s="193">
        <v>16</v>
      </c>
      <c r="J6" s="39">
        <v>2000</v>
      </c>
      <c r="K6" s="17">
        <f t="shared" si="1"/>
        <v>125</v>
      </c>
      <c r="L6" s="193">
        <v>16</v>
      </c>
      <c r="M6" s="18">
        <f t="shared" si="2"/>
        <v>1908.67924528302</v>
      </c>
      <c r="N6" s="17">
        <f t="shared" si="3"/>
        <v>119.29245283018875</v>
      </c>
      <c r="O6" s="19">
        <f t="shared" si="4"/>
        <v>0</v>
      </c>
      <c r="P6" s="20">
        <f t="shared" si="5"/>
        <v>-5.7075471698112494</v>
      </c>
      <c r="Q6" s="190">
        <f t="shared" si="6"/>
        <v>0.95433962264150995</v>
      </c>
      <c r="R6" s="637"/>
      <c r="S6" s="40">
        <v>0.74930555555555556</v>
      </c>
      <c r="T6" s="40">
        <v>0.78611111111111109</v>
      </c>
      <c r="U6" s="191">
        <f t="shared" ref="U6:U7" si="10">IF(S6=TIME(17,0,0),"",(S6-T5)*24*60)</f>
        <v>4.9999999999999822</v>
      </c>
      <c r="V6" s="194">
        <f t="shared" si="7"/>
        <v>52.999999999999972</v>
      </c>
      <c r="W6" s="23"/>
      <c r="X6" s="23"/>
      <c r="Y6" s="23"/>
      <c r="Z6" s="23"/>
      <c r="AA6" s="632"/>
      <c r="AB6" s="632"/>
      <c r="AC6" s="135"/>
      <c r="AD6" s="25"/>
      <c r="AE6" s="19">
        <f t="shared" si="8"/>
        <v>-91.320754716979991</v>
      </c>
      <c r="AF6" s="190">
        <f t="shared" si="9"/>
        <v>0.95433962264150995</v>
      </c>
      <c r="AG6" s="637"/>
    </row>
    <row r="7" spans="1:33">
      <c r="A7" s="665" t="s">
        <v>809</v>
      </c>
      <c r="B7" s="42" t="s">
        <v>92</v>
      </c>
      <c r="C7" s="660" t="s">
        <v>109</v>
      </c>
      <c r="D7" s="661"/>
      <c r="E7" s="42">
        <v>50.49</v>
      </c>
      <c r="F7" s="195">
        <v>1544</v>
      </c>
      <c r="G7" s="191">
        <f t="shared" si="0"/>
        <v>77956.56</v>
      </c>
      <c r="H7" s="37" t="s">
        <v>91</v>
      </c>
      <c r="I7" s="193">
        <v>15</v>
      </c>
      <c r="J7" s="39">
        <v>2000</v>
      </c>
      <c r="K7" s="17">
        <f t="shared" si="1"/>
        <v>133.33333333333334</v>
      </c>
      <c r="L7" s="193">
        <v>15</v>
      </c>
      <c r="M7" s="18">
        <f t="shared" si="2"/>
        <v>1930.0000000000007</v>
      </c>
      <c r="N7" s="17">
        <f t="shared" si="3"/>
        <v>128.66666666666671</v>
      </c>
      <c r="O7" s="19">
        <f t="shared" si="4"/>
        <v>0</v>
      </c>
      <c r="P7" s="20">
        <f t="shared" si="5"/>
        <v>-4.6666666666666288</v>
      </c>
      <c r="Q7" s="190">
        <f t="shared" si="6"/>
        <v>0.9650000000000003</v>
      </c>
      <c r="R7" s="637"/>
      <c r="S7" s="40">
        <v>0.79097222222222219</v>
      </c>
      <c r="T7" s="40">
        <v>0.82430555555555551</v>
      </c>
      <c r="U7" s="191">
        <f t="shared" si="10"/>
        <v>6.9999999999999751</v>
      </c>
      <c r="V7" s="194">
        <f t="shared" si="7"/>
        <v>47.999999999999986</v>
      </c>
      <c r="W7" s="23"/>
      <c r="X7" s="23"/>
      <c r="Y7" s="26"/>
      <c r="Z7" s="26"/>
      <c r="AA7" s="627"/>
      <c r="AB7" s="628"/>
      <c r="AC7" s="135"/>
      <c r="AD7" s="27"/>
      <c r="AE7" s="19">
        <f t="shared" si="8"/>
        <v>-69.999999999999318</v>
      </c>
      <c r="AF7" s="190">
        <f t="shared" si="9"/>
        <v>0.9650000000000003</v>
      </c>
      <c r="AG7" s="637"/>
    </row>
    <row r="8" spans="1:33">
      <c r="A8" s="665" t="s">
        <v>809</v>
      </c>
      <c r="B8" s="42" t="s">
        <v>810</v>
      </c>
      <c r="C8" s="638"/>
      <c r="D8" s="638"/>
      <c r="E8" s="192"/>
      <c r="F8" s="44"/>
      <c r="G8" s="17"/>
      <c r="H8" s="195"/>
      <c r="I8" s="29">
        <v>15.333333333333334</v>
      </c>
      <c r="J8" s="39">
        <v>2000</v>
      </c>
      <c r="K8" s="17">
        <f t="shared" si="1"/>
        <v>130.43478260869566</v>
      </c>
      <c r="L8" s="29">
        <v>15.333333333333334</v>
      </c>
      <c r="M8" s="18">
        <f>AVERAGE(M5:M7)</f>
        <v>1915.4856743536</v>
      </c>
      <c r="N8" s="17">
        <f t="shared" si="3"/>
        <v>124.92297876219129</v>
      </c>
      <c r="O8" s="19">
        <f t="shared" si="4"/>
        <v>0</v>
      </c>
      <c r="P8" s="20">
        <f t="shared" si="5"/>
        <v>-5.5118038465043639</v>
      </c>
      <c r="Q8" s="190">
        <f t="shared" si="6"/>
        <v>0.95774283717679987</v>
      </c>
      <c r="R8" s="637"/>
      <c r="S8" s="40"/>
      <c r="T8" s="40"/>
      <c r="U8" s="191"/>
      <c r="V8" s="194"/>
      <c r="W8" s="17"/>
      <c r="X8" s="17"/>
      <c r="Y8" s="30">
        <f>SUM(Y5:Y7)</f>
        <v>0</v>
      </c>
      <c r="Z8" s="30">
        <f>SUM(Z5:Z7)</f>
        <v>0</v>
      </c>
      <c r="AA8" s="631"/>
      <c r="AB8" s="631"/>
      <c r="AC8" s="30">
        <v>3</v>
      </c>
      <c r="AD8" s="30">
        <f>SUM(AD5:AD7)</f>
        <v>0</v>
      </c>
      <c r="AE8" s="19">
        <f t="shared" si="8"/>
        <v>-84.514325646400039</v>
      </c>
      <c r="AF8" s="190">
        <f t="shared" si="9"/>
        <v>0.95774283717679998</v>
      </c>
      <c r="AG8" s="637"/>
    </row>
    <row r="9" spans="1:33" ht="15.75" customHeight="1">
      <c r="A9" s="659" t="s">
        <v>811</v>
      </c>
      <c r="B9" s="42" t="s">
        <v>96</v>
      </c>
      <c r="C9" s="660" t="s">
        <v>97</v>
      </c>
      <c r="D9" s="661"/>
      <c r="E9" s="42">
        <v>39.799999999999997</v>
      </c>
      <c r="F9" s="195">
        <v>5502</v>
      </c>
      <c r="G9" s="191">
        <f t="shared" ref="G9:G12" si="11">E9*F9</f>
        <v>218979.59999999998</v>
      </c>
      <c r="H9" s="37" t="s">
        <v>91</v>
      </c>
      <c r="I9" s="193">
        <v>17</v>
      </c>
      <c r="J9" s="39">
        <v>1500</v>
      </c>
      <c r="K9" s="17">
        <f t="shared" si="1"/>
        <v>88.235294117647058</v>
      </c>
      <c r="L9" s="193">
        <v>17</v>
      </c>
      <c r="M9" s="18">
        <f t="shared" ref="M9:M12" si="12">F9/V9*60</f>
        <v>1429.0909090909088</v>
      </c>
      <c r="N9" s="17">
        <f t="shared" si="3"/>
        <v>84.064171122994637</v>
      </c>
      <c r="O9" s="19">
        <f t="shared" si="4"/>
        <v>0</v>
      </c>
      <c r="P9" s="20">
        <f t="shared" si="5"/>
        <v>-4.1711229946524213</v>
      </c>
      <c r="Q9" s="190">
        <f t="shared" si="6"/>
        <v>0.95272727272727253</v>
      </c>
      <c r="R9" s="637">
        <f>Q13</f>
        <v>0.9558914411224676</v>
      </c>
      <c r="S9" s="40">
        <v>8.3333333333333329E-2</v>
      </c>
      <c r="T9" s="40">
        <v>0.24375000000000002</v>
      </c>
      <c r="U9" s="191"/>
      <c r="V9" s="194">
        <f t="shared" ref="V9:V12" si="13">(T9-S9)*24*60</f>
        <v>231.00000000000006</v>
      </c>
      <c r="W9" s="23">
        <f>T9</f>
        <v>0.24375000000000002</v>
      </c>
      <c r="X9" s="23">
        <f>S10</f>
        <v>0.26319444444444445</v>
      </c>
      <c r="Y9" s="23"/>
      <c r="Z9" s="23"/>
      <c r="AA9" s="632"/>
      <c r="AB9" s="632"/>
      <c r="AC9" s="135">
        <v>4</v>
      </c>
      <c r="AD9" s="25"/>
      <c r="AE9" s="19">
        <f t="shared" si="8"/>
        <v>-70.909090909091219</v>
      </c>
      <c r="AF9" s="190">
        <f t="shared" si="9"/>
        <v>0.95272727272727253</v>
      </c>
      <c r="AG9" s="637">
        <f>AF13</f>
        <v>0.95589144112246749</v>
      </c>
    </row>
    <row r="10" spans="1:33" ht="15.75" customHeight="1">
      <c r="A10" s="659" t="s">
        <v>811</v>
      </c>
      <c r="B10" s="42" t="s">
        <v>96</v>
      </c>
      <c r="C10" s="660" t="s">
        <v>98</v>
      </c>
      <c r="D10" s="661"/>
      <c r="E10" s="42">
        <v>39.46</v>
      </c>
      <c r="F10" s="195">
        <v>2127</v>
      </c>
      <c r="G10" s="191">
        <f t="shared" si="11"/>
        <v>83931.42</v>
      </c>
      <c r="H10" s="37" t="s">
        <v>91</v>
      </c>
      <c r="I10" s="193">
        <v>15</v>
      </c>
      <c r="J10" s="39">
        <v>1500</v>
      </c>
      <c r="K10" s="17">
        <f t="shared" si="1"/>
        <v>100</v>
      </c>
      <c r="L10" s="193">
        <v>15</v>
      </c>
      <c r="M10" s="18">
        <f t="shared" si="12"/>
        <v>1433.9325842696628</v>
      </c>
      <c r="N10" s="17">
        <f t="shared" si="3"/>
        <v>95.595505617977523</v>
      </c>
      <c r="O10" s="19">
        <f t="shared" si="4"/>
        <v>0</v>
      </c>
      <c r="P10" s="20">
        <f t="shared" si="5"/>
        <v>-4.4044943820224773</v>
      </c>
      <c r="Q10" s="190">
        <f t="shared" si="6"/>
        <v>0.95595505617977528</v>
      </c>
      <c r="R10" s="637"/>
      <c r="S10" s="40">
        <v>0.26319444444444445</v>
      </c>
      <c r="T10" s="40">
        <v>0.32500000000000001</v>
      </c>
      <c r="U10" s="191">
        <f t="shared" ref="U10:U12" si="14">IF(S10=TIME(17,0,0),"",(S10-T9)*24*60)</f>
        <v>27.999999999999979</v>
      </c>
      <c r="V10" s="194">
        <f t="shared" si="13"/>
        <v>89</v>
      </c>
      <c r="W10" s="23"/>
      <c r="X10" s="23"/>
      <c r="Y10" s="23"/>
      <c r="Z10" s="23"/>
      <c r="AA10" s="632"/>
      <c r="AB10" s="632"/>
      <c r="AC10" s="135"/>
      <c r="AD10" s="25"/>
      <c r="AE10" s="19">
        <f t="shared" si="8"/>
        <v>-66.067415730337189</v>
      </c>
      <c r="AF10" s="190">
        <f t="shared" si="9"/>
        <v>0.95595505617977516</v>
      </c>
      <c r="AG10" s="637"/>
    </row>
    <row r="11" spans="1:33" ht="15.75" customHeight="1">
      <c r="A11" s="659" t="s">
        <v>811</v>
      </c>
      <c r="B11" s="42" t="s">
        <v>96</v>
      </c>
      <c r="C11" s="660" t="s">
        <v>99</v>
      </c>
      <c r="D11" s="661"/>
      <c r="E11" s="42">
        <v>39.520000000000003</v>
      </c>
      <c r="F11" s="195">
        <v>1924</v>
      </c>
      <c r="G11" s="191">
        <f t="shared" si="11"/>
        <v>76036.48000000001</v>
      </c>
      <c r="H11" s="37" t="s">
        <v>91</v>
      </c>
      <c r="I11" s="193">
        <v>19</v>
      </c>
      <c r="J11" s="39">
        <v>1500</v>
      </c>
      <c r="K11" s="17">
        <f t="shared" si="1"/>
        <v>78.94736842105263</v>
      </c>
      <c r="L11" s="193">
        <v>19</v>
      </c>
      <c r="M11" s="18">
        <f t="shared" si="12"/>
        <v>1443.0000000000007</v>
      </c>
      <c r="N11" s="17">
        <f t="shared" si="3"/>
        <v>75.947368421052673</v>
      </c>
      <c r="O11" s="19">
        <f t="shared" si="4"/>
        <v>0</v>
      </c>
      <c r="P11" s="20">
        <f t="shared" si="5"/>
        <v>-2.9999999999999574</v>
      </c>
      <c r="Q11" s="190">
        <f t="shared" si="6"/>
        <v>0.96200000000000052</v>
      </c>
      <c r="R11" s="637"/>
      <c r="S11" s="40">
        <v>0.32847222222222222</v>
      </c>
      <c r="T11" s="40">
        <v>0.38402777777777775</v>
      </c>
      <c r="U11" s="191">
        <f t="shared" si="14"/>
        <v>4.9999999999999822</v>
      </c>
      <c r="V11" s="194">
        <f t="shared" si="13"/>
        <v>79.999999999999957</v>
      </c>
      <c r="W11" s="23"/>
      <c r="X11" s="23"/>
      <c r="Y11" s="23"/>
      <c r="Z11" s="23"/>
      <c r="AA11" s="632"/>
      <c r="AB11" s="632"/>
      <c r="AC11" s="135"/>
      <c r="AD11" s="25"/>
      <c r="AE11" s="19">
        <f t="shared" si="8"/>
        <v>-56.999999999999318</v>
      </c>
      <c r="AF11" s="190">
        <f t="shared" si="9"/>
        <v>0.96200000000000041</v>
      </c>
      <c r="AG11" s="637"/>
    </row>
    <row r="12" spans="1:33" ht="15.75" customHeight="1">
      <c r="A12" s="659" t="s">
        <v>811</v>
      </c>
      <c r="B12" s="42" t="s">
        <v>96</v>
      </c>
      <c r="C12" s="660" t="s">
        <v>100</v>
      </c>
      <c r="D12" s="661"/>
      <c r="E12" s="42">
        <v>39.619999999999997</v>
      </c>
      <c r="F12" s="195">
        <v>3883</v>
      </c>
      <c r="G12" s="191">
        <f t="shared" si="11"/>
        <v>153844.46</v>
      </c>
      <c r="H12" s="37" t="s">
        <v>91</v>
      </c>
      <c r="I12" s="193">
        <v>19</v>
      </c>
      <c r="J12" s="39">
        <v>1500</v>
      </c>
      <c r="K12" s="17">
        <f t="shared" si="1"/>
        <v>78.94736842105263</v>
      </c>
      <c r="L12" s="193">
        <v>19</v>
      </c>
      <c r="M12" s="18">
        <f t="shared" si="12"/>
        <v>1429.3251533742327</v>
      </c>
      <c r="N12" s="17">
        <f t="shared" si="3"/>
        <v>75.22763965127541</v>
      </c>
      <c r="O12" s="19">
        <f t="shared" si="4"/>
        <v>0</v>
      </c>
      <c r="P12" s="20">
        <f t="shared" si="5"/>
        <v>-3.7197287697772197</v>
      </c>
      <c r="Q12" s="190">
        <f t="shared" si="6"/>
        <v>0.95288343558282185</v>
      </c>
      <c r="R12" s="637"/>
      <c r="S12" s="40">
        <v>0.3881944444444444</v>
      </c>
      <c r="T12" s="40">
        <v>0.50138888888888888</v>
      </c>
      <c r="U12" s="191">
        <f t="shared" si="14"/>
        <v>5.9999999999999787</v>
      </c>
      <c r="V12" s="194">
        <f t="shared" si="13"/>
        <v>163.00000000000006</v>
      </c>
      <c r="W12" s="23"/>
      <c r="X12" s="23"/>
      <c r="Y12" s="23"/>
      <c r="Z12" s="23"/>
      <c r="AA12" s="627"/>
      <c r="AB12" s="628"/>
      <c r="AC12" s="135"/>
      <c r="AD12" s="25"/>
      <c r="AE12" s="19">
        <f t="shared" si="8"/>
        <v>-70.674846625767259</v>
      </c>
      <c r="AF12" s="190">
        <f t="shared" si="9"/>
        <v>0.95288343558282185</v>
      </c>
      <c r="AG12" s="637"/>
    </row>
    <row r="13" spans="1:33" ht="16.5" customHeight="1">
      <c r="A13" s="659" t="s">
        <v>811</v>
      </c>
      <c r="B13" s="42" t="s">
        <v>810</v>
      </c>
      <c r="C13" s="638"/>
      <c r="D13" s="638"/>
      <c r="E13" s="192"/>
      <c r="F13" s="39"/>
      <c r="G13" s="18"/>
      <c r="H13" s="195"/>
      <c r="I13" s="29">
        <v>17.5</v>
      </c>
      <c r="J13" s="39">
        <v>1500</v>
      </c>
      <c r="K13" s="17">
        <f t="shared" si="1"/>
        <v>85.714285714285708</v>
      </c>
      <c r="L13" s="29">
        <v>17.5</v>
      </c>
      <c r="M13" s="18">
        <f>AVERAGE(M9:M12)</f>
        <v>1433.8371616837012</v>
      </c>
      <c r="N13" s="17">
        <f t="shared" si="3"/>
        <v>81.9335520962115</v>
      </c>
      <c r="O13" s="19">
        <f t="shared" si="4"/>
        <v>0</v>
      </c>
      <c r="P13" s="20">
        <f t="shared" si="5"/>
        <v>-3.7807336180742084</v>
      </c>
      <c r="Q13" s="190">
        <f t="shared" si="6"/>
        <v>0.9558914411224676</v>
      </c>
      <c r="R13" s="637"/>
      <c r="S13" s="40"/>
      <c r="T13" s="40"/>
      <c r="U13" s="17"/>
      <c r="V13" s="194"/>
      <c r="W13" s="17"/>
      <c r="X13" s="17"/>
      <c r="Y13" s="30">
        <f>SUM(Y9:Y12)</f>
        <v>0</v>
      </c>
      <c r="Z13" s="30">
        <f>SUM(Z9:Z12)</f>
        <v>0</v>
      </c>
      <c r="AA13" s="631"/>
      <c r="AB13" s="631"/>
      <c r="AC13" s="30">
        <v>4</v>
      </c>
      <c r="AD13" s="30">
        <f>SUM(AD9:AD12)</f>
        <v>0</v>
      </c>
      <c r="AE13" s="19">
        <f t="shared" si="8"/>
        <v>-66.162838316298803</v>
      </c>
      <c r="AF13" s="190">
        <f t="shared" si="9"/>
        <v>0.95589144112246749</v>
      </c>
      <c r="AG13" s="637"/>
    </row>
    <row r="14" spans="1:33" ht="16.5" customHeight="1">
      <c r="A14" s="657" t="s">
        <v>812</v>
      </c>
      <c r="B14" s="195" t="s">
        <v>101</v>
      </c>
      <c r="C14" s="653" t="s">
        <v>102</v>
      </c>
      <c r="D14" s="653"/>
      <c r="E14" s="42">
        <v>31.11</v>
      </c>
      <c r="F14" s="195">
        <v>3447</v>
      </c>
      <c r="G14" s="191">
        <f t="shared" ref="G14:G21" si="15">E14*F14</f>
        <v>107236.17</v>
      </c>
      <c r="H14" s="37" t="s">
        <v>91</v>
      </c>
      <c r="I14" s="193">
        <v>14</v>
      </c>
      <c r="J14" s="39">
        <v>2000</v>
      </c>
      <c r="K14" s="17">
        <f t="shared" si="1"/>
        <v>142.85714285714286</v>
      </c>
      <c r="L14" s="193">
        <v>14</v>
      </c>
      <c r="M14" s="18">
        <f t="shared" ref="M14:M21" si="16">F14/V14*60</f>
        <v>1915.0000000000005</v>
      </c>
      <c r="N14" s="17">
        <f t="shared" si="3"/>
        <v>136.78571428571431</v>
      </c>
      <c r="O14" s="19">
        <f t="shared" si="4"/>
        <v>0</v>
      </c>
      <c r="P14" s="20">
        <f t="shared" si="5"/>
        <v>-6.0714285714285552</v>
      </c>
      <c r="Q14" s="190">
        <f t="shared" si="6"/>
        <v>0.95750000000000013</v>
      </c>
      <c r="R14" s="637">
        <f>Q22</f>
        <v>0.96126698078643091</v>
      </c>
      <c r="S14" s="40">
        <v>0.20833333333333334</v>
      </c>
      <c r="T14" s="40">
        <v>0.28333333333333333</v>
      </c>
      <c r="U14" s="191"/>
      <c r="V14" s="194">
        <f t="shared" ref="V14:V21" si="17">(T14-S14)*24*60</f>
        <v>107.99999999999997</v>
      </c>
      <c r="W14" s="23"/>
      <c r="X14" s="23"/>
      <c r="Y14" s="28"/>
      <c r="Z14" s="28"/>
      <c r="AA14" s="632"/>
      <c r="AB14" s="632"/>
      <c r="AC14" s="135">
        <v>8</v>
      </c>
      <c r="AD14" s="25"/>
      <c r="AE14" s="19">
        <f t="shared" si="8"/>
        <v>-84.999999999999545</v>
      </c>
      <c r="AF14" s="190">
        <f t="shared" si="9"/>
        <v>0.95750000000000024</v>
      </c>
      <c r="AG14" s="637">
        <f>AF22</f>
        <v>0.9612669807864308</v>
      </c>
    </row>
    <row r="15" spans="1:33" ht="16.5" customHeight="1">
      <c r="A15" s="658" t="s">
        <v>812</v>
      </c>
      <c r="B15" s="195" t="s">
        <v>103</v>
      </c>
      <c r="C15" s="653" t="s">
        <v>104</v>
      </c>
      <c r="D15" s="653"/>
      <c r="E15" s="42">
        <v>38.619999999999997</v>
      </c>
      <c r="F15" s="195">
        <v>1891</v>
      </c>
      <c r="G15" s="191">
        <f t="shared" si="15"/>
        <v>73030.42</v>
      </c>
      <c r="H15" s="37" t="s">
        <v>91</v>
      </c>
      <c r="I15" s="193">
        <v>24</v>
      </c>
      <c r="J15" s="39">
        <v>1500</v>
      </c>
      <c r="K15" s="17">
        <f t="shared" si="1"/>
        <v>62.5</v>
      </c>
      <c r="L15" s="193">
        <v>24</v>
      </c>
      <c r="M15" s="18">
        <f t="shared" si="16"/>
        <v>1436.2025316455688</v>
      </c>
      <c r="N15" s="17">
        <f t="shared" si="3"/>
        <v>59.841772151898702</v>
      </c>
      <c r="O15" s="19">
        <f t="shared" si="4"/>
        <v>0</v>
      </c>
      <c r="P15" s="20">
        <f t="shared" si="5"/>
        <v>-2.6582278481012978</v>
      </c>
      <c r="Q15" s="190">
        <f t="shared" si="6"/>
        <v>0.95746835443037925</v>
      </c>
      <c r="R15" s="637"/>
      <c r="S15" s="40">
        <v>0.28680555555555554</v>
      </c>
      <c r="T15" s="40">
        <v>0.34166666666666667</v>
      </c>
      <c r="U15" s="191">
        <f t="shared" ref="U15:U21" si="18">IF(S15=TIME(17,0,0),"",(S15-T14)*24*60)</f>
        <v>4.9999999999999822</v>
      </c>
      <c r="V15" s="194">
        <f t="shared" si="17"/>
        <v>79.000000000000043</v>
      </c>
      <c r="W15" s="23"/>
      <c r="X15" s="23"/>
      <c r="Y15" s="23"/>
      <c r="Z15" s="23"/>
      <c r="AA15" s="632"/>
      <c r="AB15" s="632"/>
      <c r="AC15" s="135"/>
      <c r="AD15" s="25"/>
      <c r="AE15" s="19">
        <f t="shared" si="8"/>
        <v>-63.797468354431203</v>
      </c>
      <c r="AF15" s="190">
        <f t="shared" si="9"/>
        <v>0.95746835443037914</v>
      </c>
      <c r="AG15" s="637"/>
    </row>
    <row r="16" spans="1:33" ht="16.5" customHeight="1">
      <c r="A16" s="658" t="s">
        <v>812</v>
      </c>
      <c r="B16" s="195" t="s">
        <v>103</v>
      </c>
      <c r="C16" s="653" t="s">
        <v>105</v>
      </c>
      <c r="D16" s="653"/>
      <c r="E16" s="42">
        <v>41</v>
      </c>
      <c r="F16" s="195">
        <v>1551</v>
      </c>
      <c r="G16" s="191">
        <f t="shared" si="15"/>
        <v>63591</v>
      </c>
      <c r="H16" s="37" t="s">
        <v>91</v>
      </c>
      <c r="I16" s="193">
        <v>26</v>
      </c>
      <c r="J16" s="39">
        <v>1500</v>
      </c>
      <c r="K16" s="17">
        <f t="shared" si="1"/>
        <v>57.692307692307693</v>
      </c>
      <c r="L16" s="193">
        <v>26</v>
      </c>
      <c r="M16" s="18">
        <f t="shared" si="16"/>
        <v>1431.6923076923074</v>
      </c>
      <c r="N16" s="17">
        <f t="shared" si="3"/>
        <v>55.065088757396438</v>
      </c>
      <c r="O16" s="19">
        <f t="shared" si="4"/>
        <v>0</v>
      </c>
      <c r="P16" s="20">
        <f t="shared" si="5"/>
        <v>-2.6272189349112551</v>
      </c>
      <c r="Q16" s="190">
        <f t="shared" si="6"/>
        <v>0.95446153846153825</v>
      </c>
      <c r="R16" s="637"/>
      <c r="S16" s="40">
        <v>0.34722222222222221</v>
      </c>
      <c r="T16" s="40">
        <v>0.3923611111111111</v>
      </c>
      <c r="U16" s="191">
        <f t="shared" si="18"/>
        <v>7.9999999999999716</v>
      </c>
      <c r="V16" s="194">
        <f t="shared" si="17"/>
        <v>65.000000000000014</v>
      </c>
      <c r="W16" s="23"/>
      <c r="X16" s="23"/>
      <c r="Y16" s="23"/>
      <c r="Z16" s="23"/>
      <c r="AA16" s="632"/>
      <c r="AB16" s="632"/>
      <c r="AC16" s="135"/>
      <c r="AD16" s="25"/>
      <c r="AE16" s="19">
        <f t="shared" si="8"/>
        <v>-68.307692307692605</v>
      </c>
      <c r="AF16" s="190">
        <f t="shared" si="9"/>
        <v>0.95446153846153825</v>
      </c>
      <c r="AG16" s="637"/>
    </row>
    <row r="17" spans="1:33" ht="16.5" customHeight="1">
      <c r="A17" s="658" t="s">
        <v>812</v>
      </c>
      <c r="B17" s="195" t="s">
        <v>92</v>
      </c>
      <c r="C17" s="653" t="s">
        <v>106</v>
      </c>
      <c r="D17" s="653"/>
      <c r="E17" s="42">
        <v>37.03</v>
      </c>
      <c r="F17" s="195">
        <v>2949</v>
      </c>
      <c r="G17" s="191">
        <f t="shared" si="15"/>
        <v>109201.47</v>
      </c>
      <c r="H17" s="37" t="s">
        <v>91</v>
      </c>
      <c r="I17" s="193">
        <v>13</v>
      </c>
      <c r="J17" s="39">
        <v>1500</v>
      </c>
      <c r="K17" s="17">
        <f t="shared" si="1"/>
        <v>115.38461538461539</v>
      </c>
      <c r="L17" s="193">
        <v>13</v>
      </c>
      <c r="M17" s="18">
        <f t="shared" si="16"/>
        <v>1438.5365853658541</v>
      </c>
      <c r="N17" s="17">
        <f t="shared" si="3"/>
        <v>110.656660412758</v>
      </c>
      <c r="O17" s="19">
        <f t="shared" si="4"/>
        <v>0</v>
      </c>
      <c r="P17" s="20">
        <f t="shared" si="5"/>
        <v>-4.7279549718573861</v>
      </c>
      <c r="Q17" s="190">
        <f t="shared" si="6"/>
        <v>0.95902439024390262</v>
      </c>
      <c r="R17" s="637"/>
      <c r="S17" s="40">
        <v>0.39583333333333331</v>
      </c>
      <c r="T17" s="40">
        <v>0.48124999999999996</v>
      </c>
      <c r="U17" s="191">
        <f t="shared" si="18"/>
        <v>4.9999999999999822</v>
      </c>
      <c r="V17" s="194">
        <f t="shared" si="17"/>
        <v>122.99999999999996</v>
      </c>
      <c r="W17" s="23"/>
      <c r="X17" s="23"/>
      <c r="Y17" s="23"/>
      <c r="Z17" s="23"/>
      <c r="AA17" s="632"/>
      <c r="AB17" s="632"/>
      <c r="AC17" s="135"/>
      <c r="AD17" s="25"/>
      <c r="AE17" s="19">
        <f t="shared" si="8"/>
        <v>-61.46341463414592</v>
      </c>
      <c r="AF17" s="190">
        <f t="shared" si="9"/>
        <v>0.95902439024390274</v>
      </c>
      <c r="AG17" s="637"/>
    </row>
    <row r="18" spans="1:33" ht="16.5" customHeight="1">
      <c r="A18" s="658" t="s">
        <v>812</v>
      </c>
      <c r="B18" s="195" t="s">
        <v>92</v>
      </c>
      <c r="C18" s="653" t="s">
        <v>108</v>
      </c>
      <c r="D18" s="653"/>
      <c r="E18" s="42">
        <v>54.5</v>
      </c>
      <c r="F18" s="195">
        <v>1299</v>
      </c>
      <c r="G18" s="191">
        <f t="shared" si="15"/>
        <v>70795.5</v>
      </c>
      <c r="H18" s="37" t="s">
        <v>91</v>
      </c>
      <c r="I18" s="193">
        <v>20</v>
      </c>
      <c r="J18" s="39">
        <v>1500</v>
      </c>
      <c r="K18" s="17">
        <f t="shared" si="1"/>
        <v>75</v>
      </c>
      <c r="L18" s="193">
        <v>20</v>
      </c>
      <c r="M18" s="18">
        <f t="shared" si="16"/>
        <v>1443.3333333333342</v>
      </c>
      <c r="N18" s="17">
        <f t="shared" si="3"/>
        <v>72.166666666666714</v>
      </c>
      <c r="O18" s="19">
        <f t="shared" si="4"/>
        <v>0</v>
      </c>
      <c r="P18" s="20">
        <f t="shared" si="5"/>
        <v>-2.833333333333286</v>
      </c>
      <c r="Q18" s="190">
        <f t="shared" si="6"/>
        <v>0.96222222222222287</v>
      </c>
      <c r="R18" s="637"/>
      <c r="S18" s="40">
        <v>0.70833333333333337</v>
      </c>
      <c r="T18" s="40">
        <v>0.74583333333333335</v>
      </c>
      <c r="U18" s="191" t="str">
        <f t="shared" si="18"/>
        <v/>
      </c>
      <c r="V18" s="194">
        <f t="shared" si="17"/>
        <v>53.999999999999972</v>
      </c>
      <c r="W18" s="23"/>
      <c r="X18" s="23"/>
      <c r="Y18" s="23"/>
      <c r="Z18" s="23"/>
      <c r="AA18" s="632"/>
      <c r="AB18" s="632"/>
      <c r="AC18" s="135"/>
      <c r="AD18" s="25"/>
      <c r="AE18" s="19">
        <f t="shared" si="8"/>
        <v>-56.666666666665833</v>
      </c>
      <c r="AF18" s="190">
        <f t="shared" si="9"/>
        <v>0.96222222222222276</v>
      </c>
      <c r="AG18" s="637"/>
    </row>
    <row r="19" spans="1:33" ht="16.5" customHeight="1">
      <c r="A19" s="658" t="s">
        <v>812</v>
      </c>
      <c r="B19" s="195" t="s">
        <v>92</v>
      </c>
      <c r="C19" s="197" t="s">
        <v>107</v>
      </c>
      <c r="D19" s="198"/>
      <c r="E19" s="42">
        <v>50.67</v>
      </c>
      <c r="F19" s="195">
        <v>1192</v>
      </c>
      <c r="G19" s="191">
        <f t="shared" si="15"/>
        <v>60398.64</v>
      </c>
      <c r="H19" s="37" t="s">
        <v>91</v>
      </c>
      <c r="I19" s="193">
        <v>17</v>
      </c>
      <c r="J19" s="39">
        <v>2000</v>
      </c>
      <c r="K19" s="17">
        <f t="shared" si="1"/>
        <v>117.64705882352941</v>
      </c>
      <c r="L19" s="193">
        <v>17</v>
      </c>
      <c r="M19" s="18">
        <f t="shared" si="16"/>
        <v>1932.9729729729713</v>
      </c>
      <c r="N19" s="17">
        <f t="shared" si="3"/>
        <v>113.70429252782185</v>
      </c>
      <c r="O19" s="19">
        <f t="shared" si="4"/>
        <v>0</v>
      </c>
      <c r="P19" s="20">
        <f t="shared" si="5"/>
        <v>-3.9427662957075569</v>
      </c>
      <c r="Q19" s="190">
        <f t="shared" si="6"/>
        <v>0.96648648648648572</v>
      </c>
      <c r="R19" s="637"/>
      <c r="S19" s="40">
        <v>0.74930555555555556</v>
      </c>
      <c r="T19" s="40">
        <v>0.77500000000000002</v>
      </c>
      <c r="U19" s="191">
        <f t="shared" si="18"/>
        <v>4.9999999999999822</v>
      </c>
      <c r="V19" s="194">
        <f t="shared" si="17"/>
        <v>37.000000000000028</v>
      </c>
      <c r="W19" s="23"/>
      <c r="X19" s="23"/>
      <c r="Y19" s="26"/>
      <c r="Z19" s="26"/>
      <c r="AA19" s="186"/>
      <c r="AB19" s="187"/>
      <c r="AC19" s="135"/>
      <c r="AD19" s="25"/>
      <c r="AE19" s="19">
        <f t="shared" si="8"/>
        <v>-67.02702702702868</v>
      </c>
      <c r="AF19" s="190">
        <f t="shared" si="9"/>
        <v>0.96648648648648561</v>
      </c>
      <c r="AG19" s="637"/>
    </row>
    <row r="20" spans="1:33" ht="16.5" customHeight="1">
      <c r="A20" s="658" t="s">
        <v>812</v>
      </c>
      <c r="B20" s="195" t="s">
        <v>92</v>
      </c>
      <c r="C20" s="197" t="s">
        <v>95</v>
      </c>
      <c r="D20" s="198"/>
      <c r="E20" s="42">
        <v>50.67</v>
      </c>
      <c r="F20" s="195">
        <v>1059</v>
      </c>
      <c r="G20" s="191">
        <f t="shared" si="15"/>
        <v>53659.53</v>
      </c>
      <c r="H20" s="37" t="s">
        <v>91</v>
      </c>
      <c r="I20" s="193">
        <v>15</v>
      </c>
      <c r="J20" s="39">
        <v>2000</v>
      </c>
      <c r="K20" s="17">
        <f t="shared" si="1"/>
        <v>133.33333333333334</v>
      </c>
      <c r="L20" s="193">
        <v>15</v>
      </c>
      <c r="M20" s="18">
        <f t="shared" si="16"/>
        <v>1925.454545454543</v>
      </c>
      <c r="N20" s="17">
        <f t="shared" si="3"/>
        <v>128.3636363636362</v>
      </c>
      <c r="O20" s="19">
        <f t="shared" si="4"/>
        <v>0</v>
      </c>
      <c r="P20" s="20">
        <f t="shared" si="5"/>
        <v>-4.9696969696971394</v>
      </c>
      <c r="Q20" s="190">
        <f t="shared" si="6"/>
        <v>0.96272727272727143</v>
      </c>
      <c r="R20" s="637"/>
      <c r="S20" s="40">
        <v>0.77847222222222223</v>
      </c>
      <c r="T20" s="40">
        <v>0.80138888888888893</v>
      </c>
      <c r="U20" s="191">
        <f t="shared" si="18"/>
        <v>4.9999999999999822</v>
      </c>
      <c r="V20" s="194">
        <f t="shared" si="17"/>
        <v>33.000000000000043</v>
      </c>
      <c r="W20" s="23"/>
      <c r="X20" s="23"/>
      <c r="Y20" s="26"/>
      <c r="Z20" s="26"/>
      <c r="AA20" s="186"/>
      <c r="AB20" s="187"/>
      <c r="AC20" s="135"/>
      <c r="AD20" s="25"/>
      <c r="AE20" s="19">
        <f t="shared" si="8"/>
        <v>-74.545454545457005</v>
      </c>
      <c r="AF20" s="190">
        <f t="shared" si="9"/>
        <v>0.96272727272727154</v>
      </c>
      <c r="AG20" s="637"/>
    </row>
    <row r="21" spans="1:33" ht="16.5" customHeight="1">
      <c r="A21" s="658" t="s">
        <v>812</v>
      </c>
      <c r="B21" s="195" t="s">
        <v>92</v>
      </c>
      <c r="C21" s="197" t="s">
        <v>113</v>
      </c>
      <c r="D21" s="198"/>
      <c r="E21" s="42">
        <v>56.43</v>
      </c>
      <c r="F21" s="195">
        <v>1064</v>
      </c>
      <c r="G21" s="191">
        <f t="shared" si="15"/>
        <v>60041.52</v>
      </c>
      <c r="H21" s="37" t="s">
        <v>91</v>
      </c>
      <c r="I21" s="193">
        <v>13</v>
      </c>
      <c r="J21" s="39">
        <v>2000</v>
      </c>
      <c r="K21" s="17">
        <f t="shared" si="1"/>
        <v>153.84615384615384</v>
      </c>
      <c r="L21" s="193">
        <v>13</v>
      </c>
      <c r="M21" s="18">
        <f t="shared" si="16"/>
        <v>1934.545454545452</v>
      </c>
      <c r="N21" s="17">
        <f t="shared" si="3"/>
        <v>148.81118881118863</v>
      </c>
      <c r="O21" s="19">
        <f t="shared" si="4"/>
        <v>0</v>
      </c>
      <c r="P21" s="20">
        <f t="shared" si="5"/>
        <v>-5.0349650349652109</v>
      </c>
      <c r="Q21" s="190">
        <f t="shared" si="6"/>
        <v>0.96727272727272617</v>
      </c>
      <c r="R21" s="637"/>
      <c r="S21" s="40">
        <v>0.80486111111111114</v>
      </c>
      <c r="T21" s="40">
        <v>0.82777777777777783</v>
      </c>
      <c r="U21" s="191">
        <f t="shared" si="18"/>
        <v>4.9999999999999822</v>
      </c>
      <c r="V21" s="194">
        <f t="shared" si="17"/>
        <v>33.000000000000043</v>
      </c>
      <c r="W21" s="23"/>
      <c r="X21" s="23"/>
      <c r="Y21" s="26"/>
      <c r="Z21" s="26"/>
      <c r="AA21" s="186"/>
      <c r="AB21" s="187"/>
      <c r="AC21" s="135"/>
      <c r="AD21" s="25"/>
      <c r="AE21" s="19">
        <f t="shared" si="8"/>
        <v>-65.454545454547997</v>
      </c>
      <c r="AF21" s="190">
        <f t="shared" si="9"/>
        <v>0.96727272727272595</v>
      </c>
      <c r="AG21" s="637"/>
    </row>
    <row r="22" spans="1:33" ht="16.5" customHeight="1">
      <c r="A22" s="658" t="s">
        <v>812</v>
      </c>
      <c r="B22" s="42" t="s">
        <v>810</v>
      </c>
      <c r="C22" s="638"/>
      <c r="D22" s="638"/>
      <c r="E22" s="192"/>
      <c r="F22" s="44"/>
      <c r="G22" s="17"/>
      <c r="H22" s="195"/>
      <c r="I22" s="29">
        <v>17.75</v>
      </c>
      <c r="J22" s="39">
        <v>1750</v>
      </c>
      <c r="K22" s="17">
        <f t="shared" si="1"/>
        <v>98.591549295774641</v>
      </c>
      <c r="L22" s="29">
        <v>17.75</v>
      </c>
      <c r="M22" s="18">
        <f>AVERAGE(M14:M21)</f>
        <v>1682.2172163762539</v>
      </c>
      <c r="N22" s="17">
        <f t="shared" si="3"/>
        <v>94.772800922605853</v>
      </c>
      <c r="O22" s="19">
        <f t="shared" si="4"/>
        <v>0</v>
      </c>
      <c r="P22" s="20">
        <f t="shared" si="5"/>
        <v>-3.8187483731687877</v>
      </c>
      <c r="Q22" s="190">
        <f t="shared" si="6"/>
        <v>0.96126698078643091</v>
      </c>
      <c r="R22" s="637"/>
      <c r="S22" s="40"/>
      <c r="T22" s="40"/>
      <c r="U22" s="191"/>
      <c r="V22" s="194"/>
      <c r="W22" s="17"/>
      <c r="X22" s="17"/>
      <c r="Y22" s="30">
        <f>SUM(Y14:Y21)</f>
        <v>0</v>
      </c>
      <c r="Z22" s="30">
        <f>SUM(Z14:Z21)</f>
        <v>0</v>
      </c>
      <c r="AA22" s="631"/>
      <c r="AB22" s="631"/>
      <c r="AC22" s="30">
        <v>8</v>
      </c>
      <c r="AD22" s="30">
        <f>SUM(AD14:AD21)</f>
        <v>0</v>
      </c>
      <c r="AE22" s="19">
        <f t="shared" si="8"/>
        <v>-67.782783623746127</v>
      </c>
      <c r="AF22" s="190">
        <f t="shared" si="9"/>
        <v>0.9612669807864308</v>
      </c>
      <c r="AG22" s="637"/>
    </row>
    <row r="23" spans="1:33" ht="15.75" customHeight="1">
      <c r="A23" s="655" t="s">
        <v>813</v>
      </c>
      <c r="B23" s="42" t="s">
        <v>92</v>
      </c>
      <c r="C23" s="653" t="s">
        <v>110</v>
      </c>
      <c r="D23" s="653"/>
      <c r="E23" s="42">
        <v>50.67</v>
      </c>
      <c r="F23" s="195">
        <v>1288</v>
      </c>
      <c r="G23" s="191">
        <f t="shared" ref="G23:G28" si="19">E23*F23</f>
        <v>65262.96</v>
      </c>
      <c r="H23" s="37" t="s">
        <v>91</v>
      </c>
      <c r="I23" s="193">
        <v>17</v>
      </c>
      <c r="J23" s="39">
        <v>2000</v>
      </c>
      <c r="K23" s="17">
        <f t="shared" si="1"/>
        <v>117.64705882352941</v>
      </c>
      <c r="L23" s="193">
        <v>17</v>
      </c>
      <c r="M23" s="18">
        <f t="shared" ref="M23:M28" si="20">F23/V23*60</f>
        <v>1932.0000000000009</v>
      </c>
      <c r="N23" s="17">
        <f t="shared" si="3"/>
        <v>113.64705882352946</v>
      </c>
      <c r="O23" s="19">
        <f t="shared" si="4"/>
        <v>0</v>
      </c>
      <c r="P23" s="20">
        <f t="shared" si="5"/>
        <v>-3.9999999999999432</v>
      </c>
      <c r="Q23" s="190">
        <f t="shared" si="6"/>
        <v>0.96600000000000052</v>
      </c>
      <c r="R23" s="637">
        <f>Q29</f>
        <v>0.96303720738716037</v>
      </c>
      <c r="S23" s="40">
        <v>0.20833333333333334</v>
      </c>
      <c r="T23" s="40">
        <v>0.2361111111111111</v>
      </c>
      <c r="U23" s="191"/>
      <c r="V23" s="194">
        <f t="shared" ref="V23:V28" si="21">(T23-S23)*24*60</f>
        <v>39.999999999999979</v>
      </c>
      <c r="W23" s="23"/>
      <c r="X23" s="23"/>
      <c r="Y23" s="28"/>
      <c r="Z23" s="28"/>
      <c r="AA23" s="632"/>
      <c r="AB23" s="632"/>
      <c r="AC23" s="135">
        <v>6</v>
      </c>
      <c r="AD23" s="25"/>
      <c r="AE23" s="19">
        <f t="shared" si="8"/>
        <v>-67.999999999999091</v>
      </c>
      <c r="AF23" s="190">
        <f t="shared" si="9"/>
        <v>0.96600000000000041</v>
      </c>
      <c r="AG23" s="637">
        <f>AF29</f>
        <v>0.96303720738716037</v>
      </c>
    </row>
    <row r="24" spans="1:33" ht="15.75" customHeight="1">
      <c r="A24" s="656" t="s">
        <v>813</v>
      </c>
      <c r="B24" s="42" t="s">
        <v>92</v>
      </c>
      <c r="C24" s="653" t="s">
        <v>111</v>
      </c>
      <c r="D24" s="653"/>
      <c r="E24" s="42">
        <v>57.73</v>
      </c>
      <c r="F24" s="195">
        <v>1851</v>
      </c>
      <c r="G24" s="191">
        <f t="shared" si="19"/>
        <v>106858.23</v>
      </c>
      <c r="H24" s="37" t="s">
        <v>91</v>
      </c>
      <c r="I24" s="193">
        <v>14</v>
      </c>
      <c r="J24" s="39">
        <v>2000</v>
      </c>
      <c r="K24" s="17">
        <f t="shared" si="1"/>
        <v>142.85714285714286</v>
      </c>
      <c r="L24" s="193">
        <v>14</v>
      </c>
      <c r="M24" s="18">
        <f t="shared" si="20"/>
        <v>1914.827586206897</v>
      </c>
      <c r="N24" s="17">
        <f t="shared" si="3"/>
        <v>136.77339901477836</v>
      </c>
      <c r="O24" s="19">
        <f t="shared" si="4"/>
        <v>0</v>
      </c>
      <c r="P24" s="20">
        <f t="shared" si="5"/>
        <v>-6.0837438423644983</v>
      </c>
      <c r="Q24" s="190">
        <f t="shared" si="6"/>
        <v>0.95741379310344854</v>
      </c>
      <c r="R24" s="637"/>
      <c r="S24" s="40">
        <v>0.24097222222222223</v>
      </c>
      <c r="T24" s="40">
        <v>0.28125</v>
      </c>
      <c r="U24" s="191">
        <f t="shared" ref="U24:U28" si="22">IF(S24=TIME(17,0,0),"",(S24-T23)*24*60)</f>
        <v>7.0000000000000151</v>
      </c>
      <c r="V24" s="194">
        <f t="shared" si="21"/>
        <v>57.999999999999993</v>
      </c>
      <c r="W24" s="23"/>
      <c r="X24" s="191"/>
      <c r="Y24" s="191"/>
      <c r="Z24" s="191"/>
      <c r="AA24" s="632"/>
      <c r="AB24" s="632"/>
      <c r="AC24" s="135"/>
      <c r="AD24" s="25"/>
      <c r="AE24" s="19">
        <f t="shared" si="8"/>
        <v>-85.172413793103033</v>
      </c>
      <c r="AF24" s="190">
        <f t="shared" si="9"/>
        <v>0.95741379310344843</v>
      </c>
      <c r="AG24" s="637"/>
    </row>
    <row r="25" spans="1:33" ht="15.75" customHeight="1">
      <c r="A25" s="656" t="s">
        <v>813</v>
      </c>
      <c r="B25" s="42" t="s">
        <v>92</v>
      </c>
      <c r="C25" s="653" t="s">
        <v>112</v>
      </c>
      <c r="D25" s="653"/>
      <c r="E25" s="42">
        <v>53.27</v>
      </c>
      <c r="F25" s="195">
        <v>1039</v>
      </c>
      <c r="G25" s="191">
        <f t="shared" si="19"/>
        <v>55347.530000000006</v>
      </c>
      <c r="H25" s="37" t="s">
        <v>91</v>
      </c>
      <c r="I25" s="193">
        <v>16</v>
      </c>
      <c r="J25" s="39">
        <v>2000</v>
      </c>
      <c r="K25" s="17">
        <f t="shared" si="1"/>
        <v>125</v>
      </c>
      <c r="L25" s="193">
        <v>16</v>
      </c>
      <c r="M25" s="18">
        <f t="shared" si="20"/>
        <v>1948.125000000002</v>
      </c>
      <c r="N25" s="17">
        <f t="shared" si="3"/>
        <v>121.75781250000013</v>
      </c>
      <c r="O25" s="19">
        <f t="shared" si="4"/>
        <v>0</v>
      </c>
      <c r="P25" s="20">
        <f t="shared" si="5"/>
        <v>-3.2421874999998721</v>
      </c>
      <c r="Q25" s="190">
        <f t="shared" si="6"/>
        <v>0.97406250000000105</v>
      </c>
      <c r="R25" s="637"/>
      <c r="S25" s="40">
        <v>0.28541666666666665</v>
      </c>
      <c r="T25" s="40">
        <v>0.30763888888888885</v>
      </c>
      <c r="U25" s="191">
        <f t="shared" si="22"/>
        <v>5.9999999999999787</v>
      </c>
      <c r="V25" s="194">
        <f t="shared" si="21"/>
        <v>31.999999999999964</v>
      </c>
      <c r="W25" s="23"/>
      <c r="X25" s="191"/>
      <c r="Y25" s="191"/>
      <c r="Z25" s="191"/>
      <c r="AA25" s="632"/>
      <c r="AB25" s="632"/>
      <c r="AC25" s="135"/>
      <c r="AD25" s="25"/>
      <c r="AE25" s="19">
        <f t="shared" si="8"/>
        <v>-51.874999999997954</v>
      </c>
      <c r="AF25" s="190">
        <f t="shared" si="9"/>
        <v>0.97406250000000105</v>
      </c>
      <c r="AG25" s="637"/>
    </row>
    <row r="26" spans="1:33" ht="15.75" customHeight="1">
      <c r="A26" s="656" t="s">
        <v>813</v>
      </c>
      <c r="B26" s="42" t="s">
        <v>92</v>
      </c>
      <c r="C26" s="653" t="s">
        <v>114</v>
      </c>
      <c r="D26" s="653"/>
      <c r="E26" s="42">
        <v>54.09</v>
      </c>
      <c r="F26" s="195">
        <v>1737</v>
      </c>
      <c r="G26" s="191">
        <f t="shared" si="19"/>
        <v>93954.33</v>
      </c>
      <c r="H26" s="37" t="s">
        <v>91</v>
      </c>
      <c r="I26" s="193">
        <v>18</v>
      </c>
      <c r="J26" s="39">
        <v>2000</v>
      </c>
      <c r="K26" s="17">
        <f t="shared" si="1"/>
        <v>111.11111111111111</v>
      </c>
      <c r="L26" s="193">
        <v>18</v>
      </c>
      <c r="M26" s="18">
        <f t="shared" si="20"/>
        <v>1930.0000000000011</v>
      </c>
      <c r="N26" s="17">
        <f t="shared" si="3"/>
        <v>107.22222222222229</v>
      </c>
      <c r="O26" s="19">
        <f t="shared" si="4"/>
        <v>0</v>
      </c>
      <c r="P26" s="20">
        <f t="shared" si="5"/>
        <v>-3.8888888888888289</v>
      </c>
      <c r="Q26" s="190">
        <f t="shared" si="6"/>
        <v>0.96500000000000052</v>
      </c>
      <c r="R26" s="637"/>
      <c r="S26" s="40">
        <v>0.70833333333333337</v>
      </c>
      <c r="T26" s="40">
        <v>0.74583333333333335</v>
      </c>
      <c r="U26" s="191" t="str">
        <f t="shared" si="22"/>
        <v/>
      </c>
      <c r="V26" s="194">
        <f t="shared" si="21"/>
        <v>53.999999999999972</v>
      </c>
      <c r="W26" s="23"/>
      <c r="X26" s="191"/>
      <c r="Y26" s="191"/>
      <c r="Z26" s="191"/>
      <c r="AA26" s="632"/>
      <c r="AB26" s="632"/>
      <c r="AC26" s="135"/>
      <c r="AD26" s="25"/>
      <c r="AE26" s="19">
        <f t="shared" si="8"/>
        <v>-69.999999999998863</v>
      </c>
      <c r="AF26" s="190">
        <f t="shared" si="9"/>
        <v>0.96500000000000052</v>
      </c>
      <c r="AG26" s="637"/>
    </row>
    <row r="27" spans="1:33" ht="15.75" customHeight="1">
      <c r="A27" s="656" t="s">
        <v>813</v>
      </c>
      <c r="B27" s="42" t="s">
        <v>92</v>
      </c>
      <c r="C27" s="653" t="s">
        <v>115</v>
      </c>
      <c r="D27" s="653"/>
      <c r="E27" s="42">
        <v>57.3</v>
      </c>
      <c r="F27" s="195">
        <v>1319</v>
      </c>
      <c r="G27" s="191">
        <f t="shared" si="19"/>
        <v>75578.7</v>
      </c>
      <c r="H27" s="37" t="s">
        <v>91</v>
      </c>
      <c r="I27" s="193">
        <v>16</v>
      </c>
      <c r="J27" s="39">
        <v>2000</v>
      </c>
      <c r="K27" s="17">
        <f t="shared" si="1"/>
        <v>125</v>
      </c>
      <c r="L27" s="193">
        <v>16</v>
      </c>
      <c r="M27" s="18">
        <f t="shared" si="20"/>
        <v>1930.2439024390237</v>
      </c>
      <c r="N27" s="17">
        <f t="shared" si="3"/>
        <v>120.64024390243898</v>
      </c>
      <c r="O27" s="19">
        <f t="shared" si="4"/>
        <v>0</v>
      </c>
      <c r="P27" s="20">
        <f t="shared" si="5"/>
        <v>-4.3597560975610179</v>
      </c>
      <c r="Q27" s="190">
        <f t="shared" si="6"/>
        <v>0.96512195121951183</v>
      </c>
      <c r="R27" s="637"/>
      <c r="S27" s="40">
        <v>0.75069444444444444</v>
      </c>
      <c r="T27" s="40">
        <v>0.77916666666666667</v>
      </c>
      <c r="U27" s="191">
        <f t="shared" si="22"/>
        <v>6.9999999999999751</v>
      </c>
      <c r="V27" s="194">
        <f t="shared" si="21"/>
        <v>41.000000000000014</v>
      </c>
      <c r="W27" s="23"/>
      <c r="X27" s="23"/>
      <c r="Y27" s="191"/>
      <c r="Z27" s="191"/>
      <c r="AA27" s="632"/>
      <c r="AB27" s="632"/>
      <c r="AC27" s="135"/>
      <c r="AD27" s="25"/>
      <c r="AE27" s="19">
        <f t="shared" si="8"/>
        <v>-69.756097560976286</v>
      </c>
      <c r="AF27" s="190">
        <f t="shared" si="9"/>
        <v>0.96512195121951183</v>
      </c>
      <c r="AG27" s="637"/>
    </row>
    <row r="28" spans="1:33" ht="15.75" customHeight="1">
      <c r="A28" s="656" t="s">
        <v>813</v>
      </c>
      <c r="B28" s="42" t="s">
        <v>92</v>
      </c>
      <c r="C28" s="653" t="s">
        <v>140</v>
      </c>
      <c r="D28" s="653"/>
      <c r="E28" s="42">
        <v>51.06</v>
      </c>
      <c r="F28" s="195">
        <v>2535</v>
      </c>
      <c r="G28" s="191">
        <f t="shared" si="19"/>
        <v>129437.1</v>
      </c>
      <c r="H28" s="37" t="s">
        <v>91</v>
      </c>
      <c r="I28" s="193">
        <v>13</v>
      </c>
      <c r="J28" s="39">
        <v>2000</v>
      </c>
      <c r="K28" s="17">
        <f t="shared" si="1"/>
        <v>153.84615384615384</v>
      </c>
      <c r="L28" s="193">
        <v>13</v>
      </c>
      <c r="M28" s="18">
        <f t="shared" si="20"/>
        <v>1901.2499999999993</v>
      </c>
      <c r="N28" s="17">
        <f t="shared" si="3"/>
        <v>146.24999999999994</v>
      </c>
      <c r="O28" s="19">
        <f t="shared" si="4"/>
        <v>0</v>
      </c>
      <c r="P28" s="20">
        <f t="shared" si="5"/>
        <v>-7.5961538461538964</v>
      </c>
      <c r="Q28" s="190">
        <f t="shared" si="6"/>
        <v>0.95062499999999972</v>
      </c>
      <c r="R28" s="637"/>
      <c r="S28" s="40">
        <v>0.78472222222222221</v>
      </c>
      <c r="T28" s="40">
        <v>0.84027777777777779</v>
      </c>
      <c r="U28" s="191">
        <f t="shared" si="22"/>
        <v>7.9999999999999716</v>
      </c>
      <c r="V28" s="194">
        <f t="shared" si="21"/>
        <v>80.000000000000028</v>
      </c>
      <c r="W28" s="23"/>
      <c r="X28" s="28"/>
      <c r="Y28" s="28"/>
      <c r="Z28" s="28"/>
      <c r="AA28" s="632"/>
      <c r="AB28" s="632"/>
      <c r="AC28" s="135"/>
      <c r="AD28" s="25"/>
      <c r="AE28" s="19">
        <f t="shared" si="8"/>
        <v>-98.750000000000682</v>
      </c>
      <c r="AF28" s="190">
        <f t="shared" si="9"/>
        <v>0.95062499999999961</v>
      </c>
      <c r="AG28" s="637"/>
    </row>
    <row r="29" spans="1:33" ht="15.75" customHeight="1">
      <c r="A29" s="656" t="s">
        <v>813</v>
      </c>
      <c r="B29" s="42" t="s">
        <v>810</v>
      </c>
      <c r="C29" s="638"/>
      <c r="D29" s="638"/>
      <c r="E29" s="192"/>
      <c r="F29" s="195"/>
      <c r="G29" s="191"/>
      <c r="H29" s="195"/>
      <c r="I29" s="29">
        <v>15.666666666666666</v>
      </c>
      <c r="J29" s="39">
        <v>2000</v>
      </c>
      <c r="K29" s="17">
        <f t="shared" si="1"/>
        <v>127.65957446808511</v>
      </c>
      <c r="L29" s="29">
        <v>15.666666666666666</v>
      </c>
      <c r="M29" s="18">
        <f>AVERAGE(M23:M28)</f>
        <v>1926.0744147743208</v>
      </c>
      <c r="N29" s="17">
        <f t="shared" si="3"/>
        <v>122.94092009197793</v>
      </c>
      <c r="O29" s="19">
        <f t="shared" si="4"/>
        <v>0</v>
      </c>
      <c r="P29" s="20">
        <f t="shared" si="5"/>
        <v>-4.7186543761071817</v>
      </c>
      <c r="Q29" s="190">
        <f t="shared" si="6"/>
        <v>0.96303720738716037</v>
      </c>
      <c r="R29" s="637"/>
      <c r="S29" s="40"/>
      <c r="T29" s="40"/>
      <c r="U29" s="17"/>
      <c r="V29" s="194"/>
      <c r="W29" s="17"/>
      <c r="X29" s="17"/>
      <c r="Y29" s="30">
        <f>SUM(Y23:Y28)</f>
        <v>0</v>
      </c>
      <c r="Z29" s="30">
        <f>SUM(Z23:Z28)</f>
        <v>0</v>
      </c>
      <c r="AA29" s="631"/>
      <c r="AB29" s="631"/>
      <c r="AC29" s="30">
        <v>6</v>
      </c>
      <c r="AD29" s="30">
        <f>SUM(AD23:AD28)</f>
        <v>0</v>
      </c>
      <c r="AE29" s="19">
        <f t="shared" si="8"/>
        <v>-73.925585225679242</v>
      </c>
      <c r="AF29" s="190">
        <f t="shared" si="9"/>
        <v>0.96303720738716037</v>
      </c>
      <c r="AG29" s="637"/>
    </row>
    <row r="30" spans="1:33" ht="15.75" customHeight="1">
      <c r="A30" s="654" t="s">
        <v>814</v>
      </c>
      <c r="B30" s="42" t="s">
        <v>116</v>
      </c>
      <c r="C30" s="653" t="s">
        <v>117</v>
      </c>
      <c r="D30" s="653"/>
      <c r="E30" s="42">
        <v>31.29</v>
      </c>
      <c r="F30" s="195">
        <v>6846</v>
      </c>
      <c r="G30" s="191">
        <f t="shared" ref="G30:G34" si="23">E30*F30</f>
        <v>214211.34</v>
      </c>
      <c r="H30" s="37" t="s">
        <v>91</v>
      </c>
      <c r="I30" s="193">
        <v>18</v>
      </c>
      <c r="J30" s="39">
        <v>2400</v>
      </c>
      <c r="K30" s="17">
        <f t="shared" si="1"/>
        <v>133.33333333333334</v>
      </c>
      <c r="L30" s="193">
        <v>18</v>
      </c>
      <c r="M30" s="18">
        <f t="shared" ref="M30:M34" si="24">F30/V30*60</f>
        <v>2294.7486033519558</v>
      </c>
      <c r="N30" s="17">
        <f t="shared" si="3"/>
        <v>127.4860335195531</v>
      </c>
      <c r="O30" s="19">
        <f t="shared" si="4"/>
        <v>0</v>
      </c>
      <c r="P30" s="20">
        <f t="shared" si="5"/>
        <v>-5.8472998137802392</v>
      </c>
      <c r="Q30" s="190">
        <f t="shared" si="6"/>
        <v>0.95614525139664819</v>
      </c>
      <c r="R30" s="637">
        <f>Q35</f>
        <v>0.95849350606164219</v>
      </c>
      <c r="S30" s="40">
        <v>8.3333333333333329E-2</v>
      </c>
      <c r="T30" s="40">
        <v>0.20763888888888887</v>
      </c>
      <c r="U30" s="191"/>
      <c r="V30" s="194">
        <f t="shared" ref="V30:V34" si="25">(T30-S30)*24*60</f>
        <v>178.99999999999997</v>
      </c>
      <c r="W30" s="23">
        <f>T30</f>
        <v>0.20763888888888887</v>
      </c>
      <c r="X30" s="23">
        <f>S31</f>
        <v>0.22638888888888886</v>
      </c>
      <c r="Y30" s="23"/>
      <c r="Z30" s="23"/>
      <c r="AA30" s="632"/>
      <c r="AB30" s="632"/>
      <c r="AC30" s="135">
        <v>5</v>
      </c>
      <c r="AD30" s="25"/>
      <c r="AE30" s="19">
        <f t="shared" si="8"/>
        <v>-105.25139664804419</v>
      </c>
      <c r="AF30" s="190">
        <f t="shared" si="9"/>
        <v>0.9561452513966483</v>
      </c>
      <c r="AG30" s="637">
        <f>AF35</f>
        <v>0.9584935060616423</v>
      </c>
    </row>
    <row r="31" spans="1:33" ht="15.75" customHeight="1">
      <c r="A31" s="654" t="s">
        <v>814</v>
      </c>
      <c r="B31" s="42" t="s">
        <v>116</v>
      </c>
      <c r="C31" s="653" t="s">
        <v>118</v>
      </c>
      <c r="D31" s="653"/>
      <c r="E31" s="42">
        <v>26.37</v>
      </c>
      <c r="F31" s="195">
        <v>4953</v>
      </c>
      <c r="G31" s="191">
        <f t="shared" si="23"/>
        <v>130610.61</v>
      </c>
      <c r="H31" s="37" t="s">
        <v>91</v>
      </c>
      <c r="I31" s="193">
        <v>18</v>
      </c>
      <c r="J31" s="39">
        <v>2400</v>
      </c>
      <c r="K31" s="17">
        <f t="shared" si="1"/>
        <v>133.33333333333334</v>
      </c>
      <c r="L31" s="193">
        <v>18</v>
      </c>
      <c r="M31" s="18">
        <f t="shared" si="24"/>
        <v>2285.9999999999995</v>
      </c>
      <c r="N31" s="17">
        <f t="shared" si="3"/>
        <v>126.99999999999997</v>
      </c>
      <c r="O31" s="19">
        <f t="shared" si="4"/>
        <v>0</v>
      </c>
      <c r="P31" s="20">
        <f t="shared" si="5"/>
        <v>-6.3333333333333712</v>
      </c>
      <c r="Q31" s="190">
        <f t="shared" si="6"/>
        <v>0.95249999999999968</v>
      </c>
      <c r="R31" s="637"/>
      <c r="S31" s="40">
        <v>0.22638888888888886</v>
      </c>
      <c r="T31" s="40">
        <v>0.31666666666666665</v>
      </c>
      <c r="U31" s="191">
        <f t="shared" ref="U31:U34" si="26">(S31-T30)*24*60</f>
        <v>26.999999999999986</v>
      </c>
      <c r="V31" s="194">
        <f t="shared" si="25"/>
        <v>130.00000000000003</v>
      </c>
      <c r="W31" s="23"/>
      <c r="X31" s="23"/>
      <c r="Y31" s="23"/>
      <c r="Z31" s="23"/>
      <c r="AA31" s="632"/>
      <c r="AB31" s="632"/>
      <c r="AC31" s="135"/>
      <c r="AD31" s="25"/>
      <c r="AE31" s="19">
        <f t="shared" si="8"/>
        <v>-114.00000000000045</v>
      </c>
      <c r="AF31" s="190">
        <f t="shared" si="9"/>
        <v>0.95249999999999979</v>
      </c>
      <c r="AG31" s="637"/>
    </row>
    <row r="32" spans="1:33" ht="15.75" customHeight="1">
      <c r="A32" s="654" t="s">
        <v>814</v>
      </c>
      <c r="B32" s="42" t="s">
        <v>116</v>
      </c>
      <c r="C32" s="653" t="s">
        <v>124</v>
      </c>
      <c r="D32" s="653"/>
      <c r="E32" s="42">
        <v>24.43</v>
      </c>
      <c r="F32" s="195">
        <v>5623</v>
      </c>
      <c r="G32" s="191">
        <f t="shared" si="23"/>
        <v>137369.88999999998</v>
      </c>
      <c r="H32" s="37" t="s">
        <v>91</v>
      </c>
      <c r="I32" s="193">
        <v>14</v>
      </c>
      <c r="J32" s="39">
        <v>2400</v>
      </c>
      <c r="K32" s="17">
        <f t="shared" si="1"/>
        <v>171.42857142857142</v>
      </c>
      <c r="L32" s="193">
        <v>14</v>
      </c>
      <c r="M32" s="18">
        <f t="shared" si="24"/>
        <v>2295.1020408163263</v>
      </c>
      <c r="N32" s="17">
        <f t="shared" si="3"/>
        <v>163.93586005830903</v>
      </c>
      <c r="O32" s="19">
        <f t="shared" si="4"/>
        <v>0</v>
      </c>
      <c r="P32" s="20">
        <f t="shared" si="5"/>
        <v>-7.4927113702623842</v>
      </c>
      <c r="Q32" s="190">
        <f t="shared" si="6"/>
        <v>0.95629251700680273</v>
      </c>
      <c r="R32" s="637"/>
      <c r="S32" s="40">
        <v>0.3208333333333333</v>
      </c>
      <c r="T32" s="40">
        <v>0.42291666666666666</v>
      </c>
      <c r="U32" s="191">
        <f t="shared" si="26"/>
        <v>5.9999999999999787</v>
      </c>
      <c r="V32" s="194">
        <f t="shared" si="25"/>
        <v>147.00000000000003</v>
      </c>
      <c r="W32" s="23"/>
      <c r="X32" s="23"/>
      <c r="Y32" s="23"/>
      <c r="Z32" s="23"/>
      <c r="AA32" s="632"/>
      <c r="AB32" s="632"/>
      <c r="AC32" s="135"/>
      <c r="AD32" s="25"/>
      <c r="AE32" s="19">
        <f t="shared" si="8"/>
        <v>-104.89795918367372</v>
      </c>
      <c r="AF32" s="190">
        <f t="shared" si="9"/>
        <v>0.95629251700680262</v>
      </c>
      <c r="AG32" s="637"/>
    </row>
    <row r="33" spans="1:33" ht="15.75" customHeight="1">
      <c r="A33" s="654" t="s">
        <v>814</v>
      </c>
      <c r="B33" s="42" t="s">
        <v>116</v>
      </c>
      <c r="C33" s="653" t="s">
        <v>147</v>
      </c>
      <c r="D33" s="653"/>
      <c r="E33" s="42">
        <v>25.98</v>
      </c>
      <c r="F33" s="195">
        <v>2147</v>
      </c>
      <c r="G33" s="191">
        <f t="shared" si="23"/>
        <v>55779.06</v>
      </c>
      <c r="H33" s="37" t="s">
        <v>91</v>
      </c>
      <c r="I33" s="193">
        <v>17</v>
      </c>
      <c r="J33" s="39">
        <v>2400</v>
      </c>
      <c r="K33" s="17">
        <f t="shared" si="1"/>
        <v>141.1764705882353</v>
      </c>
      <c r="L33" s="193">
        <v>17</v>
      </c>
      <c r="M33" s="18">
        <f t="shared" si="24"/>
        <v>2300.3571428571413</v>
      </c>
      <c r="N33" s="17">
        <f t="shared" si="3"/>
        <v>135.31512605042008</v>
      </c>
      <c r="O33" s="19">
        <f t="shared" si="4"/>
        <v>0</v>
      </c>
      <c r="P33" s="20">
        <f t="shared" si="5"/>
        <v>-5.8613445378152278</v>
      </c>
      <c r="Q33" s="190">
        <f t="shared" si="6"/>
        <v>0.95848214285714217</v>
      </c>
      <c r="R33" s="637"/>
      <c r="S33" s="40">
        <v>0.42638888888888887</v>
      </c>
      <c r="T33" s="40">
        <v>0.46527777777777779</v>
      </c>
      <c r="U33" s="191">
        <f t="shared" si="26"/>
        <v>4.9999999999999822</v>
      </c>
      <c r="V33" s="194">
        <f t="shared" si="25"/>
        <v>56.000000000000043</v>
      </c>
      <c r="W33" s="23"/>
      <c r="X33" s="23"/>
      <c r="Y33" s="23"/>
      <c r="Z33" s="23"/>
      <c r="AA33" s="632"/>
      <c r="AB33" s="632"/>
      <c r="AC33" s="135"/>
      <c r="AD33" s="25"/>
      <c r="AE33" s="19">
        <f t="shared" si="8"/>
        <v>-99.642857142858702</v>
      </c>
      <c r="AF33" s="190">
        <f t="shared" si="9"/>
        <v>0.95848214285714217</v>
      </c>
      <c r="AG33" s="637"/>
    </row>
    <row r="34" spans="1:33" ht="15.75" customHeight="1">
      <c r="A34" s="654" t="s">
        <v>814</v>
      </c>
      <c r="B34" s="42" t="s">
        <v>116</v>
      </c>
      <c r="C34" s="653" t="s">
        <v>122</v>
      </c>
      <c r="D34" s="653"/>
      <c r="E34" s="42">
        <v>20.21</v>
      </c>
      <c r="F34" s="195">
        <v>1628</v>
      </c>
      <c r="G34" s="191">
        <f t="shared" si="23"/>
        <v>32901.880000000005</v>
      </c>
      <c r="H34" s="37" t="s">
        <v>91</v>
      </c>
      <c r="I34" s="193">
        <v>18</v>
      </c>
      <c r="J34" s="39">
        <v>2400</v>
      </c>
      <c r="K34" s="17">
        <f t="shared" si="1"/>
        <v>133.33333333333334</v>
      </c>
      <c r="L34" s="193">
        <v>18</v>
      </c>
      <c r="M34" s="18">
        <f t="shared" si="24"/>
        <v>2325.7142857142853</v>
      </c>
      <c r="N34" s="17">
        <f t="shared" si="3"/>
        <v>129.20634920634919</v>
      </c>
      <c r="O34" s="19">
        <f t="shared" si="4"/>
        <v>0</v>
      </c>
      <c r="P34" s="20">
        <f t="shared" si="5"/>
        <v>-4.126984126984155</v>
      </c>
      <c r="Q34" s="190">
        <f t="shared" si="6"/>
        <v>0.96904761904761882</v>
      </c>
      <c r="R34" s="637"/>
      <c r="S34" s="40">
        <v>0.46944444444444444</v>
      </c>
      <c r="T34" s="40">
        <v>0.49861111111111112</v>
      </c>
      <c r="U34" s="191">
        <f t="shared" si="26"/>
        <v>5.9999999999999787</v>
      </c>
      <c r="V34" s="194">
        <f t="shared" si="25"/>
        <v>42.000000000000014</v>
      </c>
      <c r="W34" s="23"/>
      <c r="X34" s="23"/>
      <c r="Y34" s="23"/>
      <c r="Z34" s="23"/>
      <c r="AA34" s="632"/>
      <c r="AB34" s="632"/>
      <c r="AC34" s="135"/>
      <c r="AD34" s="25"/>
      <c r="AE34" s="19">
        <f t="shared" si="8"/>
        <v>-74.285714285714675</v>
      </c>
      <c r="AF34" s="190">
        <f t="shared" si="9"/>
        <v>0.96904761904761894</v>
      </c>
      <c r="AG34" s="637"/>
    </row>
    <row r="35" spans="1:33" ht="15.75" customHeight="1">
      <c r="A35" s="654" t="s">
        <v>814</v>
      </c>
      <c r="B35" s="42" t="s">
        <v>810</v>
      </c>
      <c r="C35" s="638"/>
      <c r="D35" s="638"/>
      <c r="E35" s="192"/>
      <c r="F35" s="195"/>
      <c r="G35" s="191"/>
      <c r="H35" s="195"/>
      <c r="I35" s="29">
        <v>17</v>
      </c>
      <c r="J35" s="39">
        <v>2400</v>
      </c>
      <c r="K35" s="17">
        <f t="shared" si="1"/>
        <v>141.1764705882353</v>
      </c>
      <c r="L35" s="29">
        <v>17</v>
      </c>
      <c r="M35" s="18">
        <f>AVERAGE(M30:M34)</f>
        <v>2300.3844145479416</v>
      </c>
      <c r="N35" s="17">
        <f t="shared" si="3"/>
        <v>135.31673026752597</v>
      </c>
      <c r="O35" s="19">
        <f t="shared" si="4"/>
        <v>0</v>
      </c>
      <c r="P35" s="20">
        <f t="shared" si="5"/>
        <v>-5.859740320709335</v>
      </c>
      <c r="Q35" s="190">
        <f t="shared" si="6"/>
        <v>0.95849350606164219</v>
      </c>
      <c r="R35" s="637"/>
      <c r="S35" s="40"/>
      <c r="T35" s="40"/>
      <c r="U35" s="191"/>
      <c r="V35" s="194"/>
      <c r="W35" s="191"/>
      <c r="X35" s="191"/>
      <c r="Y35" s="30">
        <f>SUM(Y30:Y34)</f>
        <v>0</v>
      </c>
      <c r="Z35" s="30">
        <f>SUM(Z30:Z34)</f>
        <v>0</v>
      </c>
      <c r="AA35" s="631"/>
      <c r="AB35" s="631"/>
      <c r="AC35" s="30">
        <v>5</v>
      </c>
      <c r="AD35" s="30">
        <f>SUM(AD30:AD34)</f>
        <v>0</v>
      </c>
      <c r="AE35" s="19">
        <f t="shared" si="8"/>
        <v>-99.61558545205844</v>
      </c>
      <c r="AF35" s="190">
        <f t="shared" si="9"/>
        <v>0.9584935060616423</v>
      </c>
      <c r="AG35" s="637"/>
    </row>
    <row r="36" spans="1:33" ht="15.75" customHeight="1">
      <c r="A36" s="651" t="s">
        <v>815</v>
      </c>
      <c r="B36" s="42" t="s">
        <v>116</v>
      </c>
      <c r="C36" s="633" t="s">
        <v>123</v>
      </c>
      <c r="D36" s="633"/>
      <c r="E36" s="42">
        <v>26.18</v>
      </c>
      <c r="F36" s="195">
        <v>4634</v>
      </c>
      <c r="G36" s="191">
        <f t="shared" ref="G36:G41" si="27">E36*F36</f>
        <v>121318.12</v>
      </c>
      <c r="H36" s="37" t="s">
        <v>91</v>
      </c>
      <c r="I36" s="193">
        <v>20</v>
      </c>
      <c r="J36" s="39">
        <v>2400</v>
      </c>
      <c r="K36" s="17">
        <f t="shared" si="1"/>
        <v>120</v>
      </c>
      <c r="L36" s="193">
        <v>20</v>
      </c>
      <c r="M36" s="18">
        <f t="shared" ref="M36:M41" si="28">F36/V36*60</f>
        <v>2297.8512396694214</v>
      </c>
      <c r="N36" s="17">
        <f t="shared" si="3"/>
        <v>114.89256198347107</v>
      </c>
      <c r="O36" s="19">
        <f t="shared" si="4"/>
        <v>0</v>
      </c>
      <c r="P36" s="20">
        <f t="shared" si="5"/>
        <v>-5.1074380165289313</v>
      </c>
      <c r="Q36" s="190">
        <f t="shared" si="6"/>
        <v>0.95743801652892557</v>
      </c>
      <c r="R36" s="637">
        <f>Q42</f>
        <v>0.95665386744774716</v>
      </c>
      <c r="S36" s="40">
        <v>8.3333333333333329E-2</v>
      </c>
      <c r="T36" s="40">
        <v>0.1673611111111111</v>
      </c>
      <c r="U36" s="191"/>
      <c r="V36" s="194">
        <f t="shared" ref="V36:V41" si="29">(T36-S36)*24*60</f>
        <v>121</v>
      </c>
      <c r="W36" s="28">
        <f>T36</f>
        <v>0.1673611111111111</v>
      </c>
      <c r="X36" s="28">
        <f>S37</f>
        <v>0.18541666666666665</v>
      </c>
      <c r="Y36" s="28"/>
      <c r="Z36" s="28"/>
      <c r="AA36" s="632"/>
      <c r="AB36" s="632"/>
      <c r="AC36" s="135">
        <v>6</v>
      </c>
      <c r="AD36" s="25"/>
      <c r="AE36" s="19">
        <f t="shared" si="8"/>
        <v>-102.14876033057863</v>
      </c>
      <c r="AF36" s="190">
        <f t="shared" si="9"/>
        <v>0.95743801652892557</v>
      </c>
      <c r="AG36" s="637">
        <f>AF42</f>
        <v>0.95665386744774727</v>
      </c>
    </row>
    <row r="37" spans="1:33" ht="15.75" customHeight="1">
      <c r="A37" s="651" t="s">
        <v>815</v>
      </c>
      <c r="B37" s="42" t="s">
        <v>116</v>
      </c>
      <c r="C37" s="633" t="s">
        <v>125</v>
      </c>
      <c r="D37" s="633"/>
      <c r="E37" s="42">
        <v>25.98</v>
      </c>
      <c r="F37" s="195">
        <v>2580</v>
      </c>
      <c r="G37" s="191">
        <f t="shared" si="27"/>
        <v>67028.399999999994</v>
      </c>
      <c r="H37" s="37" t="s">
        <v>91</v>
      </c>
      <c r="I37" s="193">
        <v>20</v>
      </c>
      <c r="J37" s="39">
        <v>2400</v>
      </c>
      <c r="K37" s="17">
        <f t="shared" si="1"/>
        <v>120</v>
      </c>
      <c r="L37" s="193">
        <v>20</v>
      </c>
      <c r="M37" s="18">
        <f t="shared" si="28"/>
        <v>2310.4477611940301</v>
      </c>
      <c r="N37" s="17">
        <f t="shared" si="3"/>
        <v>115.52238805970151</v>
      </c>
      <c r="O37" s="19">
        <f t="shared" si="4"/>
        <v>0</v>
      </c>
      <c r="P37" s="20">
        <f t="shared" si="5"/>
        <v>-4.4776119402984875</v>
      </c>
      <c r="Q37" s="190">
        <f t="shared" si="6"/>
        <v>0.96268656716417922</v>
      </c>
      <c r="R37" s="637"/>
      <c r="S37" s="40">
        <v>0.18541666666666665</v>
      </c>
      <c r="T37" s="40">
        <v>0.23194444444444443</v>
      </c>
      <c r="U37" s="191">
        <f t="shared" ref="U37:U41" si="30">(S37-T36)*24*60</f>
        <v>25.999999999999986</v>
      </c>
      <c r="V37" s="194">
        <f t="shared" si="29"/>
        <v>67</v>
      </c>
      <c r="W37" s="191"/>
      <c r="X37" s="191"/>
      <c r="Y37" s="191"/>
      <c r="Z37" s="191"/>
      <c r="AA37" s="632"/>
      <c r="AB37" s="632"/>
      <c r="AC37" s="135"/>
      <c r="AD37" s="25"/>
      <c r="AE37" s="19">
        <f t="shared" si="8"/>
        <v>-89.552238805969864</v>
      </c>
      <c r="AF37" s="190">
        <f t="shared" si="9"/>
        <v>0.96268656716417922</v>
      </c>
      <c r="AG37" s="637"/>
    </row>
    <row r="38" spans="1:33">
      <c r="A38" s="652" t="s">
        <v>815</v>
      </c>
      <c r="B38" s="42" t="s">
        <v>116</v>
      </c>
      <c r="C38" s="633" t="s">
        <v>119</v>
      </c>
      <c r="D38" s="633"/>
      <c r="E38" s="42">
        <v>26.18</v>
      </c>
      <c r="F38" s="195">
        <v>2600</v>
      </c>
      <c r="G38" s="191">
        <f t="shared" si="27"/>
        <v>68068</v>
      </c>
      <c r="H38" s="37">
        <v>2</v>
      </c>
      <c r="I38" s="193">
        <v>18</v>
      </c>
      <c r="J38" s="39">
        <v>2400</v>
      </c>
      <c r="K38" s="17">
        <f t="shared" si="1"/>
        <v>133.33333333333334</v>
      </c>
      <c r="L38" s="193">
        <v>18</v>
      </c>
      <c r="M38" s="18">
        <f t="shared" si="28"/>
        <v>2294.1176470588221</v>
      </c>
      <c r="N38" s="17">
        <f t="shared" si="3"/>
        <v>127.45098039215678</v>
      </c>
      <c r="O38" s="19">
        <f t="shared" si="4"/>
        <v>0</v>
      </c>
      <c r="P38" s="20">
        <f t="shared" si="5"/>
        <v>-5.8823529411765634</v>
      </c>
      <c r="Q38" s="190">
        <f t="shared" si="6"/>
        <v>0.95588235294117574</v>
      </c>
      <c r="R38" s="637"/>
      <c r="S38" s="40">
        <v>0.23541666666666664</v>
      </c>
      <c r="T38" s="40">
        <v>0.28263888888888888</v>
      </c>
      <c r="U38" s="191">
        <f t="shared" si="30"/>
        <v>4.9999999999999822</v>
      </c>
      <c r="V38" s="194">
        <f t="shared" si="29"/>
        <v>68.000000000000043</v>
      </c>
      <c r="W38" s="191"/>
      <c r="X38" s="191"/>
      <c r="Y38" s="191"/>
      <c r="Z38" s="191"/>
      <c r="AA38" s="632"/>
      <c r="AB38" s="632"/>
      <c r="AC38" s="135"/>
      <c r="AD38" s="25"/>
      <c r="AE38" s="19">
        <f t="shared" si="8"/>
        <v>-105.88235294117794</v>
      </c>
      <c r="AF38" s="190">
        <f t="shared" si="9"/>
        <v>0.95588235294117585</v>
      </c>
      <c r="AG38" s="637"/>
    </row>
    <row r="39" spans="1:33">
      <c r="A39" s="652" t="s">
        <v>815</v>
      </c>
      <c r="B39" s="42" t="s">
        <v>116</v>
      </c>
      <c r="C39" s="633" t="s">
        <v>121</v>
      </c>
      <c r="D39" s="633"/>
      <c r="E39" s="42">
        <v>25.99</v>
      </c>
      <c r="F39" s="195">
        <v>3010</v>
      </c>
      <c r="G39" s="191">
        <f t="shared" si="27"/>
        <v>78229.899999999994</v>
      </c>
      <c r="H39" s="37" t="s">
        <v>91</v>
      </c>
      <c r="I39" s="193">
        <v>14</v>
      </c>
      <c r="J39" s="39">
        <v>2400</v>
      </c>
      <c r="K39" s="17">
        <f t="shared" si="1"/>
        <v>171.42857142857142</v>
      </c>
      <c r="L39" s="193">
        <v>14</v>
      </c>
      <c r="M39" s="18">
        <f t="shared" si="28"/>
        <v>2286.0759493670876</v>
      </c>
      <c r="N39" s="17">
        <f t="shared" si="3"/>
        <v>163.29113924050625</v>
      </c>
      <c r="O39" s="19">
        <f t="shared" si="4"/>
        <v>0</v>
      </c>
      <c r="P39" s="20">
        <f t="shared" si="5"/>
        <v>-8.1374321880651621</v>
      </c>
      <c r="Q39" s="190">
        <f t="shared" si="6"/>
        <v>0.95253164556961989</v>
      </c>
      <c r="R39" s="637"/>
      <c r="S39" s="40">
        <v>0.28611111111111109</v>
      </c>
      <c r="T39" s="40">
        <v>0.34097222222222223</v>
      </c>
      <c r="U39" s="191">
        <f t="shared" si="30"/>
        <v>4.9999999999999822</v>
      </c>
      <c r="V39" s="194">
        <f t="shared" si="29"/>
        <v>79.000000000000043</v>
      </c>
      <c r="W39" s="23"/>
      <c r="X39" s="23"/>
      <c r="Y39" s="23"/>
      <c r="Z39" s="23"/>
      <c r="AA39" s="632"/>
      <c r="AB39" s="632"/>
      <c r="AC39" s="135"/>
      <c r="AD39" s="25"/>
      <c r="AE39" s="19">
        <f t="shared" si="8"/>
        <v>-113.92405063291244</v>
      </c>
      <c r="AF39" s="190">
        <f t="shared" si="9"/>
        <v>0.95253164556961978</v>
      </c>
      <c r="AG39" s="637"/>
    </row>
    <row r="40" spans="1:33">
      <c r="A40" s="652" t="s">
        <v>815</v>
      </c>
      <c r="B40" s="42" t="s">
        <v>116</v>
      </c>
      <c r="C40" s="633" t="s">
        <v>126</v>
      </c>
      <c r="D40" s="633"/>
      <c r="E40" s="42">
        <v>34.1</v>
      </c>
      <c r="F40" s="195">
        <v>4843</v>
      </c>
      <c r="G40" s="191">
        <f t="shared" si="27"/>
        <v>165146.30000000002</v>
      </c>
      <c r="H40" s="37" t="s">
        <v>91</v>
      </c>
      <c r="I40" s="193">
        <v>17</v>
      </c>
      <c r="J40" s="39">
        <v>1600</v>
      </c>
      <c r="K40" s="17">
        <f t="shared" si="1"/>
        <v>94.117647058823536</v>
      </c>
      <c r="L40" s="193">
        <v>17</v>
      </c>
      <c r="M40" s="18">
        <f t="shared" si="28"/>
        <v>1529.3684210526319</v>
      </c>
      <c r="N40" s="17">
        <f t="shared" si="3"/>
        <v>89.96284829721364</v>
      </c>
      <c r="O40" s="19">
        <f t="shared" si="4"/>
        <v>0</v>
      </c>
      <c r="P40" s="20">
        <f t="shared" si="5"/>
        <v>-4.1547987616098965</v>
      </c>
      <c r="Q40" s="190">
        <f t="shared" si="6"/>
        <v>0.95585526315789482</v>
      </c>
      <c r="R40" s="637"/>
      <c r="S40" s="40">
        <v>0.34444444444444444</v>
      </c>
      <c r="T40" s="40">
        <v>0.47638888888888886</v>
      </c>
      <c r="U40" s="191">
        <f t="shared" si="30"/>
        <v>4.9999999999999822</v>
      </c>
      <c r="V40" s="194">
        <f t="shared" si="29"/>
        <v>189.99999999999997</v>
      </c>
      <c r="W40" s="23">
        <f>T40</f>
        <v>0.47638888888888886</v>
      </c>
      <c r="X40" s="23">
        <f>S41</f>
        <v>0.51458333333333328</v>
      </c>
      <c r="Y40" s="23"/>
      <c r="Z40" s="23"/>
      <c r="AA40" s="632"/>
      <c r="AB40" s="632"/>
      <c r="AC40" s="135"/>
      <c r="AD40" s="25"/>
      <c r="AE40" s="19">
        <f t="shared" si="8"/>
        <v>-70.631578947368098</v>
      </c>
      <c r="AF40" s="190">
        <f t="shared" si="9"/>
        <v>0.95585526315789493</v>
      </c>
      <c r="AG40" s="637"/>
    </row>
    <row r="41" spans="1:33">
      <c r="A41" s="652" t="s">
        <v>815</v>
      </c>
      <c r="B41" s="42" t="s">
        <v>116</v>
      </c>
      <c r="C41" s="633" t="s">
        <v>119</v>
      </c>
      <c r="D41" s="633"/>
      <c r="E41" s="42">
        <v>26.18</v>
      </c>
      <c r="F41" s="195">
        <v>3630</v>
      </c>
      <c r="G41" s="191">
        <f t="shared" si="27"/>
        <v>95033.4</v>
      </c>
      <c r="H41" s="37" t="s">
        <v>91</v>
      </c>
      <c r="I41" s="193">
        <v>18</v>
      </c>
      <c r="J41" s="39">
        <v>2400</v>
      </c>
      <c r="K41" s="17">
        <f t="shared" si="1"/>
        <v>133.33333333333334</v>
      </c>
      <c r="L41" s="193">
        <v>18</v>
      </c>
      <c r="M41" s="18">
        <f t="shared" si="28"/>
        <v>2292.6315789473688</v>
      </c>
      <c r="N41" s="17">
        <f t="shared" si="3"/>
        <v>127.3684210526316</v>
      </c>
      <c r="O41" s="19">
        <f t="shared" si="4"/>
        <v>0</v>
      </c>
      <c r="P41" s="20">
        <f t="shared" si="5"/>
        <v>-5.9649122807017392</v>
      </c>
      <c r="Q41" s="190">
        <f t="shared" si="6"/>
        <v>0.95526315789473693</v>
      </c>
      <c r="R41" s="637"/>
      <c r="S41" s="40">
        <v>0.51458333333333328</v>
      </c>
      <c r="T41" s="40">
        <v>0.58055555555555549</v>
      </c>
      <c r="U41" s="191">
        <f t="shared" si="30"/>
        <v>54.999999999999964</v>
      </c>
      <c r="V41" s="194">
        <f t="shared" si="29"/>
        <v>94.999999999999986</v>
      </c>
      <c r="W41" s="23"/>
      <c r="X41" s="23"/>
      <c r="Y41" s="23"/>
      <c r="Z41" s="23"/>
      <c r="AA41" s="632"/>
      <c r="AB41" s="632"/>
      <c r="AC41" s="135"/>
      <c r="AD41" s="25"/>
      <c r="AE41" s="19">
        <f t="shared" si="8"/>
        <v>-107.36842105263122</v>
      </c>
      <c r="AF41" s="190">
        <f t="shared" si="9"/>
        <v>0.95526315789473704</v>
      </c>
      <c r="AG41" s="637"/>
    </row>
    <row r="42" spans="1:33">
      <c r="A42" s="652" t="s">
        <v>815</v>
      </c>
      <c r="B42" s="44" t="s">
        <v>810</v>
      </c>
      <c r="C42" s="638"/>
      <c r="D42" s="638"/>
      <c r="E42" s="192"/>
      <c r="F42" s="44"/>
      <c r="G42" s="17"/>
      <c r="H42" s="195"/>
      <c r="I42" s="29">
        <v>17.833333333333332</v>
      </c>
      <c r="J42" s="39">
        <v>2266.6666666666665</v>
      </c>
      <c r="K42" s="17">
        <f t="shared" si="1"/>
        <v>127.10280373831776</v>
      </c>
      <c r="L42" s="29">
        <v>17.833333333333332</v>
      </c>
      <c r="M42" s="18">
        <f>AVERAGE(M36:M41)</f>
        <v>2168.4154328815603</v>
      </c>
      <c r="N42" s="17">
        <f t="shared" si="3"/>
        <v>121.59338875971366</v>
      </c>
      <c r="O42" s="19">
        <f t="shared" si="4"/>
        <v>0</v>
      </c>
      <c r="P42" s="20">
        <f t="shared" si="5"/>
        <v>-5.5094149786040987</v>
      </c>
      <c r="Q42" s="190">
        <f t="shared" si="6"/>
        <v>0.95665386744774716</v>
      </c>
      <c r="R42" s="637"/>
      <c r="S42" s="40"/>
      <c r="T42" s="40"/>
      <c r="U42" s="17"/>
      <c r="V42" s="194"/>
      <c r="W42" s="17"/>
      <c r="X42" s="17"/>
      <c r="Y42" s="30">
        <f>SUM(Y36:Y41)</f>
        <v>0</v>
      </c>
      <c r="Z42" s="30">
        <f>SUM(Z36:Z41)</f>
        <v>0</v>
      </c>
      <c r="AA42" s="631"/>
      <c r="AB42" s="631"/>
      <c r="AC42" s="30">
        <v>6</v>
      </c>
      <c r="AD42" s="30">
        <f>SUM(AD36:AD41)</f>
        <v>0</v>
      </c>
      <c r="AE42" s="19">
        <f t="shared" si="8"/>
        <v>-98.251233785106251</v>
      </c>
      <c r="AF42" s="190">
        <f t="shared" si="9"/>
        <v>0.95665386744774727</v>
      </c>
      <c r="AG42" s="637"/>
    </row>
    <row r="43" spans="1:33" ht="15.75" customHeight="1">
      <c r="A43" s="648" t="s">
        <v>816</v>
      </c>
      <c r="B43" s="42" t="s">
        <v>127</v>
      </c>
      <c r="C43" s="625" t="s">
        <v>128</v>
      </c>
      <c r="D43" s="626"/>
      <c r="E43" s="42">
        <v>21.13</v>
      </c>
      <c r="F43" s="195">
        <v>4383</v>
      </c>
      <c r="G43" s="191">
        <f t="shared" ref="G43:G46" si="31">E43*F43</f>
        <v>92612.79</v>
      </c>
      <c r="H43" s="37" t="s">
        <v>91</v>
      </c>
      <c r="I43" s="193">
        <v>10</v>
      </c>
      <c r="J43" s="39">
        <v>3000</v>
      </c>
      <c r="K43" s="17">
        <f t="shared" si="1"/>
        <v>300</v>
      </c>
      <c r="L43" s="193">
        <v>10</v>
      </c>
      <c r="M43" s="18">
        <f t="shared" ref="M43:M46" si="32">F43/V43*60</f>
        <v>2858.4782608695641</v>
      </c>
      <c r="N43" s="18">
        <f t="shared" si="3"/>
        <v>285.84782608695639</v>
      </c>
      <c r="O43" s="19">
        <f t="shared" si="4"/>
        <v>0</v>
      </c>
      <c r="P43" s="20">
        <f t="shared" si="5"/>
        <v>-14.152173913043612</v>
      </c>
      <c r="Q43" s="190">
        <f t="shared" si="6"/>
        <v>0.95282608695652127</v>
      </c>
      <c r="R43" s="643">
        <f>Q47</f>
        <v>0.94669666362990512</v>
      </c>
      <c r="S43" s="40">
        <v>0.20833333333333334</v>
      </c>
      <c r="T43" s="40">
        <v>0.27222222222222225</v>
      </c>
      <c r="U43" s="28"/>
      <c r="V43" s="194">
        <f t="shared" ref="V43:V46" si="33">(T43-S43)*24*60</f>
        <v>92.000000000000028</v>
      </c>
      <c r="W43" s="23"/>
      <c r="X43" s="23"/>
      <c r="Y43" s="26"/>
      <c r="Z43" s="26"/>
      <c r="AA43" s="627"/>
      <c r="AB43" s="628"/>
      <c r="AC43" s="135">
        <v>4</v>
      </c>
      <c r="AD43" s="25"/>
      <c r="AE43" s="19">
        <f t="shared" si="8"/>
        <v>-141.52173913043589</v>
      </c>
      <c r="AF43" s="190">
        <f t="shared" si="9"/>
        <v>0.95282608695652138</v>
      </c>
      <c r="AG43" s="643">
        <f>AF47</f>
        <v>0.94669666362990512</v>
      </c>
    </row>
    <row r="44" spans="1:33" ht="15.75" customHeight="1">
      <c r="A44" s="649" t="s">
        <v>816</v>
      </c>
      <c r="B44" s="42" t="s">
        <v>127</v>
      </c>
      <c r="C44" s="625" t="s">
        <v>129</v>
      </c>
      <c r="D44" s="626"/>
      <c r="E44" s="42">
        <v>27.17</v>
      </c>
      <c r="F44" s="195">
        <v>3621</v>
      </c>
      <c r="G44" s="191">
        <f t="shared" si="31"/>
        <v>98382.57</v>
      </c>
      <c r="H44" s="37" t="s">
        <v>91</v>
      </c>
      <c r="I44" s="193">
        <v>10</v>
      </c>
      <c r="J44" s="39">
        <v>3000</v>
      </c>
      <c r="K44" s="17">
        <f t="shared" si="1"/>
        <v>300</v>
      </c>
      <c r="L44" s="193">
        <v>10</v>
      </c>
      <c r="M44" s="18">
        <f t="shared" si="32"/>
        <v>2858.6842105263167</v>
      </c>
      <c r="N44" s="18">
        <f t="shared" si="3"/>
        <v>285.86842105263167</v>
      </c>
      <c r="O44" s="19">
        <f t="shared" si="4"/>
        <v>0</v>
      </c>
      <c r="P44" s="20">
        <f t="shared" si="5"/>
        <v>-14.131578947368325</v>
      </c>
      <c r="Q44" s="190">
        <f t="shared" si="6"/>
        <v>0.95289473684210557</v>
      </c>
      <c r="R44" s="644"/>
      <c r="S44" s="40">
        <v>0.27708333333333335</v>
      </c>
      <c r="T44" s="40">
        <v>0.3298611111111111</v>
      </c>
      <c r="U44" s="191">
        <f t="shared" ref="U44:U46" si="34">(S44-T43)*24*60</f>
        <v>6.9999999999999751</v>
      </c>
      <c r="V44" s="194">
        <f t="shared" si="33"/>
        <v>75.999999999999972</v>
      </c>
      <c r="W44" s="23"/>
      <c r="X44" s="23"/>
      <c r="Y44" s="26"/>
      <c r="Z44" s="26"/>
      <c r="AA44" s="627"/>
      <c r="AB44" s="628"/>
      <c r="AC44" s="135"/>
      <c r="AD44" s="25"/>
      <c r="AE44" s="19">
        <f t="shared" si="8"/>
        <v>-141.31578947368325</v>
      </c>
      <c r="AF44" s="190">
        <f t="shared" si="9"/>
        <v>0.95289473684210557</v>
      </c>
      <c r="AG44" s="644"/>
    </row>
    <row r="45" spans="1:33" ht="15.75" customHeight="1">
      <c r="A45" s="649" t="s">
        <v>816</v>
      </c>
      <c r="B45" s="42" t="s">
        <v>127</v>
      </c>
      <c r="C45" s="625" t="s">
        <v>130</v>
      </c>
      <c r="D45" s="626"/>
      <c r="E45" s="42">
        <v>35.869999999999997</v>
      </c>
      <c r="F45" s="195">
        <v>1383</v>
      </c>
      <c r="G45" s="191">
        <f t="shared" si="31"/>
        <v>49608.21</v>
      </c>
      <c r="H45" s="37" t="s">
        <v>91</v>
      </c>
      <c r="I45" s="193">
        <v>9</v>
      </c>
      <c r="J45" s="39">
        <v>3000</v>
      </c>
      <c r="K45" s="17">
        <f t="shared" si="1"/>
        <v>333.33333333333331</v>
      </c>
      <c r="L45" s="193">
        <v>9</v>
      </c>
      <c r="M45" s="18">
        <f t="shared" si="32"/>
        <v>2861.3793103448297</v>
      </c>
      <c r="N45" s="18">
        <f t="shared" si="3"/>
        <v>317.93103448275883</v>
      </c>
      <c r="O45" s="19">
        <f t="shared" si="4"/>
        <v>0</v>
      </c>
      <c r="P45" s="20">
        <f t="shared" si="5"/>
        <v>-15.402298850574482</v>
      </c>
      <c r="Q45" s="190">
        <f t="shared" si="6"/>
        <v>0.9537931034482765</v>
      </c>
      <c r="R45" s="644"/>
      <c r="S45" s="40">
        <v>0.33541666666666664</v>
      </c>
      <c r="T45" s="40">
        <v>0.35555555555555551</v>
      </c>
      <c r="U45" s="191">
        <f t="shared" si="34"/>
        <v>7.9999999999999716</v>
      </c>
      <c r="V45" s="194">
        <f t="shared" si="33"/>
        <v>28.999999999999979</v>
      </c>
      <c r="W45" s="23"/>
      <c r="X45" s="23"/>
      <c r="Y45" s="26"/>
      <c r="Z45" s="26"/>
      <c r="AA45" s="627"/>
      <c r="AB45" s="628"/>
      <c r="AC45" s="135"/>
      <c r="AD45" s="25"/>
      <c r="AE45" s="19">
        <f t="shared" si="8"/>
        <v>-138.62068965517028</v>
      </c>
      <c r="AF45" s="190">
        <f t="shared" si="9"/>
        <v>0.95379310344827661</v>
      </c>
      <c r="AG45" s="644"/>
    </row>
    <row r="46" spans="1:33" ht="15.75" customHeight="1">
      <c r="A46" s="649" t="s">
        <v>816</v>
      </c>
      <c r="B46" s="42" t="s">
        <v>127</v>
      </c>
      <c r="C46" s="625" t="s">
        <v>131</v>
      </c>
      <c r="D46" s="626"/>
      <c r="E46" s="42">
        <v>34.35</v>
      </c>
      <c r="F46" s="195">
        <v>510</v>
      </c>
      <c r="G46" s="191">
        <f t="shared" si="31"/>
        <v>17518.5</v>
      </c>
      <c r="H46" s="37" t="s">
        <v>91</v>
      </c>
      <c r="I46" s="193">
        <v>8</v>
      </c>
      <c r="J46" s="39">
        <v>3000</v>
      </c>
      <c r="K46" s="17">
        <f t="shared" si="1"/>
        <v>375</v>
      </c>
      <c r="L46" s="193">
        <v>8</v>
      </c>
      <c r="M46" s="18">
        <f t="shared" si="32"/>
        <v>2781.8181818181515</v>
      </c>
      <c r="N46" s="18">
        <f t="shared" si="3"/>
        <v>347.72727272726894</v>
      </c>
      <c r="O46" s="19">
        <f t="shared" si="4"/>
        <v>0</v>
      </c>
      <c r="P46" s="20">
        <f t="shared" si="5"/>
        <v>-27.272727272731061</v>
      </c>
      <c r="Q46" s="190">
        <f t="shared" si="6"/>
        <v>0.92727272727271715</v>
      </c>
      <c r="R46" s="644"/>
      <c r="S46" s="40">
        <v>0.35902777777777772</v>
      </c>
      <c r="T46" s="40">
        <v>0.3666666666666667</v>
      </c>
      <c r="U46" s="191">
        <f t="shared" si="34"/>
        <v>4.9999999999999822</v>
      </c>
      <c r="V46" s="194">
        <f t="shared" si="33"/>
        <v>11.000000000000121</v>
      </c>
      <c r="W46" s="23"/>
      <c r="X46" s="23"/>
      <c r="Y46" s="26"/>
      <c r="Z46" s="26"/>
      <c r="AA46" s="627"/>
      <c r="AB46" s="628"/>
      <c r="AC46" s="135"/>
      <c r="AD46" s="25"/>
      <c r="AE46" s="19">
        <f t="shared" si="8"/>
        <v>-218.18181818184848</v>
      </c>
      <c r="AF46" s="190">
        <f t="shared" si="9"/>
        <v>0.92727272727271715</v>
      </c>
      <c r="AG46" s="644"/>
    </row>
    <row r="47" spans="1:33" ht="15.75" customHeight="1">
      <c r="A47" s="650" t="s">
        <v>816</v>
      </c>
      <c r="B47" s="42" t="s">
        <v>810</v>
      </c>
      <c r="C47" s="629"/>
      <c r="D47" s="630"/>
      <c r="E47" s="188"/>
      <c r="F47" s="195"/>
      <c r="G47" s="191"/>
      <c r="H47" s="195"/>
      <c r="I47" s="29">
        <v>9.25</v>
      </c>
      <c r="J47" s="39">
        <v>3000</v>
      </c>
      <c r="K47" s="17">
        <f t="shared" si="1"/>
        <v>324.32432432432432</v>
      </c>
      <c r="L47" s="29">
        <v>9.25</v>
      </c>
      <c r="M47" s="18">
        <f>AVERAGE(M43:M46)</f>
        <v>2840.0899908897154</v>
      </c>
      <c r="N47" s="17">
        <f t="shared" si="3"/>
        <v>307.03675577186112</v>
      </c>
      <c r="O47" s="19">
        <f t="shared" si="4"/>
        <v>0</v>
      </c>
      <c r="P47" s="20">
        <f t="shared" si="5"/>
        <v>-17.287568552463199</v>
      </c>
      <c r="Q47" s="190">
        <f t="shared" si="6"/>
        <v>0.94669666362990512</v>
      </c>
      <c r="R47" s="645"/>
      <c r="S47" s="40"/>
      <c r="T47" s="40"/>
      <c r="U47" s="191"/>
      <c r="V47" s="194"/>
      <c r="W47" s="23"/>
      <c r="X47" s="23"/>
      <c r="Y47" s="30">
        <f>SUM(Y43:Y46)</f>
        <v>0</v>
      </c>
      <c r="Z47" s="30">
        <f>SUM(Z43:Z46)</f>
        <v>0</v>
      </c>
      <c r="AA47" s="646"/>
      <c r="AB47" s="647"/>
      <c r="AC47" s="30">
        <v>4</v>
      </c>
      <c r="AD47" s="30">
        <f>SUM(AD43:AD46)</f>
        <v>0</v>
      </c>
      <c r="AE47" s="19">
        <f t="shared" si="8"/>
        <v>-159.91000911028459</v>
      </c>
      <c r="AF47" s="190">
        <f t="shared" si="9"/>
        <v>0.94669666362990512</v>
      </c>
      <c r="AG47" s="645"/>
    </row>
    <row r="48" spans="1:33" ht="15.75" customHeight="1">
      <c r="A48" s="641" t="s">
        <v>817</v>
      </c>
      <c r="B48" s="42" t="s">
        <v>92</v>
      </c>
      <c r="C48" s="633" t="s">
        <v>133</v>
      </c>
      <c r="D48" s="633"/>
      <c r="E48" s="42">
        <v>59.04</v>
      </c>
      <c r="F48" s="48">
        <v>1205</v>
      </c>
      <c r="G48" s="191">
        <f t="shared" ref="G48:G54" si="35">E48*F48</f>
        <v>71143.199999999997</v>
      </c>
      <c r="H48" s="37" t="s">
        <v>91</v>
      </c>
      <c r="I48" s="193">
        <v>19</v>
      </c>
      <c r="J48" s="39">
        <v>2000</v>
      </c>
      <c r="K48" s="17">
        <f t="shared" si="1"/>
        <v>105.26315789473684</v>
      </c>
      <c r="L48" s="193">
        <v>19</v>
      </c>
      <c r="M48" s="18">
        <f t="shared" ref="M48" si="36">F48/V48*60</f>
        <v>1902.6315789473692</v>
      </c>
      <c r="N48" s="18">
        <f t="shared" si="3"/>
        <v>100.13850415512469</v>
      </c>
      <c r="O48" s="19">
        <f t="shared" si="4"/>
        <v>0</v>
      </c>
      <c r="P48" s="20">
        <f t="shared" si="5"/>
        <v>-5.1246537396121425</v>
      </c>
      <c r="Q48" s="190">
        <f t="shared" si="6"/>
        <v>0.95131578947368467</v>
      </c>
      <c r="R48" s="637">
        <f>Q55</f>
        <v>0.95741947651346138</v>
      </c>
      <c r="S48" s="40">
        <v>0.20833333333333334</v>
      </c>
      <c r="T48" s="40">
        <v>0.23472222222222222</v>
      </c>
      <c r="U48" s="28"/>
      <c r="V48" s="194">
        <f t="shared" ref="V48:V54" si="37">(T48-S48)*24*60</f>
        <v>37.999999999999986</v>
      </c>
      <c r="W48" s="23"/>
      <c r="X48" s="23"/>
      <c r="Y48" s="28"/>
      <c r="Z48" s="28"/>
      <c r="AA48" s="632"/>
      <c r="AB48" s="632"/>
      <c r="AC48" s="135">
        <v>7</v>
      </c>
      <c r="AD48" s="25"/>
      <c r="AE48" s="19">
        <f t="shared" si="8"/>
        <v>-97.368421052630765</v>
      </c>
      <c r="AF48" s="190">
        <f t="shared" si="9"/>
        <v>0.95131578947368467</v>
      </c>
      <c r="AG48" s="637">
        <f>AF55</f>
        <v>0.95741947651346138</v>
      </c>
    </row>
    <row r="49" spans="1:33" ht="15.75" customHeight="1">
      <c r="A49" s="641" t="s">
        <v>817</v>
      </c>
      <c r="B49" s="42" t="s">
        <v>103</v>
      </c>
      <c r="C49" s="633" t="s">
        <v>132</v>
      </c>
      <c r="D49" s="633"/>
      <c r="E49" s="42">
        <v>51.44</v>
      </c>
      <c r="F49" s="48">
        <v>6285</v>
      </c>
      <c r="G49" s="191">
        <f t="shared" si="35"/>
        <v>323300.39999999997</v>
      </c>
      <c r="H49" s="37" t="s">
        <v>91</v>
      </c>
      <c r="I49" s="193">
        <v>18</v>
      </c>
      <c r="J49" s="39">
        <v>2000</v>
      </c>
      <c r="K49" s="17">
        <f t="shared" si="1"/>
        <v>111.11111111111111</v>
      </c>
      <c r="L49" s="193">
        <v>18</v>
      </c>
      <c r="M49" s="18">
        <f>F49/V49*60</f>
        <v>1904.5454545454545</v>
      </c>
      <c r="N49" s="18">
        <f t="shared" si="3"/>
        <v>105.8080808080808</v>
      </c>
      <c r="O49" s="19">
        <f t="shared" si="4"/>
        <v>0</v>
      </c>
      <c r="P49" s="20">
        <f t="shared" si="5"/>
        <v>-5.3030303030303116</v>
      </c>
      <c r="Q49" s="190">
        <f t="shared" si="6"/>
        <v>0.95227272727272716</v>
      </c>
      <c r="R49" s="637"/>
      <c r="S49" s="40">
        <v>0.2388888888888889</v>
      </c>
      <c r="T49" s="40">
        <v>0.37638888888888888</v>
      </c>
      <c r="U49" s="191">
        <f t="shared" ref="U49:U54" si="38">IF(S49=TIME(17,0,0),"",(S49-T48)*24*60)</f>
        <v>6.0000000000000187</v>
      </c>
      <c r="V49" s="194">
        <f t="shared" si="37"/>
        <v>198</v>
      </c>
      <c r="W49" s="23"/>
      <c r="X49" s="23"/>
      <c r="Y49" s="23"/>
      <c r="Z49" s="23"/>
      <c r="AA49" s="632"/>
      <c r="AB49" s="632"/>
      <c r="AC49" s="135"/>
      <c r="AD49" s="25"/>
      <c r="AE49" s="19">
        <f t="shared" si="8"/>
        <v>-95.454545454545496</v>
      </c>
      <c r="AF49" s="190">
        <f t="shared" si="9"/>
        <v>0.95227272727272727</v>
      </c>
      <c r="AG49" s="637"/>
    </row>
    <row r="50" spans="1:33" ht="15.75" customHeight="1">
      <c r="A50" s="641" t="s">
        <v>817</v>
      </c>
      <c r="B50" s="42" t="s">
        <v>92</v>
      </c>
      <c r="C50" s="625" t="s">
        <v>135</v>
      </c>
      <c r="D50" s="626"/>
      <c r="E50" s="42">
        <v>51.44</v>
      </c>
      <c r="F50" s="48">
        <v>1334</v>
      </c>
      <c r="G50" s="191">
        <f t="shared" si="35"/>
        <v>68620.959999999992</v>
      </c>
      <c r="H50" s="37" t="s">
        <v>91</v>
      </c>
      <c r="I50" s="193">
        <v>25</v>
      </c>
      <c r="J50" s="39">
        <v>2000</v>
      </c>
      <c r="K50" s="17">
        <f t="shared" si="1"/>
        <v>80</v>
      </c>
      <c r="L50" s="193">
        <v>25</v>
      </c>
      <c r="M50" s="18">
        <f t="shared" ref="M50:M54" si="39">F50/V50*60</f>
        <v>1905.7142857142851</v>
      </c>
      <c r="N50" s="18">
        <f t="shared" si="3"/>
        <v>76.228571428571399</v>
      </c>
      <c r="O50" s="19">
        <f t="shared" si="4"/>
        <v>0</v>
      </c>
      <c r="P50" s="20">
        <f t="shared" si="5"/>
        <v>-3.7714285714286007</v>
      </c>
      <c r="Q50" s="190">
        <f t="shared" si="6"/>
        <v>0.95285714285714251</v>
      </c>
      <c r="R50" s="637"/>
      <c r="S50" s="40">
        <v>0.38055555555555554</v>
      </c>
      <c r="T50" s="40">
        <v>0.40972222222222221</v>
      </c>
      <c r="U50" s="191">
        <f t="shared" si="38"/>
        <v>5.9999999999999787</v>
      </c>
      <c r="V50" s="194">
        <f t="shared" si="37"/>
        <v>42.000000000000014</v>
      </c>
      <c r="W50" s="23"/>
      <c r="X50" s="23"/>
      <c r="Y50" s="26"/>
      <c r="Z50" s="26"/>
      <c r="AA50" s="632"/>
      <c r="AB50" s="632"/>
      <c r="AC50" s="135"/>
      <c r="AD50" s="25"/>
      <c r="AE50" s="19">
        <f t="shared" si="8"/>
        <v>-94.285714285714903</v>
      </c>
      <c r="AF50" s="190">
        <f t="shared" si="9"/>
        <v>0.95285714285714251</v>
      </c>
      <c r="AG50" s="637"/>
    </row>
    <row r="51" spans="1:33" ht="15.75" customHeight="1">
      <c r="A51" s="641" t="s">
        <v>818</v>
      </c>
      <c r="B51" s="42" t="s">
        <v>96</v>
      </c>
      <c r="C51" s="184" t="s">
        <v>136</v>
      </c>
      <c r="D51" s="185"/>
      <c r="E51" s="42">
        <v>46</v>
      </c>
      <c r="F51" s="48">
        <v>1255</v>
      </c>
      <c r="G51" s="191">
        <f t="shared" si="35"/>
        <v>57730</v>
      </c>
      <c r="H51" s="37" t="s">
        <v>91</v>
      </c>
      <c r="I51" s="193">
        <v>16</v>
      </c>
      <c r="J51" s="39">
        <v>2000</v>
      </c>
      <c r="K51" s="17">
        <f t="shared" si="1"/>
        <v>125</v>
      </c>
      <c r="L51" s="193">
        <v>16</v>
      </c>
      <c r="M51" s="18">
        <f t="shared" si="39"/>
        <v>1930.7692307692296</v>
      </c>
      <c r="N51" s="18">
        <f t="shared" si="3"/>
        <v>120.67307692307685</v>
      </c>
      <c r="O51" s="19">
        <f t="shared" si="4"/>
        <v>0</v>
      </c>
      <c r="P51" s="20">
        <f t="shared" si="5"/>
        <v>-4.3269230769231513</v>
      </c>
      <c r="Q51" s="190">
        <f t="shared" si="6"/>
        <v>0.96538461538461484</v>
      </c>
      <c r="R51" s="637"/>
      <c r="S51" s="40">
        <v>0.4145833333333333</v>
      </c>
      <c r="T51" s="40">
        <v>0.44166666666666665</v>
      </c>
      <c r="U51" s="191">
        <f t="shared" si="38"/>
        <v>6.9999999999999751</v>
      </c>
      <c r="V51" s="194">
        <f t="shared" si="37"/>
        <v>39.000000000000021</v>
      </c>
      <c r="W51" s="23"/>
      <c r="X51" s="23"/>
      <c r="Y51" s="26"/>
      <c r="Z51" s="26"/>
      <c r="AA51" s="632"/>
      <c r="AB51" s="632"/>
      <c r="AC51" s="135"/>
      <c r="AD51" s="25"/>
      <c r="AE51" s="19">
        <f t="shared" si="8"/>
        <v>-69.23076923077042</v>
      </c>
      <c r="AF51" s="190">
        <f t="shared" si="9"/>
        <v>0.96538461538461484</v>
      </c>
      <c r="AG51" s="637"/>
    </row>
    <row r="52" spans="1:33" ht="15.75" customHeight="1">
      <c r="A52" s="641" t="s">
        <v>817</v>
      </c>
      <c r="B52" s="42" t="s">
        <v>96</v>
      </c>
      <c r="C52" s="184" t="s">
        <v>137</v>
      </c>
      <c r="D52" s="185"/>
      <c r="E52" s="42">
        <v>46</v>
      </c>
      <c r="F52" s="48">
        <v>1448</v>
      </c>
      <c r="G52" s="191">
        <f t="shared" si="35"/>
        <v>66608</v>
      </c>
      <c r="H52" s="37" t="s">
        <v>91</v>
      </c>
      <c r="I52" s="193">
        <v>17</v>
      </c>
      <c r="J52" s="39">
        <v>2000</v>
      </c>
      <c r="K52" s="17">
        <f t="shared" si="1"/>
        <v>117.64705882352941</v>
      </c>
      <c r="L52" s="193">
        <v>17</v>
      </c>
      <c r="M52" s="18">
        <f t="shared" si="39"/>
        <v>1930.6666666666665</v>
      </c>
      <c r="N52" s="18">
        <f t="shared" si="3"/>
        <v>113.56862745098039</v>
      </c>
      <c r="O52" s="19">
        <f t="shared" si="4"/>
        <v>0</v>
      </c>
      <c r="P52" s="20">
        <f t="shared" si="5"/>
        <v>-4.0784313725490193</v>
      </c>
      <c r="Q52" s="190">
        <f t="shared" si="6"/>
        <v>0.96533333333333338</v>
      </c>
      <c r="R52" s="637"/>
      <c r="S52" s="40">
        <v>0.4458333333333333</v>
      </c>
      <c r="T52" s="40">
        <v>0.4770833333333333</v>
      </c>
      <c r="U52" s="191">
        <f t="shared" si="38"/>
        <v>5.9999999999999787</v>
      </c>
      <c r="V52" s="194">
        <f t="shared" si="37"/>
        <v>45</v>
      </c>
      <c r="W52" s="23"/>
      <c r="X52" s="23"/>
      <c r="Y52" s="26"/>
      <c r="Z52" s="26"/>
      <c r="AA52" s="632"/>
      <c r="AB52" s="632"/>
      <c r="AC52" s="135"/>
      <c r="AD52" s="25"/>
      <c r="AE52" s="19">
        <f t="shared" si="8"/>
        <v>-69.333333333333485</v>
      </c>
      <c r="AF52" s="190">
        <f t="shared" si="9"/>
        <v>0.96533333333333327</v>
      </c>
      <c r="AG52" s="637"/>
    </row>
    <row r="53" spans="1:33" ht="15.75" customHeight="1">
      <c r="A53" s="641" t="s">
        <v>817</v>
      </c>
      <c r="B53" s="42" t="s">
        <v>92</v>
      </c>
      <c r="C53" s="625" t="s">
        <v>138</v>
      </c>
      <c r="D53" s="626"/>
      <c r="E53" s="42">
        <v>55.56</v>
      </c>
      <c r="F53" s="48">
        <v>2106</v>
      </c>
      <c r="G53" s="191">
        <f t="shared" si="35"/>
        <v>117009.36</v>
      </c>
      <c r="H53" s="37" t="s">
        <v>91</v>
      </c>
      <c r="I53" s="193">
        <v>17</v>
      </c>
      <c r="J53" s="39">
        <v>2000</v>
      </c>
      <c r="K53" s="17">
        <f t="shared" si="1"/>
        <v>117.64705882352941</v>
      </c>
      <c r="L53" s="193">
        <v>17</v>
      </c>
      <c r="M53" s="18">
        <f t="shared" si="39"/>
        <v>1914.5454545454566</v>
      </c>
      <c r="N53" s="18">
        <f t="shared" si="3"/>
        <v>112.62032085561509</v>
      </c>
      <c r="O53" s="19">
        <f t="shared" si="4"/>
        <v>0</v>
      </c>
      <c r="P53" s="20">
        <f t="shared" si="5"/>
        <v>-5.0267379679143147</v>
      </c>
      <c r="Q53" s="190">
        <f t="shared" si="6"/>
        <v>0.95727272727272827</v>
      </c>
      <c r="R53" s="637"/>
      <c r="S53" s="40">
        <v>0.70833333333333337</v>
      </c>
      <c r="T53" s="40">
        <v>0.75416666666666665</v>
      </c>
      <c r="U53" s="191" t="str">
        <f t="shared" si="38"/>
        <v/>
      </c>
      <c r="V53" s="194">
        <f t="shared" si="37"/>
        <v>65.999999999999929</v>
      </c>
      <c r="W53" s="23"/>
      <c r="X53" s="23"/>
      <c r="Y53" s="26"/>
      <c r="Z53" s="26"/>
      <c r="AA53" s="627"/>
      <c r="AB53" s="628"/>
      <c r="AC53" s="135"/>
      <c r="AD53" s="25"/>
      <c r="AE53" s="19">
        <f t="shared" si="8"/>
        <v>-85.45454545454345</v>
      </c>
      <c r="AF53" s="190">
        <f t="shared" si="9"/>
        <v>0.95727272727272827</v>
      </c>
      <c r="AG53" s="637"/>
    </row>
    <row r="54" spans="1:33" ht="15.75" customHeight="1">
      <c r="A54" s="641" t="s">
        <v>817</v>
      </c>
      <c r="B54" s="42" t="s">
        <v>92</v>
      </c>
      <c r="C54" s="625" t="s">
        <v>420</v>
      </c>
      <c r="D54" s="626"/>
      <c r="E54" s="42">
        <v>58.17</v>
      </c>
      <c r="F54" s="48">
        <v>2298</v>
      </c>
      <c r="G54" s="191">
        <f t="shared" si="35"/>
        <v>133674.66</v>
      </c>
      <c r="H54" s="37" t="s">
        <v>91</v>
      </c>
      <c r="I54" s="193">
        <v>13</v>
      </c>
      <c r="J54" s="39">
        <v>2000</v>
      </c>
      <c r="K54" s="17">
        <f t="shared" si="1"/>
        <v>153.84615384615384</v>
      </c>
      <c r="L54" s="193">
        <v>13</v>
      </c>
      <c r="M54" s="18">
        <f t="shared" si="39"/>
        <v>1914.9999999999986</v>
      </c>
      <c r="N54" s="18">
        <f t="shared" si="3"/>
        <v>147.30769230769221</v>
      </c>
      <c r="O54" s="19">
        <f t="shared" si="4"/>
        <v>0</v>
      </c>
      <c r="P54" s="20">
        <f t="shared" si="5"/>
        <v>-6.5384615384616325</v>
      </c>
      <c r="Q54" s="190">
        <f t="shared" si="6"/>
        <v>0.95749999999999935</v>
      </c>
      <c r="R54" s="637"/>
      <c r="S54" s="40">
        <v>0.75763888888888886</v>
      </c>
      <c r="T54" s="40">
        <v>0.80763888888888891</v>
      </c>
      <c r="U54" s="191">
        <f t="shared" si="38"/>
        <v>4.9999999999999822</v>
      </c>
      <c r="V54" s="194">
        <f t="shared" si="37"/>
        <v>72.000000000000057</v>
      </c>
      <c r="W54" s="23"/>
      <c r="X54" s="23"/>
      <c r="Y54" s="26"/>
      <c r="Z54" s="26"/>
      <c r="AA54" s="627"/>
      <c r="AB54" s="628"/>
      <c r="AC54" s="135"/>
      <c r="AD54" s="25"/>
      <c r="AE54" s="19">
        <f t="shared" si="8"/>
        <v>-85.000000000001364</v>
      </c>
      <c r="AF54" s="190">
        <f t="shared" si="9"/>
        <v>0.95749999999999935</v>
      </c>
      <c r="AG54" s="637"/>
    </row>
    <row r="55" spans="1:33">
      <c r="A55" s="642" t="s">
        <v>817</v>
      </c>
      <c r="B55" s="42" t="s">
        <v>810</v>
      </c>
      <c r="C55" s="638"/>
      <c r="D55" s="638"/>
      <c r="E55" s="192"/>
      <c r="F55" s="44"/>
      <c r="G55" s="17"/>
      <c r="H55" s="195"/>
      <c r="I55" s="29">
        <v>17.857142857142858</v>
      </c>
      <c r="J55" s="39">
        <v>2000</v>
      </c>
      <c r="K55" s="17">
        <f t="shared" si="1"/>
        <v>112</v>
      </c>
      <c r="L55" s="29">
        <v>17.857142857142858</v>
      </c>
      <c r="M55" s="18">
        <f>AVERAGE(M48:M54)</f>
        <v>1914.8389530269228</v>
      </c>
      <c r="N55" s="17">
        <f t="shared" si="3"/>
        <v>107.23098136950767</v>
      </c>
      <c r="O55" s="19">
        <f t="shared" si="4"/>
        <v>0</v>
      </c>
      <c r="P55" s="20">
        <f t="shared" si="5"/>
        <v>-4.7690186304923259</v>
      </c>
      <c r="Q55" s="190">
        <f t="shared" si="6"/>
        <v>0.95741947651346138</v>
      </c>
      <c r="R55" s="637"/>
      <c r="S55" s="40"/>
      <c r="T55" s="40"/>
      <c r="U55" s="191"/>
      <c r="V55" s="194"/>
      <c r="W55" s="17"/>
      <c r="X55" s="17"/>
      <c r="Y55" s="30">
        <f>SUM(Y48:Y54)</f>
        <v>0</v>
      </c>
      <c r="Z55" s="30">
        <f>SUM(Z48:Z54)</f>
        <v>0</v>
      </c>
      <c r="AA55" s="631"/>
      <c r="AB55" s="631"/>
      <c r="AC55" s="30">
        <v>7</v>
      </c>
      <c r="AD55" s="30">
        <f>SUM(AD48:AD54)</f>
        <v>0</v>
      </c>
      <c r="AE55" s="19">
        <f>M55-J55</f>
        <v>-85.161046973077191</v>
      </c>
      <c r="AF55" s="190">
        <f t="shared" si="9"/>
        <v>0.95741947651346138</v>
      </c>
      <c r="AG55" s="637"/>
    </row>
    <row r="56" spans="1:33" ht="15.75" customHeight="1">
      <c r="A56" s="639" t="s">
        <v>819</v>
      </c>
      <c r="B56" s="195" t="s">
        <v>127</v>
      </c>
      <c r="C56" s="633" t="s">
        <v>141</v>
      </c>
      <c r="D56" s="633"/>
      <c r="E56" s="42">
        <v>35.119999999999997</v>
      </c>
      <c r="F56" s="48">
        <v>3223</v>
      </c>
      <c r="G56" s="191">
        <f t="shared" ref="G56:G59" si="40">E56*F56</f>
        <v>113191.76</v>
      </c>
      <c r="H56" s="37" t="s">
        <v>91</v>
      </c>
      <c r="I56" s="193">
        <v>10</v>
      </c>
      <c r="J56" s="39">
        <v>3000</v>
      </c>
      <c r="K56" s="17">
        <f t="shared" si="1"/>
        <v>300</v>
      </c>
      <c r="L56" s="193">
        <v>10</v>
      </c>
      <c r="M56" s="18">
        <f t="shared" ref="M56:M59" si="41">F56/V56*60</f>
        <v>2886.2686567164201</v>
      </c>
      <c r="N56" s="17">
        <f t="shared" si="3"/>
        <v>288.62686567164201</v>
      </c>
      <c r="O56" s="19">
        <f t="shared" si="4"/>
        <v>0</v>
      </c>
      <c r="P56" s="20">
        <f t="shared" si="5"/>
        <v>-11.373134328357992</v>
      </c>
      <c r="Q56" s="190">
        <f t="shared" si="6"/>
        <v>0.96208955223880666</v>
      </c>
      <c r="R56" s="637">
        <f>Q60</f>
        <v>0.96640322344053675</v>
      </c>
      <c r="S56" s="40">
        <v>0.20833333333333334</v>
      </c>
      <c r="T56" s="40">
        <v>0.25486111111111109</v>
      </c>
      <c r="U56" s="191"/>
      <c r="V56" s="194">
        <f t="shared" ref="V56:V59" si="42">(T56-S56)*24*60</f>
        <v>66.999999999999957</v>
      </c>
      <c r="W56" s="23"/>
      <c r="X56" s="23"/>
      <c r="Y56" s="28"/>
      <c r="Z56" s="28"/>
      <c r="AA56" s="632"/>
      <c r="AB56" s="632"/>
      <c r="AC56" s="135">
        <v>4</v>
      </c>
      <c r="AD56" s="25"/>
      <c r="AE56" s="19">
        <f t="shared" ref="AE56:AE67" si="43">M56-J56</f>
        <v>-113.73134328357992</v>
      </c>
      <c r="AF56" s="190">
        <f t="shared" si="9"/>
        <v>0.96208955223880666</v>
      </c>
      <c r="AG56" s="637">
        <f>AF60</f>
        <v>0.96640322344053686</v>
      </c>
    </row>
    <row r="57" spans="1:33" ht="15.75" customHeight="1">
      <c r="A57" s="639" t="s">
        <v>819</v>
      </c>
      <c r="B57" s="195" t="s">
        <v>127</v>
      </c>
      <c r="C57" s="633" t="s">
        <v>142</v>
      </c>
      <c r="D57" s="633"/>
      <c r="E57" s="42">
        <v>26.78</v>
      </c>
      <c r="F57" s="48">
        <v>1944</v>
      </c>
      <c r="G57" s="191">
        <f t="shared" si="40"/>
        <v>52060.32</v>
      </c>
      <c r="H57" s="37" t="s">
        <v>91</v>
      </c>
      <c r="I57" s="193">
        <v>10</v>
      </c>
      <c r="J57" s="39">
        <v>3000</v>
      </c>
      <c r="K57" s="17">
        <f t="shared" si="1"/>
        <v>300</v>
      </c>
      <c r="L57" s="193">
        <v>10</v>
      </c>
      <c r="M57" s="18">
        <f t="shared" si="41"/>
        <v>2915.9999999999986</v>
      </c>
      <c r="N57" s="17">
        <f t="shared" si="3"/>
        <v>291.59999999999985</v>
      </c>
      <c r="O57" s="19">
        <f t="shared" si="4"/>
        <v>0</v>
      </c>
      <c r="P57" s="20">
        <f t="shared" si="5"/>
        <v>-8.4000000000001478</v>
      </c>
      <c r="Q57" s="190">
        <f t="shared" si="6"/>
        <v>0.97199999999999953</v>
      </c>
      <c r="R57" s="637"/>
      <c r="S57" s="40">
        <v>0.25972222222222219</v>
      </c>
      <c r="T57" s="40">
        <v>0.28749999999999998</v>
      </c>
      <c r="U57" s="191">
        <f t="shared" ref="U57:U59" si="44">(S57-T56)*24*60</f>
        <v>6.9999999999999751</v>
      </c>
      <c r="V57" s="194">
        <f t="shared" si="42"/>
        <v>40.000000000000014</v>
      </c>
      <c r="W57" s="191"/>
      <c r="X57" s="191"/>
      <c r="Y57" s="191"/>
      <c r="Z57" s="191"/>
      <c r="AA57" s="632"/>
      <c r="AB57" s="632"/>
      <c r="AC57" s="135"/>
      <c r="AD57" s="25"/>
      <c r="AE57" s="19">
        <f t="shared" si="43"/>
        <v>-84.000000000001364</v>
      </c>
      <c r="AF57" s="190">
        <f t="shared" si="9"/>
        <v>0.97199999999999953</v>
      </c>
      <c r="AG57" s="637"/>
    </row>
    <row r="58" spans="1:33" ht="15.75" customHeight="1">
      <c r="A58" s="639" t="s">
        <v>819</v>
      </c>
      <c r="B58" s="195" t="s">
        <v>127</v>
      </c>
      <c r="C58" s="633" t="s">
        <v>143</v>
      </c>
      <c r="D58" s="633"/>
      <c r="E58" s="42">
        <v>36.14</v>
      </c>
      <c r="F58" s="48">
        <v>1077</v>
      </c>
      <c r="G58" s="191">
        <f t="shared" si="40"/>
        <v>38922.78</v>
      </c>
      <c r="H58" s="37" t="s">
        <v>91</v>
      </c>
      <c r="I58" s="193">
        <v>11</v>
      </c>
      <c r="J58" s="39">
        <v>3000</v>
      </c>
      <c r="K58" s="17">
        <f t="shared" si="1"/>
        <v>272.72727272727275</v>
      </c>
      <c r="L58" s="193">
        <v>11</v>
      </c>
      <c r="M58" s="18">
        <f t="shared" si="41"/>
        <v>2937.272727272727</v>
      </c>
      <c r="N58" s="17">
        <f t="shared" si="3"/>
        <v>267.02479338842971</v>
      </c>
      <c r="O58" s="19">
        <f t="shared" si="4"/>
        <v>0</v>
      </c>
      <c r="P58" s="20">
        <f t="shared" si="5"/>
        <v>-5.7024793388430339</v>
      </c>
      <c r="Q58" s="190">
        <f t="shared" si="6"/>
        <v>0.9790909090909089</v>
      </c>
      <c r="R58" s="637"/>
      <c r="S58" s="40">
        <v>0.29305555555555551</v>
      </c>
      <c r="T58" s="40">
        <v>0.30833333333333329</v>
      </c>
      <c r="U58" s="191">
        <f t="shared" si="44"/>
        <v>7.9999999999999716</v>
      </c>
      <c r="V58" s="194">
        <f t="shared" si="42"/>
        <v>22</v>
      </c>
      <c r="W58" s="191"/>
      <c r="X58" s="191"/>
      <c r="Y58" s="191"/>
      <c r="Z58" s="191"/>
      <c r="AA58" s="632"/>
      <c r="AB58" s="632"/>
      <c r="AC58" s="135"/>
      <c r="AD58" s="25"/>
      <c r="AE58" s="19">
        <f t="shared" si="43"/>
        <v>-62.727272727272975</v>
      </c>
      <c r="AF58" s="190">
        <f t="shared" si="9"/>
        <v>0.97909090909090901</v>
      </c>
      <c r="AG58" s="637"/>
    </row>
    <row r="59" spans="1:33" ht="15.75" customHeight="1">
      <c r="A59" s="639" t="s">
        <v>819</v>
      </c>
      <c r="B59" s="195" t="s">
        <v>127</v>
      </c>
      <c r="C59" s="633" t="s">
        <v>144</v>
      </c>
      <c r="D59" s="633"/>
      <c r="E59" s="42">
        <v>35.869999999999997</v>
      </c>
      <c r="F59" s="48">
        <v>3524</v>
      </c>
      <c r="G59" s="191">
        <f t="shared" si="40"/>
        <v>126405.87999999999</v>
      </c>
      <c r="H59" s="37" t="s">
        <v>91</v>
      </c>
      <c r="I59" s="193">
        <v>10</v>
      </c>
      <c r="J59" s="39">
        <v>3000</v>
      </c>
      <c r="K59" s="17">
        <f t="shared" si="1"/>
        <v>300</v>
      </c>
      <c r="L59" s="193">
        <v>10</v>
      </c>
      <c r="M59" s="18">
        <f t="shared" si="41"/>
        <v>2857.2972972972984</v>
      </c>
      <c r="N59" s="17">
        <f t="shared" si="3"/>
        <v>285.72972972972985</v>
      </c>
      <c r="O59" s="19">
        <f t="shared" si="4"/>
        <v>0</v>
      </c>
      <c r="P59" s="20">
        <f t="shared" si="5"/>
        <v>-14.270270270270146</v>
      </c>
      <c r="Q59" s="190">
        <f t="shared" si="6"/>
        <v>0.95243243243243281</v>
      </c>
      <c r="R59" s="637"/>
      <c r="S59" s="40">
        <v>0.3118055555555555</v>
      </c>
      <c r="T59" s="40">
        <v>0.36319444444444438</v>
      </c>
      <c r="U59" s="191">
        <f t="shared" si="44"/>
        <v>4.9999999999999822</v>
      </c>
      <c r="V59" s="194">
        <f t="shared" si="42"/>
        <v>73.999999999999972</v>
      </c>
      <c r="W59" s="191"/>
      <c r="X59" s="191"/>
      <c r="Y59" s="191"/>
      <c r="Z59" s="191"/>
      <c r="AA59" s="632"/>
      <c r="AB59" s="632"/>
      <c r="AC59" s="135"/>
      <c r="AD59" s="25"/>
      <c r="AE59" s="19">
        <f t="shared" si="43"/>
        <v>-142.70270270270157</v>
      </c>
      <c r="AF59" s="190">
        <f t="shared" si="9"/>
        <v>0.95243243243243281</v>
      </c>
      <c r="AG59" s="637"/>
    </row>
    <row r="60" spans="1:33">
      <c r="A60" s="640" t="s">
        <v>85</v>
      </c>
      <c r="B60" s="42" t="s">
        <v>810</v>
      </c>
      <c r="C60" s="638"/>
      <c r="D60" s="638"/>
      <c r="E60" s="192"/>
      <c r="F60" s="44"/>
      <c r="G60" s="17"/>
      <c r="H60" s="195"/>
      <c r="I60" s="29">
        <v>10.25</v>
      </c>
      <c r="J60" s="39">
        <v>3000</v>
      </c>
      <c r="K60" s="17">
        <f t="shared" si="1"/>
        <v>292.6829268292683</v>
      </c>
      <c r="L60" s="29">
        <v>10.25</v>
      </c>
      <c r="M60" s="18">
        <f>AVERAGE(M56:M59)</f>
        <v>2899.2096703216107</v>
      </c>
      <c r="N60" s="17">
        <f t="shared" si="3"/>
        <v>282.84972393381565</v>
      </c>
      <c r="O60" s="19">
        <f t="shared" si="4"/>
        <v>0</v>
      </c>
      <c r="P60" s="20">
        <f t="shared" si="5"/>
        <v>-9.8332028954526436</v>
      </c>
      <c r="Q60" s="190">
        <f t="shared" si="6"/>
        <v>0.96640322344053675</v>
      </c>
      <c r="R60" s="637"/>
      <c r="S60" s="40"/>
      <c r="T60" s="40"/>
      <c r="U60" s="17"/>
      <c r="V60" s="194"/>
      <c r="W60" s="17"/>
      <c r="X60" s="17"/>
      <c r="Y60" s="30">
        <f>SUM(Y56:Y59)</f>
        <v>0</v>
      </c>
      <c r="Z60" s="30">
        <f>SUM(Z56:Z59)</f>
        <v>0</v>
      </c>
      <c r="AA60" s="631"/>
      <c r="AB60" s="631"/>
      <c r="AC60" s="30">
        <v>4</v>
      </c>
      <c r="AD60" s="30">
        <f>SUM(AD56:AD59)</f>
        <v>0</v>
      </c>
      <c r="AE60" s="19">
        <f t="shared" si="43"/>
        <v>-100.7903296783893</v>
      </c>
      <c r="AF60" s="190">
        <f t="shared" si="9"/>
        <v>0.96640322344053686</v>
      </c>
      <c r="AG60" s="637"/>
    </row>
    <row r="61" spans="1:33" ht="15.75" customHeight="1">
      <c r="A61" s="634" t="s">
        <v>820</v>
      </c>
      <c r="B61" s="195" t="s">
        <v>116</v>
      </c>
      <c r="C61" s="633" t="s">
        <v>145</v>
      </c>
      <c r="D61" s="633"/>
      <c r="E61" s="42">
        <v>19.02</v>
      </c>
      <c r="F61" s="195">
        <v>7577</v>
      </c>
      <c r="G61" s="191">
        <f t="shared" ref="G61:G66" si="45">E61*F61</f>
        <v>144114.54</v>
      </c>
      <c r="H61" s="37" t="s">
        <v>91</v>
      </c>
      <c r="I61" s="193">
        <v>14</v>
      </c>
      <c r="J61" s="39">
        <v>2400</v>
      </c>
      <c r="K61" s="17">
        <f t="shared" si="1"/>
        <v>171.42857142857142</v>
      </c>
      <c r="L61" s="193">
        <v>14</v>
      </c>
      <c r="M61" s="18">
        <f t="shared" ref="M61:M66" si="46">F61/V61*60</f>
        <v>2284.5226130653268</v>
      </c>
      <c r="N61" s="17">
        <f t="shared" si="3"/>
        <v>163.18018664752336</v>
      </c>
      <c r="O61" s="19">
        <f t="shared" si="4"/>
        <v>0</v>
      </c>
      <c r="P61" s="20">
        <f t="shared" si="5"/>
        <v>-8.2483847810480597</v>
      </c>
      <c r="Q61" s="190">
        <f t="shared" si="6"/>
        <v>0.95188442211055302</v>
      </c>
      <c r="R61" s="637">
        <f>Q67</f>
        <v>0.95764307688046046</v>
      </c>
      <c r="S61" s="40">
        <v>8.3333333333333329E-2</v>
      </c>
      <c r="T61" s="40">
        <v>0.22152777777777777</v>
      </c>
      <c r="U61" s="28"/>
      <c r="V61" s="194">
        <f t="shared" ref="V61:V66" si="47">(T61-S61)*24*60</f>
        <v>199</v>
      </c>
      <c r="W61" s="23">
        <f>T61</f>
        <v>0.22152777777777777</v>
      </c>
      <c r="X61" s="23">
        <f>S62</f>
        <v>0.24166666666666667</v>
      </c>
      <c r="Y61" s="23"/>
      <c r="Z61" s="23"/>
      <c r="AA61" s="632"/>
      <c r="AB61" s="632"/>
      <c r="AC61" s="135">
        <v>6</v>
      </c>
      <c r="AD61" s="25"/>
      <c r="AE61" s="19">
        <f t="shared" si="43"/>
        <v>-115.47738693467318</v>
      </c>
      <c r="AF61" s="190">
        <f t="shared" si="9"/>
        <v>0.9518844221105528</v>
      </c>
      <c r="AG61" s="637">
        <f>AF67</f>
        <v>0.95764307688046058</v>
      </c>
    </row>
    <row r="62" spans="1:33" ht="15.75" customHeight="1">
      <c r="A62" s="635" t="s">
        <v>821</v>
      </c>
      <c r="B62" s="195" t="s">
        <v>116</v>
      </c>
      <c r="C62" s="633" t="s">
        <v>146</v>
      </c>
      <c r="D62" s="633"/>
      <c r="E62" s="42">
        <v>20.36</v>
      </c>
      <c r="F62" s="195">
        <v>3145</v>
      </c>
      <c r="G62" s="191">
        <f t="shared" si="45"/>
        <v>64032.2</v>
      </c>
      <c r="H62" s="37" t="s">
        <v>91</v>
      </c>
      <c r="I62" s="193">
        <v>17</v>
      </c>
      <c r="J62" s="39">
        <v>2400</v>
      </c>
      <c r="K62" s="17">
        <f t="shared" si="1"/>
        <v>141.1764705882353</v>
      </c>
      <c r="L62" s="193">
        <v>17</v>
      </c>
      <c r="M62" s="18">
        <f t="shared" si="46"/>
        <v>2301.2195121951222</v>
      </c>
      <c r="N62" s="17">
        <f t="shared" si="3"/>
        <v>135.36585365853659</v>
      </c>
      <c r="O62" s="19">
        <f t="shared" si="4"/>
        <v>0</v>
      </c>
      <c r="P62" s="20">
        <f t="shared" si="5"/>
        <v>-5.8106169296987105</v>
      </c>
      <c r="Q62" s="190">
        <f t="shared" si="6"/>
        <v>0.95884146341463417</v>
      </c>
      <c r="R62" s="637"/>
      <c r="S62" s="40">
        <v>0.24166666666666667</v>
      </c>
      <c r="T62" s="40">
        <v>0.2986111111111111</v>
      </c>
      <c r="U62" s="191">
        <f t="shared" ref="U62:U66" si="48">(S62-T61)*24*60</f>
        <v>29.000000000000018</v>
      </c>
      <c r="V62" s="194">
        <f t="shared" si="47"/>
        <v>81.999999999999986</v>
      </c>
      <c r="W62" s="23"/>
      <c r="X62" s="23"/>
      <c r="Y62" s="23"/>
      <c r="Z62" s="23"/>
      <c r="AA62" s="632"/>
      <c r="AB62" s="632"/>
      <c r="AC62" s="135"/>
      <c r="AD62" s="25"/>
      <c r="AE62" s="19">
        <f t="shared" si="43"/>
        <v>-98.780487804877794</v>
      </c>
      <c r="AF62" s="190">
        <f t="shared" si="9"/>
        <v>0.95884146341463428</v>
      </c>
      <c r="AG62" s="637"/>
    </row>
    <row r="63" spans="1:33" ht="15.75" customHeight="1">
      <c r="A63" s="635" t="s">
        <v>821</v>
      </c>
      <c r="B63" s="195" t="s">
        <v>116</v>
      </c>
      <c r="C63" s="633" t="s">
        <v>120</v>
      </c>
      <c r="D63" s="633"/>
      <c r="E63" s="42">
        <v>25.99</v>
      </c>
      <c r="F63" s="195">
        <v>811</v>
      </c>
      <c r="G63" s="191">
        <f t="shared" si="45"/>
        <v>21077.89</v>
      </c>
      <c r="H63" s="37" t="s">
        <v>91</v>
      </c>
      <c r="I63" s="193">
        <v>18</v>
      </c>
      <c r="J63" s="39">
        <v>2400</v>
      </c>
      <c r="K63" s="17">
        <f t="shared" si="1"/>
        <v>133.33333333333334</v>
      </c>
      <c r="L63" s="193">
        <v>18</v>
      </c>
      <c r="M63" s="18">
        <f t="shared" si="46"/>
        <v>2317.1428571428564</v>
      </c>
      <c r="N63" s="17">
        <f t="shared" si="3"/>
        <v>128.73015873015868</v>
      </c>
      <c r="O63" s="19">
        <f t="shared" si="4"/>
        <v>0</v>
      </c>
      <c r="P63" s="20">
        <f t="shared" si="5"/>
        <v>-4.603174603174665</v>
      </c>
      <c r="Q63" s="190">
        <f t="shared" si="6"/>
        <v>0.96547619047619004</v>
      </c>
      <c r="R63" s="637"/>
      <c r="S63" s="40">
        <v>0.30277777777777776</v>
      </c>
      <c r="T63" s="40">
        <v>0.31736111111111109</v>
      </c>
      <c r="U63" s="191">
        <f t="shared" si="48"/>
        <v>5.9999999999999787</v>
      </c>
      <c r="V63" s="194">
        <f t="shared" si="47"/>
        <v>21.000000000000007</v>
      </c>
      <c r="W63" s="23"/>
      <c r="X63" s="23"/>
      <c r="Y63" s="23"/>
      <c r="Z63" s="23"/>
      <c r="AA63" s="632"/>
      <c r="AB63" s="632"/>
      <c r="AC63" s="135"/>
      <c r="AD63" s="25"/>
      <c r="AE63" s="19">
        <f t="shared" si="43"/>
        <v>-82.857142857143572</v>
      </c>
      <c r="AF63" s="190">
        <f t="shared" si="9"/>
        <v>0.96547619047619015</v>
      </c>
      <c r="AG63" s="637"/>
    </row>
    <row r="64" spans="1:33" ht="15.75" customHeight="1">
      <c r="A64" s="635" t="s">
        <v>822</v>
      </c>
      <c r="B64" s="195" t="s">
        <v>116</v>
      </c>
      <c r="C64" s="633" t="s">
        <v>148</v>
      </c>
      <c r="D64" s="633"/>
      <c r="E64" s="42">
        <v>28.29</v>
      </c>
      <c r="F64" s="195">
        <v>3363</v>
      </c>
      <c r="G64" s="191">
        <f t="shared" si="45"/>
        <v>95139.27</v>
      </c>
      <c r="H64" s="37" t="s">
        <v>91</v>
      </c>
      <c r="I64" s="193">
        <v>21</v>
      </c>
      <c r="J64" s="39">
        <v>2400</v>
      </c>
      <c r="K64" s="17">
        <f t="shared" si="1"/>
        <v>114.28571428571429</v>
      </c>
      <c r="L64" s="193">
        <v>21</v>
      </c>
      <c r="M64" s="18">
        <f t="shared" si="46"/>
        <v>2292.9545454545455</v>
      </c>
      <c r="N64" s="17">
        <f t="shared" si="3"/>
        <v>109.18831168831169</v>
      </c>
      <c r="O64" s="19">
        <f t="shared" si="4"/>
        <v>0</v>
      </c>
      <c r="P64" s="20">
        <f t="shared" si="5"/>
        <v>-5.0974025974026063</v>
      </c>
      <c r="Q64" s="190">
        <f t="shared" si="6"/>
        <v>0.9553977272727272</v>
      </c>
      <c r="R64" s="637"/>
      <c r="S64" s="40">
        <v>0.32291666666666663</v>
      </c>
      <c r="T64" s="40">
        <v>0.38402777777777775</v>
      </c>
      <c r="U64" s="191">
        <f t="shared" si="48"/>
        <v>7.9999999999999716</v>
      </c>
      <c r="V64" s="194">
        <f t="shared" si="47"/>
        <v>88</v>
      </c>
      <c r="W64" s="23"/>
      <c r="X64" s="23"/>
      <c r="Y64" s="23"/>
      <c r="Z64" s="23"/>
      <c r="AA64" s="632"/>
      <c r="AB64" s="632"/>
      <c r="AC64" s="135"/>
      <c r="AD64" s="25"/>
      <c r="AE64" s="19">
        <f t="shared" si="43"/>
        <v>-107.0454545454545</v>
      </c>
      <c r="AF64" s="190">
        <f t="shared" si="9"/>
        <v>0.95539772727272732</v>
      </c>
      <c r="AG64" s="637"/>
    </row>
    <row r="65" spans="1:33" ht="15.75" customHeight="1">
      <c r="A65" s="635" t="s">
        <v>821</v>
      </c>
      <c r="B65" s="195" t="s">
        <v>116</v>
      </c>
      <c r="C65" s="633" t="s">
        <v>149</v>
      </c>
      <c r="D65" s="633"/>
      <c r="E65" s="42">
        <v>24.25</v>
      </c>
      <c r="F65" s="195">
        <v>3368</v>
      </c>
      <c r="G65" s="191">
        <f t="shared" si="45"/>
        <v>81674</v>
      </c>
      <c r="H65" s="37" t="s">
        <v>91</v>
      </c>
      <c r="I65" s="193">
        <v>17</v>
      </c>
      <c r="J65" s="39">
        <v>2400</v>
      </c>
      <c r="K65" s="17">
        <f t="shared" si="1"/>
        <v>141.1764705882353</v>
      </c>
      <c r="L65" s="193">
        <v>17</v>
      </c>
      <c r="M65" s="18">
        <f t="shared" si="46"/>
        <v>2296.3636363636365</v>
      </c>
      <c r="N65" s="17">
        <f t="shared" si="3"/>
        <v>135.08021390374333</v>
      </c>
      <c r="O65" s="19">
        <f t="shared" si="4"/>
        <v>0</v>
      </c>
      <c r="P65" s="20">
        <f t="shared" si="5"/>
        <v>-6.0962566844919763</v>
      </c>
      <c r="Q65" s="190">
        <f t="shared" si="6"/>
        <v>0.95681818181818179</v>
      </c>
      <c r="R65" s="637"/>
      <c r="S65" s="40">
        <v>0.38749999999999996</v>
      </c>
      <c r="T65" s="40">
        <v>0.44861111111111107</v>
      </c>
      <c r="U65" s="191">
        <f t="shared" si="48"/>
        <v>4.9999999999999822</v>
      </c>
      <c r="V65" s="194">
        <f t="shared" si="47"/>
        <v>88</v>
      </c>
      <c r="W65" s="23"/>
      <c r="X65" s="23"/>
      <c r="Y65" s="23"/>
      <c r="Z65" s="23"/>
      <c r="AA65" s="632"/>
      <c r="AB65" s="632"/>
      <c r="AC65" s="135"/>
      <c r="AD65" s="25"/>
      <c r="AE65" s="19">
        <f t="shared" si="43"/>
        <v>-103.63636363636351</v>
      </c>
      <c r="AF65" s="190">
        <f t="shared" si="9"/>
        <v>0.9568181818181819</v>
      </c>
      <c r="AG65" s="637"/>
    </row>
    <row r="66" spans="1:33" ht="15.75" customHeight="1">
      <c r="A66" s="635" t="s">
        <v>821</v>
      </c>
      <c r="B66" s="195" t="s">
        <v>116</v>
      </c>
      <c r="C66" s="633" t="s">
        <v>150</v>
      </c>
      <c r="D66" s="633"/>
      <c r="E66" s="42">
        <v>23.89</v>
      </c>
      <c r="F66" s="195">
        <v>3217</v>
      </c>
      <c r="G66" s="191">
        <f t="shared" si="45"/>
        <v>76854.13</v>
      </c>
      <c r="H66" s="37" t="s">
        <v>91</v>
      </c>
      <c r="I66" s="193">
        <v>13</v>
      </c>
      <c r="J66" s="39">
        <v>2400</v>
      </c>
      <c r="K66" s="17">
        <f t="shared" si="1"/>
        <v>184.61538461538461</v>
      </c>
      <c r="L66" s="193">
        <v>13</v>
      </c>
      <c r="M66" s="18">
        <f t="shared" si="46"/>
        <v>2297.8571428571422</v>
      </c>
      <c r="N66" s="17">
        <f t="shared" si="3"/>
        <v>176.7582417582417</v>
      </c>
      <c r="O66" s="19">
        <f t="shared" si="4"/>
        <v>0</v>
      </c>
      <c r="P66" s="20">
        <f t="shared" si="5"/>
        <v>-7.857142857142918</v>
      </c>
      <c r="Q66" s="190">
        <f t="shared" si="6"/>
        <v>0.9574404761904759</v>
      </c>
      <c r="R66" s="637"/>
      <c r="S66" s="40">
        <v>0.45416666666666661</v>
      </c>
      <c r="T66" s="40">
        <v>0.51249999999999996</v>
      </c>
      <c r="U66" s="191">
        <f t="shared" si="48"/>
        <v>7.9999999999999716</v>
      </c>
      <c r="V66" s="194">
        <f t="shared" si="47"/>
        <v>84.000000000000028</v>
      </c>
      <c r="W66" s="23"/>
      <c r="X66" s="23"/>
      <c r="Y66" s="23"/>
      <c r="Z66" s="23"/>
      <c r="AA66" s="632"/>
      <c r="AB66" s="632"/>
      <c r="AC66" s="135"/>
      <c r="AD66" s="25"/>
      <c r="AE66" s="19">
        <f t="shared" si="43"/>
        <v>-102.14285714285779</v>
      </c>
      <c r="AF66" s="190">
        <f t="shared" si="9"/>
        <v>0.9574404761904759</v>
      </c>
      <c r="AG66" s="637"/>
    </row>
    <row r="67" spans="1:33" ht="16.5" customHeight="1">
      <c r="A67" s="636" t="s">
        <v>821</v>
      </c>
      <c r="B67" s="42" t="s">
        <v>810</v>
      </c>
      <c r="C67" s="629"/>
      <c r="D67" s="630"/>
      <c r="E67" s="192"/>
      <c r="F67" s="44"/>
      <c r="G67" s="17"/>
      <c r="H67" s="195"/>
      <c r="I67" s="29">
        <v>16.666666666666668</v>
      </c>
      <c r="J67" s="39">
        <v>2400</v>
      </c>
      <c r="K67" s="17">
        <f t="shared" si="1"/>
        <v>144</v>
      </c>
      <c r="L67" s="29">
        <v>16.666666666666668</v>
      </c>
      <c r="M67" s="18">
        <f>AVERAGE(M61:M66)</f>
        <v>2298.3433845131053</v>
      </c>
      <c r="N67" s="17">
        <f t="shared" si="3"/>
        <v>137.9006030707863</v>
      </c>
      <c r="O67" s="19">
        <f t="shared" si="4"/>
        <v>0</v>
      </c>
      <c r="P67" s="20">
        <f t="shared" si="5"/>
        <v>-6.0993969292136967</v>
      </c>
      <c r="Q67" s="190">
        <f t="shared" si="6"/>
        <v>0.95764307688046046</v>
      </c>
      <c r="R67" s="637"/>
      <c r="S67" s="40"/>
      <c r="T67" s="40"/>
      <c r="U67" s="17"/>
      <c r="V67" s="194"/>
      <c r="W67" s="17"/>
      <c r="X67" s="17"/>
      <c r="Y67" s="30">
        <f>SUM(Y61:Y66)</f>
        <v>0</v>
      </c>
      <c r="Z67" s="30">
        <f>SUM(Z61:Z66)</f>
        <v>0</v>
      </c>
      <c r="AA67" s="631"/>
      <c r="AB67" s="631"/>
      <c r="AC67" s="30">
        <v>6</v>
      </c>
      <c r="AD67" s="30">
        <f>SUM(AD61:AD66)</f>
        <v>0</v>
      </c>
      <c r="AE67" s="19">
        <f t="shared" si="43"/>
        <v>-101.65661548689468</v>
      </c>
      <c r="AF67" s="190">
        <f t="shared" si="9"/>
        <v>0.95764307688046058</v>
      </c>
      <c r="AG67" s="637"/>
    </row>
    <row r="68" spans="1:33">
      <c r="D68" s="33"/>
      <c r="E68" s="33"/>
    </row>
  </sheetData>
  <mergeCells count="181">
    <mergeCell ref="AG61:AG67"/>
    <mergeCell ref="C62:D62"/>
    <mergeCell ref="AA62:AB62"/>
    <mergeCell ref="C63:D63"/>
    <mergeCell ref="AA63:AB63"/>
    <mergeCell ref="C64:D64"/>
    <mergeCell ref="AA64:AB64"/>
    <mergeCell ref="C65:D65"/>
    <mergeCell ref="AA65:AB65"/>
    <mergeCell ref="C66:D66"/>
    <mergeCell ref="A61:A67"/>
    <mergeCell ref="C61:D61"/>
    <mergeCell ref="R61:R67"/>
    <mergeCell ref="AA61:AB61"/>
    <mergeCell ref="AA66:AB66"/>
    <mergeCell ref="C67:D67"/>
    <mergeCell ref="AA67:AB67"/>
    <mergeCell ref="A56:A60"/>
    <mergeCell ref="C56:D56"/>
    <mergeCell ref="R56:R60"/>
    <mergeCell ref="AA56:AB56"/>
    <mergeCell ref="AG56:AG60"/>
    <mergeCell ref="C57:D57"/>
    <mergeCell ref="AA57:AB57"/>
    <mergeCell ref="C58:D58"/>
    <mergeCell ref="AA58:AB58"/>
    <mergeCell ref="C59:D59"/>
    <mergeCell ref="AG48:AG55"/>
    <mergeCell ref="C49:D49"/>
    <mergeCell ref="AA49:AB49"/>
    <mergeCell ref="C50:D50"/>
    <mergeCell ref="AA50:AB50"/>
    <mergeCell ref="AA51:AB51"/>
    <mergeCell ref="AA52:AB52"/>
    <mergeCell ref="C53:D53"/>
    <mergeCell ref="AA53:AB53"/>
    <mergeCell ref="C54:D54"/>
    <mergeCell ref="AA59:AB59"/>
    <mergeCell ref="C60:D60"/>
    <mergeCell ref="AA60:AB60"/>
    <mergeCell ref="A48:A55"/>
    <mergeCell ref="C48:D48"/>
    <mergeCell ref="R48:R55"/>
    <mergeCell ref="AA48:AB48"/>
    <mergeCell ref="AA54:AB54"/>
    <mergeCell ref="C55:D55"/>
    <mergeCell ref="AA55:AB55"/>
    <mergeCell ref="A43:A47"/>
    <mergeCell ref="C43:D43"/>
    <mergeCell ref="R43:R47"/>
    <mergeCell ref="AA43:AB43"/>
    <mergeCell ref="AG43:AG47"/>
    <mergeCell ref="C44:D44"/>
    <mergeCell ref="AA44:AB44"/>
    <mergeCell ref="C45:D45"/>
    <mergeCell ref="AA45:AB45"/>
    <mergeCell ref="C46:D46"/>
    <mergeCell ref="AA39:AB39"/>
    <mergeCell ref="C40:D40"/>
    <mergeCell ref="AA40:AB40"/>
    <mergeCell ref="C41:D41"/>
    <mergeCell ref="AA41:AB41"/>
    <mergeCell ref="C42:D42"/>
    <mergeCell ref="AA42:AB42"/>
    <mergeCell ref="AA46:AB46"/>
    <mergeCell ref="C47:D47"/>
    <mergeCell ref="AA47:AB47"/>
    <mergeCell ref="C35:D35"/>
    <mergeCell ref="A36:A42"/>
    <mergeCell ref="C36:D36"/>
    <mergeCell ref="R36:R42"/>
    <mergeCell ref="AA36:AB36"/>
    <mergeCell ref="AG36:AG42"/>
    <mergeCell ref="C37:D37"/>
    <mergeCell ref="AA37:AB37"/>
    <mergeCell ref="C38:D38"/>
    <mergeCell ref="AA38:AB38"/>
    <mergeCell ref="C39:D39"/>
    <mergeCell ref="A30:A35"/>
    <mergeCell ref="C30:D30"/>
    <mergeCell ref="R30:R35"/>
    <mergeCell ref="AA30:AB30"/>
    <mergeCell ref="AA35:AB35"/>
    <mergeCell ref="AG30:AG35"/>
    <mergeCell ref="C31:D31"/>
    <mergeCell ref="AA31:AB31"/>
    <mergeCell ref="C32:D32"/>
    <mergeCell ref="AA32:AB32"/>
    <mergeCell ref="C33:D33"/>
    <mergeCell ref="AA33:AB33"/>
    <mergeCell ref="C34:D34"/>
    <mergeCell ref="AG23:AG29"/>
    <mergeCell ref="C24:D24"/>
    <mergeCell ref="AA24:AB24"/>
    <mergeCell ref="C25:D25"/>
    <mergeCell ref="AA25:AB25"/>
    <mergeCell ref="C26:D26"/>
    <mergeCell ref="AA26:AB26"/>
    <mergeCell ref="C27:D27"/>
    <mergeCell ref="AA27:AB27"/>
    <mergeCell ref="C28:D28"/>
    <mergeCell ref="AA34:AB34"/>
    <mergeCell ref="A23:A29"/>
    <mergeCell ref="C23:D23"/>
    <mergeCell ref="R23:R29"/>
    <mergeCell ref="AA23:AB23"/>
    <mergeCell ref="AA28:AB28"/>
    <mergeCell ref="A14:A22"/>
    <mergeCell ref="C14:D14"/>
    <mergeCell ref="R14:R22"/>
    <mergeCell ref="AA14:AB14"/>
    <mergeCell ref="C29:D29"/>
    <mergeCell ref="AA29:AB29"/>
    <mergeCell ref="AG14:AG22"/>
    <mergeCell ref="C15:D15"/>
    <mergeCell ref="AA15:AB15"/>
    <mergeCell ref="C16:D16"/>
    <mergeCell ref="AA16:AB16"/>
    <mergeCell ref="C17:D17"/>
    <mergeCell ref="AG9:AG13"/>
    <mergeCell ref="C10:D10"/>
    <mergeCell ref="AA10:AB10"/>
    <mergeCell ref="C11:D11"/>
    <mergeCell ref="AA11:AB11"/>
    <mergeCell ref="C12:D12"/>
    <mergeCell ref="AA12:AB12"/>
    <mergeCell ref="C13:D13"/>
    <mergeCell ref="AA13:AB13"/>
    <mergeCell ref="AA17:AB17"/>
    <mergeCell ref="C18:D18"/>
    <mergeCell ref="AA18:AB18"/>
    <mergeCell ref="C22:D22"/>
    <mergeCell ref="AA22:AB22"/>
    <mergeCell ref="A9:A13"/>
    <mergeCell ref="C9:D9"/>
    <mergeCell ref="R9:R13"/>
    <mergeCell ref="AA9:AB9"/>
    <mergeCell ref="AE3:AE4"/>
    <mergeCell ref="K3:K4"/>
    <mergeCell ref="L3:L4"/>
    <mergeCell ref="M3:M4"/>
    <mergeCell ref="A3:A4"/>
    <mergeCell ref="B3:B4"/>
    <mergeCell ref="C3:D4"/>
    <mergeCell ref="E3:E4"/>
    <mergeCell ref="F3:F4"/>
    <mergeCell ref="G3:G4"/>
    <mergeCell ref="Q3:Q4"/>
    <mergeCell ref="R3:R4"/>
    <mergeCell ref="S3:T3"/>
    <mergeCell ref="H3:H4"/>
    <mergeCell ref="I3:I4"/>
    <mergeCell ref="J3:J4"/>
    <mergeCell ref="C7:D7"/>
    <mergeCell ref="AA7:AB7"/>
    <mergeCell ref="C8:D8"/>
    <mergeCell ref="AA8:AB8"/>
    <mergeCell ref="I1:K2"/>
    <mergeCell ref="L1:N2"/>
    <mergeCell ref="O1:R2"/>
    <mergeCell ref="S1:X2"/>
    <mergeCell ref="AA1:AB2"/>
    <mergeCell ref="AE1:AG2"/>
    <mergeCell ref="AF3:AF4"/>
    <mergeCell ref="AG3:AG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</mergeCells>
  <phoneticPr fontId="3" type="noConversion"/>
  <conditionalFormatting sqref="O55:O56 O59:O67 O5:O9 O13:O15 O22:O53">
    <cfRule type="cellIs" dxfId="628" priority="51" operator="greaterThan">
      <formula>0</formula>
    </cfRule>
  </conditionalFormatting>
  <conditionalFormatting sqref="P5:P7 P59 AE59 P61:P66 P30:P34 P56 P9 P13:P15 P23:P28 P48:P53 P36:P46 AE5:AE56 AE61:AE67">
    <cfRule type="cellIs" dxfId="627" priority="55" operator="lessThan">
      <formula>0</formula>
    </cfRule>
  </conditionalFormatting>
  <conditionalFormatting sqref="AF59 Q55:Q56 Q59:Q67 Q5:Q9 Q13:Q15 Q22:Q53 AF5:AF56 AF61:AF67">
    <cfRule type="cellIs" dxfId="626" priority="52" operator="greaterThan">
      <formula>1</formula>
    </cfRule>
    <cfRule type="cellIs" dxfId="625" priority="53" operator="lessThan">
      <formula>0.8</formula>
    </cfRule>
  </conditionalFormatting>
  <conditionalFormatting sqref="AG14:AG15 R14:R15 AG59 AG55:AG56 R55:R56 R59:R67 AG5:AG9 R5:R9 AG22:AG53 R22:R53">
    <cfRule type="cellIs" dxfId="624" priority="57" operator="lessThan">
      <formula>0.8</formula>
    </cfRule>
  </conditionalFormatting>
  <conditionalFormatting sqref="AG43">
    <cfRule type="cellIs" dxfId="623" priority="59" operator="lessThan">
      <formula>0.8</formula>
    </cfRule>
  </conditionalFormatting>
  <conditionalFormatting sqref="AG23:AG28">
    <cfRule type="cellIs" dxfId="622" priority="56" operator="lessThan">
      <formula>0.8</formula>
    </cfRule>
  </conditionalFormatting>
  <conditionalFormatting sqref="AG30">
    <cfRule type="cellIs" dxfId="621" priority="58" operator="lessThan">
      <formula>0.8</formula>
    </cfRule>
  </conditionalFormatting>
  <conditionalFormatting sqref="AG36:AG41">
    <cfRule type="cellIs" dxfId="620" priority="54" operator="lessThan">
      <formula>0.8</formula>
    </cfRule>
  </conditionalFormatting>
  <conditionalFormatting sqref="AE60">
    <cfRule type="cellIs" dxfId="619" priority="50" operator="lessThan">
      <formula>0</formula>
    </cfRule>
  </conditionalFormatting>
  <conditionalFormatting sqref="AF60">
    <cfRule type="cellIs" dxfId="618" priority="48" operator="greaterThan">
      <formula>1</formula>
    </cfRule>
    <cfRule type="cellIs" dxfId="617" priority="49" operator="lessThan">
      <formula>0.8</formula>
    </cfRule>
  </conditionalFormatting>
  <conditionalFormatting sqref="O16:O17">
    <cfRule type="cellIs" dxfId="616" priority="43" operator="greaterThan">
      <formula>0</formula>
    </cfRule>
  </conditionalFormatting>
  <conditionalFormatting sqref="P16:P17">
    <cfRule type="cellIs" dxfId="615" priority="46" operator="lessThan">
      <formula>0</formula>
    </cfRule>
  </conditionalFormatting>
  <conditionalFormatting sqref="Q16:Q17">
    <cfRule type="cellIs" dxfId="614" priority="44" operator="greaterThan">
      <formula>1</formula>
    </cfRule>
    <cfRule type="cellIs" dxfId="613" priority="45" operator="lessThan">
      <formula>0.8</formula>
    </cfRule>
  </conditionalFormatting>
  <conditionalFormatting sqref="R16:R17 AG16:AG17">
    <cfRule type="cellIs" dxfId="612" priority="47" operator="lessThan">
      <formula>0.8</formula>
    </cfRule>
  </conditionalFormatting>
  <conditionalFormatting sqref="O10:O12">
    <cfRule type="cellIs" dxfId="611" priority="39" operator="greaterThan">
      <formula>0</formula>
    </cfRule>
  </conditionalFormatting>
  <conditionalFormatting sqref="P10:P12">
    <cfRule type="cellIs" dxfId="610" priority="42" operator="lessThan">
      <formula>0</formula>
    </cfRule>
  </conditionalFormatting>
  <conditionalFormatting sqref="Q10:Q12">
    <cfRule type="cellIs" dxfId="609" priority="40" operator="greaterThan">
      <formula>1</formula>
    </cfRule>
    <cfRule type="cellIs" dxfId="608" priority="41" operator="lessThan">
      <formula>0.8</formula>
    </cfRule>
  </conditionalFormatting>
  <conditionalFormatting sqref="O54">
    <cfRule type="cellIs" dxfId="607" priority="34" operator="greaterThan">
      <formula>0</formula>
    </cfRule>
  </conditionalFormatting>
  <conditionalFormatting sqref="P54">
    <cfRule type="cellIs" dxfId="606" priority="37" operator="lessThan">
      <formula>0</formula>
    </cfRule>
  </conditionalFormatting>
  <conditionalFormatting sqref="Q54">
    <cfRule type="cellIs" dxfId="605" priority="35" operator="greaterThan">
      <formula>1</formula>
    </cfRule>
    <cfRule type="cellIs" dxfId="604" priority="36" operator="lessThan">
      <formula>0.8</formula>
    </cfRule>
  </conditionalFormatting>
  <conditionalFormatting sqref="R54 AG54">
    <cfRule type="cellIs" dxfId="603" priority="38" operator="lessThan">
      <formula>0.8</formula>
    </cfRule>
  </conditionalFormatting>
  <conditionalFormatting sqref="O58">
    <cfRule type="cellIs" dxfId="602" priority="29" operator="greaterThan">
      <formula>0</formula>
    </cfRule>
  </conditionalFormatting>
  <conditionalFormatting sqref="P58 AE58">
    <cfRule type="cellIs" dxfId="601" priority="32" operator="lessThan">
      <formula>0</formula>
    </cfRule>
  </conditionalFormatting>
  <conditionalFormatting sqref="Q58 AF58">
    <cfRule type="cellIs" dxfId="600" priority="30" operator="greaterThan">
      <formula>1</formula>
    </cfRule>
    <cfRule type="cellIs" dxfId="599" priority="31" operator="lessThan">
      <formula>0.8</formula>
    </cfRule>
  </conditionalFormatting>
  <conditionalFormatting sqref="R58 AG58">
    <cfRule type="cellIs" dxfId="598" priority="33" operator="lessThan">
      <formula>0.8</formula>
    </cfRule>
  </conditionalFormatting>
  <conditionalFormatting sqref="O18:O19">
    <cfRule type="cellIs" dxfId="597" priority="24" operator="greaterThan">
      <formula>0</formula>
    </cfRule>
  </conditionalFormatting>
  <conditionalFormatting sqref="P18:P19">
    <cfRule type="cellIs" dxfId="596" priority="27" operator="lessThan">
      <formula>0</formula>
    </cfRule>
  </conditionalFormatting>
  <conditionalFormatting sqref="Q18:Q19">
    <cfRule type="cellIs" dxfId="595" priority="25" operator="greaterThan">
      <formula>1</formula>
    </cfRule>
    <cfRule type="cellIs" dxfId="594" priority="26" operator="lessThan">
      <formula>0.8</formula>
    </cfRule>
  </conditionalFormatting>
  <conditionalFormatting sqref="R18:R19 AG18:AG19">
    <cfRule type="cellIs" dxfId="593" priority="28" operator="lessThan">
      <formula>0.8</formula>
    </cfRule>
  </conditionalFormatting>
  <conditionalFormatting sqref="O57">
    <cfRule type="cellIs" dxfId="592" priority="19" operator="greaterThan">
      <formula>0</formula>
    </cfRule>
  </conditionalFormatting>
  <conditionalFormatting sqref="P57 AE57">
    <cfRule type="cellIs" dxfId="591" priority="22" operator="lessThan">
      <formula>0</formula>
    </cfRule>
  </conditionalFormatting>
  <conditionalFormatting sqref="Q57 AF57">
    <cfRule type="cellIs" dxfId="590" priority="20" operator="greaterThan">
      <formula>1</formula>
    </cfRule>
    <cfRule type="cellIs" dxfId="589" priority="21" operator="lessThan">
      <formula>0.8</formula>
    </cfRule>
  </conditionalFormatting>
  <conditionalFormatting sqref="R57 AG57">
    <cfRule type="cellIs" dxfId="588" priority="23" operator="lessThan">
      <formula>0.8</formula>
    </cfRule>
  </conditionalFormatting>
  <conditionalFormatting sqref="O20">
    <cfRule type="cellIs" dxfId="587" priority="14" operator="greaterThan">
      <formula>0</formula>
    </cfRule>
  </conditionalFormatting>
  <conditionalFormatting sqref="P20">
    <cfRule type="cellIs" dxfId="586" priority="17" operator="lessThan">
      <formula>0</formula>
    </cfRule>
  </conditionalFormatting>
  <conditionalFormatting sqref="Q20">
    <cfRule type="cellIs" dxfId="585" priority="15" operator="greaterThan">
      <formula>1</formula>
    </cfRule>
    <cfRule type="cellIs" dxfId="584" priority="16" operator="lessThan">
      <formula>0.8</formula>
    </cfRule>
  </conditionalFormatting>
  <conditionalFormatting sqref="AG20 R20">
    <cfRule type="cellIs" dxfId="583" priority="18" operator="lessThan">
      <formula>0.8</formula>
    </cfRule>
  </conditionalFormatting>
  <conditionalFormatting sqref="O21">
    <cfRule type="cellIs" dxfId="582" priority="9" operator="greaterThan">
      <formula>0</formula>
    </cfRule>
  </conditionalFormatting>
  <conditionalFormatting sqref="P21">
    <cfRule type="cellIs" dxfId="581" priority="12" operator="lessThan">
      <formula>0</formula>
    </cfRule>
  </conditionalFormatting>
  <conditionalFormatting sqref="Q21">
    <cfRule type="cellIs" dxfId="580" priority="10" operator="greaterThan">
      <formula>1</formula>
    </cfRule>
    <cfRule type="cellIs" dxfId="579" priority="11" operator="lessThan">
      <formula>0.8</formula>
    </cfRule>
  </conditionalFormatting>
  <conditionalFormatting sqref="AG21 R21">
    <cfRule type="cellIs" dxfId="578" priority="13" operator="lessThan">
      <formula>0.8</formula>
    </cfRule>
  </conditionalFormatting>
  <conditionalFormatting sqref="P8">
    <cfRule type="cellIs" dxfId="577" priority="8" operator="lessThan">
      <formula>0</formula>
    </cfRule>
  </conditionalFormatting>
  <conditionalFormatting sqref="P22">
    <cfRule type="cellIs" dxfId="576" priority="7" operator="lessThan">
      <formula>0</formula>
    </cfRule>
  </conditionalFormatting>
  <conditionalFormatting sqref="P29">
    <cfRule type="cellIs" dxfId="575" priority="6" operator="lessThan">
      <formula>0</formula>
    </cfRule>
  </conditionalFormatting>
  <conditionalFormatting sqref="P35">
    <cfRule type="cellIs" dxfId="574" priority="5" operator="lessThan">
      <formula>0</formula>
    </cfRule>
  </conditionalFormatting>
  <conditionalFormatting sqref="P47">
    <cfRule type="cellIs" dxfId="573" priority="4" operator="lessThan">
      <formula>0</formula>
    </cfRule>
  </conditionalFormatting>
  <conditionalFormatting sqref="P55">
    <cfRule type="cellIs" dxfId="572" priority="3" operator="lessThan">
      <formula>0</formula>
    </cfRule>
  </conditionalFormatting>
  <conditionalFormatting sqref="P60">
    <cfRule type="cellIs" dxfId="571" priority="2" operator="lessThan">
      <formula>0</formula>
    </cfRule>
  </conditionalFormatting>
  <conditionalFormatting sqref="P67">
    <cfRule type="cellIs" dxfId="570" priority="1" operator="lessThan">
      <formula>0</formula>
    </cfRule>
  </conditionalFormatting>
  <dataValidations count="1">
    <dataValidation type="list" allowBlank="1" showInputMessage="1" showErrorMessage="1" sqref="AB8 AA5:AB7 AA8:AA59 AB10:AB56 AA60:AB67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R10" sqref="R10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612" t="s">
        <v>623</v>
      </c>
      <c r="C1" s="612"/>
      <c r="D1" s="612"/>
      <c r="E1" s="612"/>
      <c r="F1" s="612"/>
      <c r="G1" s="612"/>
      <c r="H1" s="612"/>
      <c r="I1" s="612"/>
      <c r="J1" s="612"/>
      <c r="K1" s="51"/>
      <c r="L1" s="51"/>
      <c r="M1" s="51"/>
      <c r="N1" s="51"/>
      <c r="O1" s="51"/>
      <c r="P1" s="51"/>
    </row>
    <row r="2" spans="2:17" ht="27.75" customHeight="1">
      <c r="B2" s="613"/>
      <c r="C2" s="613"/>
      <c r="D2" s="613"/>
      <c r="E2" s="613"/>
      <c r="F2" s="613"/>
      <c r="G2" s="613"/>
      <c r="H2" s="613"/>
      <c r="I2" s="613"/>
      <c r="J2" s="613"/>
      <c r="K2" s="53"/>
      <c r="L2" s="53"/>
      <c r="M2" s="53"/>
      <c r="N2" s="51"/>
      <c r="O2" s="51"/>
      <c r="P2" s="51"/>
    </row>
    <row r="3" spans="2:17" ht="46.5" customHeight="1">
      <c r="B3" s="54" t="s">
        <v>624</v>
      </c>
      <c r="C3" s="614" t="str">
        <f>TEXT('0806 4度C'!A2,"yyyy.mm.ddaaaa")</f>
        <v>2026.08.06星期四</v>
      </c>
      <c r="D3" s="615"/>
      <c r="E3" s="54" t="s">
        <v>625</v>
      </c>
      <c r="F3" s="616">
        <f>'0806 4度C'!D1</f>
        <v>169879</v>
      </c>
      <c r="G3" s="617"/>
      <c r="H3" s="54" t="s">
        <v>626</v>
      </c>
      <c r="I3" s="618">
        <f>'0806 4度C'!F1</f>
        <v>5839374.1199999992</v>
      </c>
      <c r="J3" s="619"/>
      <c r="K3" s="55"/>
      <c r="L3" s="56"/>
      <c r="M3" s="57"/>
      <c r="N3" s="57"/>
    </row>
    <row r="4" spans="2:17" ht="28.5" customHeight="1">
      <c r="B4" s="620" t="s">
        <v>627</v>
      </c>
      <c r="C4" s="606" t="s">
        <v>628</v>
      </c>
      <c r="D4" s="607"/>
      <c r="E4" s="623" t="s">
        <v>629</v>
      </c>
      <c r="F4" s="624"/>
      <c r="G4" s="623" t="s">
        <v>630</v>
      </c>
      <c r="H4" s="624"/>
      <c r="I4" s="623" t="s">
        <v>631</v>
      </c>
      <c r="J4" s="624"/>
      <c r="K4" s="604" t="s">
        <v>531</v>
      </c>
      <c r="L4" s="605"/>
      <c r="M4" s="605" t="s">
        <v>632</v>
      </c>
      <c r="N4" s="605"/>
    </row>
    <row r="5" spans="2:17" ht="28.5" customHeight="1">
      <c r="B5" s="621"/>
      <c r="C5" s="606" t="s">
        <v>633</v>
      </c>
      <c r="D5" s="607"/>
      <c r="E5" s="606" t="s">
        <v>634</v>
      </c>
      <c r="F5" s="607"/>
      <c r="G5" s="608" t="s">
        <v>635</v>
      </c>
      <c r="H5" s="609"/>
      <c r="I5" s="610" t="s">
        <v>636</v>
      </c>
      <c r="J5" s="611"/>
      <c r="K5" s="58" t="s">
        <v>637</v>
      </c>
      <c r="L5" s="59" t="s">
        <v>638</v>
      </c>
      <c r="M5" s="58" t="s">
        <v>637</v>
      </c>
      <c r="N5" s="59" t="s">
        <v>639</v>
      </c>
    </row>
    <row r="6" spans="2:17" ht="28.5" customHeight="1">
      <c r="B6" s="621"/>
      <c r="C6" s="606" t="s">
        <v>169</v>
      </c>
      <c r="D6" s="607"/>
      <c r="E6" s="598">
        <f>AVERAGE(D13:M13)</f>
        <v>158.04929870389961</v>
      </c>
      <c r="F6" s="599">
        <f>AVERAGE(D31:O31,D13:J13)</f>
        <v>167.41429343969602</v>
      </c>
      <c r="G6" s="600">
        <f>AVERAGE(D13:J13)</f>
        <v>167.41429343969602</v>
      </c>
      <c r="H6" s="601"/>
      <c r="I6" s="600">
        <f>AVERAGE(K13:M13)</f>
        <v>136.19764432037462</v>
      </c>
      <c r="J6" s="601"/>
      <c r="K6" s="602">
        <f>'0806 4度C'!Y2</f>
        <v>0</v>
      </c>
      <c r="L6" s="587">
        <f>'0806 4度C'!Z2</f>
        <v>0</v>
      </c>
      <c r="M6" s="603">
        <f>'0806 4度C'!AC2</f>
        <v>59</v>
      </c>
      <c r="N6" s="587">
        <f>'0806 4度C'!AD2</f>
        <v>0</v>
      </c>
    </row>
    <row r="7" spans="2:17" ht="28.5" customHeight="1">
      <c r="B7" s="621"/>
      <c r="C7" s="588" t="s">
        <v>170</v>
      </c>
      <c r="D7" s="589"/>
      <c r="E7" s="590">
        <f>AVERAGE(D14:M14)</f>
        <v>151.69857475783655</v>
      </c>
      <c r="F7" s="591">
        <f>AVERAGE(D32:O32,D14:J14)</f>
        <v>160.86733578612282</v>
      </c>
      <c r="G7" s="592">
        <f>AVERAGE(D14:J14)</f>
        <v>160.86733578612282</v>
      </c>
      <c r="H7" s="593"/>
      <c r="I7" s="592">
        <f>AVERAGE(K14:M14)</f>
        <v>130.30479902516865</v>
      </c>
      <c r="J7" s="593"/>
      <c r="K7" s="602"/>
      <c r="L7" s="587"/>
      <c r="M7" s="603"/>
      <c r="N7" s="587"/>
    </row>
    <row r="8" spans="2:17" ht="28.5" customHeight="1">
      <c r="B8" s="622"/>
      <c r="C8" s="588" t="s">
        <v>171</v>
      </c>
      <c r="D8" s="589"/>
      <c r="E8" s="594">
        <f>AVERAGE(D15:M15)</f>
        <v>0.95908070221515307</v>
      </c>
      <c r="F8" s="595">
        <f>AVERAGE(D15:J15,D33:O33)</f>
        <v>0.96013284158878787</v>
      </c>
      <c r="G8" s="596">
        <f>AVERAGE(D15:J15)</f>
        <v>0.96013284158878787</v>
      </c>
      <c r="H8" s="597"/>
      <c r="I8" s="596">
        <f>AVERAGE(K15:M15)</f>
        <v>0.95662571034333788</v>
      </c>
      <c r="J8" s="597"/>
      <c r="K8" s="602"/>
      <c r="L8" s="587"/>
      <c r="M8" s="603"/>
      <c r="N8" s="587"/>
    </row>
    <row r="9" spans="2:17" ht="28.5" customHeight="1" thickBot="1">
      <c r="H9" s="61"/>
      <c r="K9" s="62" t="s">
        <v>640</v>
      </c>
      <c r="N9" s="57"/>
      <c r="O9" s="57"/>
      <c r="P9" s="57"/>
      <c r="Q9" s="57"/>
    </row>
    <row r="10" spans="2:17" ht="30" customHeight="1">
      <c r="B10" s="570" t="s">
        <v>641</v>
      </c>
      <c r="C10" s="571"/>
      <c r="D10" s="572" t="s">
        <v>642</v>
      </c>
      <c r="E10" s="573"/>
      <c r="F10" s="573"/>
      <c r="G10" s="573"/>
      <c r="H10" s="573"/>
      <c r="I10" s="573"/>
      <c r="J10" s="574"/>
      <c r="K10" s="575" t="s">
        <v>643</v>
      </c>
      <c r="L10" s="576"/>
      <c r="M10" s="577"/>
      <c r="P10" s="63"/>
      <c r="Q10" s="63"/>
    </row>
    <row r="11" spans="2:17" ht="17.25" customHeight="1">
      <c r="B11" s="578" t="s">
        <v>644</v>
      </c>
      <c r="C11" s="579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80"/>
      <c r="C12" s="581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582" t="s">
        <v>645</v>
      </c>
      <c r="C13" s="70" t="s">
        <v>646</v>
      </c>
      <c r="D13" s="71">
        <f>SUMIFS('0806 4度C'!$K:$K,'0806 4度C'!$A:$A,"新豐6線",'0806 4度C'!$B:$B,"平均")</f>
        <v>130.43478260869566</v>
      </c>
      <c r="E13" s="72">
        <f>SUMIFS('0806 4度C'!$K:$K,'0806 4度C'!$A:$A,"新豐2線",'0806 4度C'!$B:$B,"平均")</f>
        <v>86.206896551724142</v>
      </c>
      <c r="F13" s="73">
        <f>SUMIFS('0806 4度C'!$K:$K,'0806 4度C'!$A:$A,"新豐5線",'0806 4度C'!$B:$B,"平均")</f>
        <v>98.591549295774641</v>
      </c>
      <c r="G13" s="73">
        <f>SUMIFS('0806 4度C'!$K:$K,'0806 4度C'!$A:$A,"新豐7線",'0806 4度C'!$B:$B,"平均")</f>
        <v>127.65957446808511</v>
      </c>
      <c r="H13" s="73">
        <f>SUMIFS('0806 4度C'!$K:$K,'0806 4度C'!$A:$A,"新豐3線",'0806 4度C'!$B:$B,"平均")</f>
        <v>324.32432432432432</v>
      </c>
      <c r="I13" s="73">
        <f>SUMIFS('0806 4度C'!$K:$K,'0806 4度C'!$A:$A,"新豐1線",'0806 4度C'!$B:$B,"平均")</f>
        <v>112</v>
      </c>
      <c r="J13" s="74">
        <f>SUMIFS('0806 4度C'!$K:$K,'0806 4度C'!$A:$A,"新豐10線",'0806 4度C'!$B:$B,"平均")</f>
        <v>292.6829268292683</v>
      </c>
      <c r="K13" s="75">
        <f>SUMIFS('0806 4度C'!$K:$K,'0806 4度C'!$A:$A,"新豐8線",'0806 4度C'!$B:$B,"平均")</f>
        <v>139.80582524271844</v>
      </c>
      <c r="L13" s="76">
        <f>SUMIFS('0806 4度C'!$K:$K,'0806 4度C'!$A:$A,"新豐9線",'0806 4度C'!$B:$B,"平均")</f>
        <v>122.22222222222223</v>
      </c>
      <c r="M13" s="74">
        <f>SUMIFS('0806 4度C'!$K:$K,'0806 4度C'!$A:$A,"新豐4線",'0806 4度C'!$B:$B,"平均")</f>
        <v>146.56488549618319</v>
      </c>
    </row>
    <row r="14" spans="2:17" ht="39.6" customHeight="1">
      <c r="B14" s="583"/>
      <c r="C14" s="77" t="s">
        <v>647</v>
      </c>
      <c r="D14" s="78">
        <f>SUMIFS('0806 4度C'!$N:$N,'0806 4度C'!$A:$A,"新豐6線",'0806 4度C'!$B:$B,"平均")</f>
        <v>125.62625932419989</v>
      </c>
      <c r="E14" s="79">
        <f>SUMIFS('0806 4度C'!$N:$N,'0806 4度C'!$A:$A,"新豐2線",'0806 4度C'!$B:$B,"平均")</f>
        <v>82.366674346740041</v>
      </c>
      <c r="F14" s="79">
        <f>SUMIFS('0806 4度C'!$N:$N,'0806 4度C'!$A:$A,"新豐5線",'0806 4度C'!$B:$B,"平均")</f>
        <v>94.874834325253971</v>
      </c>
      <c r="G14" s="79">
        <f>SUMIFS('0806 4度C'!$N:$N,'0806 4度C'!$A:$A,"新豐7線",'0806 4度C'!$B:$B,"平均")</f>
        <v>122.46602621717687</v>
      </c>
      <c r="H14" s="79">
        <f>SUMIFS('0806 4度C'!$N:$N,'0806 4度C'!$A:$A,"新豐3線",'0806 4度C'!$B:$B,"平均")</f>
        <v>312.54946420293436</v>
      </c>
      <c r="I14" s="79">
        <f>SUMIFS('0806 4度C'!$N:$N,'0806 4度C'!$A:$A,"新豐1線",'0806 4度C'!$B:$B,"平均")</f>
        <v>107.17152184133725</v>
      </c>
      <c r="J14" s="80">
        <f>SUMIFS('0806 4度C'!$N:$N,'0806 4度C'!$A:$A,"新豐10線",'0806 4度C'!$B:$B,"平均")</f>
        <v>281.01657024521745</v>
      </c>
      <c r="K14" s="81">
        <f>SUMIFS('0806 4度C'!$N:$N,'0806 4度C'!$A:$A,"新豐8線",'0806 4度C'!$B:$B,"平均")</f>
        <v>133.49887590252578</v>
      </c>
      <c r="L14" s="82">
        <f>SUMIFS('0806 4度C'!$N:$N,'0806 4度C'!$A:$A,"新豐9線",'0806 4度C'!$B:$B,"平均")</f>
        <v>116.7595198601359</v>
      </c>
      <c r="M14" s="80">
        <f>SUMIFS('0806 4度C'!$N:$N,'0806 4度C'!$A:$A,"新豐4線",'0806 4度C'!$B:$B,"平均")</f>
        <v>140.65600131284421</v>
      </c>
    </row>
    <row r="15" spans="2:17" ht="40.15" customHeight="1">
      <c r="B15" s="584"/>
      <c r="C15" s="83" t="s">
        <v>190</v>
      </c>
      <c r="D15" s="84">
        <f t="shared" ref="D15:M15" si="0">D14/D13</f>
        <v>0.96313465481886584</v>
      </c>
      <c r="E15" s="85">
        <f t="shared" si="0"/>
        <v>0.95545342242218445</v>
      </c>
      <c r="F15" s="85">
        <f t="shared" si="0"/>
        <v>0.96230189101329033</v>
      </c>
      <c r="G15" s="85">
        <f t="shared" si="0"/>
        <v>0.95931720536788545</v>
      </c>
      <c r="H15" s="85">
        <f t="shared" si="0"/>
        <v>0.96369418129238094</v>
      </c>
      <c r="I15" s="85">
        <f t="shared" si="0"/>
        <v>0.9568885878690826</v>
      </c>
      <c r="J15" s="86">
        <f t="shared" si="0"/>
        <v>0.96013994833782623</v>
      </c>
      <c r="K15" s="84">
        <f t="shared" si="0"/>
        <v>0.95488779291389969</v>
      </c>
      <c r="L15" s="85">
        <f t="shared" si="0"/>
        <v>0.95530516249202091</v>
      </c>
      <c r="M15" s="86">
        <f t="shared" si="0"/>
        <v>0.95968417562409336</v>
      </c>
    </row>
    <row r="16" spans="2:17" ht="17.25" customHeight="1">
      <c r="B16" s="585" t="s">
        <v>451</v>
      </c>
      <c r="C16" s="87" t="s">
        <v>648</v>
      </c>
      <c r="D16" s="88">
        <f>VLOOKUP("新豐6線",'0806 4度C'!$A:$T,19,0)</f>
        <v>0.70833333333333337</v>
      </c>
      <c r="E16" s="89">
        <f>VLOOKUP("新豐2線",'0806 4度C'!$A:$T,19,0)</f>
        <v>8.3333333333333329E-2</v>
      </c>
      <c r="F16" s="89">
        <f>VLOOKUP("新豐5線",'0806 4度C'!$A:$T,19,0)</f>
        <v>0.20833333333333334</v>
      </c>
      <c r="G16" s="89">
        <f>VLOOKUP("新豐7線",'0806 4度C'!$A:$T,19,0)</f>
        <v>0.20833333333333334</v>
      </c>
      <c r="H16" s="89">
        <f>VLOOKUP("新豐3線",'0806 4度C'!$A:$T,19,0)</f>
        <v>0.20833333333333334</v>
      </c>
      <c r="I16" s="89">
        <f>VLOOKUP("新豐1線",'0806 4度C'!$A:$T,19,0)</f>
        <v>0.20833333333333334</v>
      </c>
      <c r="J16" s="90">
        <f>VLOOKUP("新豐10線",'0806 4度C'!$A:$T,19,0)</f>
        <v>0.20833333333333334</v>
      </c>
      <c r="K16" s="91">
        <f>VLOOKUP("新豐8線",'0806 4度C'!$A:$T,19,0)</f>
        <v>8.3333333333333329E-2</v>
      </c>
      <c r="L16" s="92">
        <f>VLOOKUP("新豐9線",'0806 4度C'!$A:$T,19,0)</f>
        <v>8.3333333333333329E-2</v>
      </c>
      <c r="M16" s="93">
        <f>VLOOKUP("新豐4線",'0806 4度C'!$A:$T,19,0)</f>
        <v>8.3333333333333329E-2</v>
      </c>
    </row>
    <row r="17" spans="2:13" ht="17.25" customHeight="1">
      <c r="B17" s="586"/>
      <c r="C17" s="87" t="s">
        <v>649</v>
      </c>
      <c r="D17" s="91">
        <f>LOOKUP(2,1/(('0806 4度C'!$A:$A="新豐6線")*('0806 4度C'!$T:$T&lt;&gt;"")),'0806 4度C'!$T:$T)</f>
        <v>0.82777777777777772</v>
      </c>
      <c r="E17" s="89">
        <f>LOOKUP(2,1/(('0806 4度C'!$A:$A="新豐2線")*('0806 4度C'!$T:$T&lt;&gt;"")),'0806 4度C'!$T:$T)</f>
        <v>0.59930555555555542</v>
      </c>
      <c r="F17" s="89">
        <f>LOOKUP(2,1/(('0806 4度C'!$A:$A="新豐5線")*('0806 4度C'!$T:$T&lt;&gt;"")),'0806 4度C'!$T:$T)</f>
        <v>0.83194444444444449</v>
      </c>
      <c r="G17" s="89">
        <f>LOOKUP(2,1/(('0806 4度C'!$A:$A="新豐7線")*('0806 4度C'!$T:$T&lt;&gt;"")),'0806 4度C'!$T:$T)</f>
        <v>0.84097222222222223</v>
      </c>
      <c r="H17" s="89">
        <f>LOOKUP(2,1/(('0806 4度C'!$A:$A="新豐3線")*('0806 4度C'!$T:$T&lt;&gt;"")),'0806 4度C'!$T:$T)</f>
        <v>0.40208333333333329</v>
      </c>
      <c r="I17" s="89">
        <f>LOOKUP(2,1/(('0806 4度C'!$A:$A="新豐1線")*('0806 4度C'!$T:$T&lt;&gt;"")),'0806 4度C'!$T:$T)</f>
        <v>0.82638888888888895</v>
      </c>
      <c r="J17" s="90">
        <f>LOOKUP(2,1/(('0806 4度C'!$A:$A="新豐10線")*('0806 4度C'!$T:$T&lt;&gt;"")),'0806 4度C'!$T:$T)</f>
        <v>0.39166666666666655</v>
      </c>
      <c r="K17" s="88">
        <f>LOOKUP(2,1/(('0806 4度C'!$A:$A="新豐8線")*('0806 4度C'!$T:$T&lt;&gt;"")),'0806 4度C'!$T:$T)</f>
        <v>0.6284722222222221</v>
      </c>
      <c r="L17" s="89">
        <f>LOOKUP(2,1/(('0806 4度C'!$A:$A="新豐9線")*('0806 4度C'!$T:$T&lt;&gt;"")),'0806 4度C'!$T:$T)</f>
        <v>0.72499999999999987</v>
      </c>
      <c r="M17" s="90">
        <f>LOOKUP(2,1/(('0806 4度C'!$A:$A="新豐4線")*('0806 4度C'!$T:$T&lt;&gt;"")),'0806 4度C'!$T:$T)</f>
        <v>0.65208333333333324</v>
      </c>
    </row>
    <row r="18" spans="2:13" ht="17.25" customHeight="1">
      <c r="B18" s="564" t="s">
        <v>650</v>
      </c>
      <c r="C18" s="94" t="s">
        <v>651</v>
      </c>
      <c r="D18" s="95">
        <f>SUMIFS('0806 4度C'!$Y:$Y,'0806 4度C'!$A:$A,"新豐6線",'0806 4度C'!$B:$B,"平均")</f>
        <v>0</v>
      </c>
      <c r="E18" s="96">
        <f>SUMIFS('0806 4度C'!$Y:$Y,'0806 4度C'!$A:$A,"新豐2線",'0806 4度C'!$B:$B,"平均")</f>
        <v>0</v>
      </c>
      <c r="F18" s="96">
        <f>SUMIFS('0806 4度C'!$Y:$Y,'0806 4度C'!$A:$A,"新豐5線",'0806 4度C'!$B:$B,"平均")</f>
        <v>0</v>
      </c>
      <c r="G18" s="96">
        <f>SUMIFS('0806 4度C'!$Y:$Y,'0806 4度C'!$A:$A,"新豐7線",'0806 4度C'!$B:$B,"平均")</f>
        <v>0</v>
      </c>
      <c r="H18" s="96">
        <f>SUMIFS('0806 4度C'!$Y:$Y,'0806 4度C'!$A:$A,"新豐3線",'0806 4度C'!$B:$B,"平均")</f>
        <v>0</v>
      </c>
      <c r="I18" s="96">
        <f>SUMIFS('0806 4度C'!$Y:$Y,'0806 4度C'!$A:$A,"新豐1線",'0806 4度C'!$B:$B,"平均")</f>
        <v>0</v>
      </c>
      <c r="J18" s="97">
        <f>SUMIFS('0806 4度C'!$Y:$Y,'0806 4度C'!$A:$A,"新豐10線",'0806 4度C'!$B:$B,"平均")</f>
        <v>0</v>
      </c>
      <c r="K18" s="98">
        <f>SUMIFS('0806 4度C'!$Y:$Y,'0806 4度C'!$A:$A,"新豐8線",'0806 4度C'!$B:$B,"平均")</f>
        <v>0</v>
      </c>
      <c r="L18" s="96">
        <f>SUMIFS('0806 4度C'!$Y:$Y,'0806 4度C'!$A:$A,"新豐9線",'0806 4度C'!$B:$B,"平均")</f>
        <v>0</v>
      </c>
      <c r="M18" s="97">
        <f>SUMIFS('0806 4度C'!$Y:$Y,'0806 4度C'!$A:$A,"新豐4線",'0806 4度C'!$B:$B,"平均")</f>
        <v>0</v>
      </c>
    </row>
    <row r="19" spans="2:13" ht="17.25" customHeight="1">
      <c r="B19" s="565"/>
      <c r="C19" s="94" t="s">
        <v>196</v>
      </c>
      <c r="D19" s="95">
        <f>SUMIFS('0806 4度C'!$Z:$Z,'0806 4度C'!$A:$A,"新豐6線",'0806 4度C'!$B:$B,"平均")</f>
        <v>0</v>
      </c>
      <c r="E19" s="96">
        <f>SUMIFS('0806 4度C'!$Z:$Z,'0806 4度C'!$A:$A,"新豐2線",'0806 4度C'!$B:$B,"平均")</f>
        <v>0</v>
      </c>
      <c r="F19" s="96">
        <f>SUMIFS('0806 4度C'!$Z:$Z,'0806 4度C'!$A:$A,"新豐5線",'0806 4度C'!$B:$B,"平均")</f>
        <v>0</v>
      </c>
      <c r="G19" s="96">
        <f>SUMIFS('0806 4度C'!$Z:$Z,'0806 4度C'!$A:$A,"新豐7線",'0806 4度C'!$B:$B,"平均")</f>
        <v>0</v>
      </c>
      <c r="H19" s="96">
        <f>SUMIFS('0806 4度C'!$Z:$Z,'0806 4度C'!$A:$A,"新豐3線",'0806 4度C'!$B:$B,"平均")</f>
        <v>0</v>
      </c>
      <c r="I19" s="96">
        <f>SUMIFS('0806 4度C'!$Z:$Z,'0806 4度C'!$A:$A,"新豐1線",'0806 4度C'!$B:$B,"平均")</f>
        <v>0</v>
      </c>
      <c r="J19" s="97">
        <f>SUMIFS('0806 4度C'!$Z:$Z,'0806 4度C'!$A:$A,"新豐10線",'0806 4度C'!$B:$B,"平均")</f>
        <v>0</v>
      </c>
      <c r="K19" s="98">
        <f>SUMIFS('0806 4度C'!$Z:$Z,'0806 4度C'!$A:$A,"新豐8線",'0806 4度C'!$B:$B,"平均")</f>
        <v>0</v>
      </c>
      <c r="L19" s="96">
        <f>SUMIFS('0806 4度C'!$Z:$Z,'0806 4度C'!$A:$A,"新豐9線",'0806 4度C'!$B:$B,"平均")</f>
        <v>0</v>
      </c>
      <c r="M19" s="97">
        <f>SUMIFS('0806 4度C'!$Z:$Z,'0806 4度C'!$A:$A,"新豐4線",'0806 4度C'!$B:$B,"平均")</f>
        <v>0</v>
      </c>
    </row>
    <row r="20" spans="2:13" ht="17.25" customHeight="1">
      <c r="B20" s="564" t="s">
        <v>652</v>
      </c>
      <c r="C20" s="94" t="s">
        <v>651</v>
      </c>
      <c r="D20" s="95">
        <f>SUMIFS('0806 4度C'!$AC:$AC,'0806 4度C'!$A:$A,"新豐6線",'0806 4度C'!$B:$B,"平均")</f>
        <v>3</v>
      </c>
      <c r="E20" s="96">
        <f>SUMIFS('0806 4度C'!$AC:$AC,'0806 4度C'!$A:$A,"新豐2線",'0806 4度C'!$B:$B,"平均")</f>
        <v>5</v>
      </c>
      <c r="F20" s="96">
        <f>SUMIFS('0806 4度C'!$AC:$AC,'0806 4度C'!$A:$A,"新豐5線",'0806 4度C'!$B:$B,"平均")</f>
        <v>8</v>
      </c>
      <c r="G20" s="96">
        <f>SUMIFS('0806 4度C'!$AC:$AC,'0806 4度C'!$A:$A,"新豐7線",'0806 4度C'!$B:$B,"平均")</f>
        <v>6</v>
      </c>
      <c r="H20" s="96">
        <f>SUMIFS('0806 4度C'!$AC:$AC,'0806 4度C'!$A:$A,"新豐3線",'0806 4度C'!$B:$B,"平均")</f>
        <v>4</v>
      </c>
      <c r="I20" s="96">
        <f>SUMIFS('0806 4度C'!$AC:$AC,'0806 4度C'!$A:$A,"新豐1線",'0806 4度C'!$B:$B,"平均")</f>
        <v>7</v>
      </c>
      <c r="J20" s="97">
        <f>SUMIFS('0806 4度C'!$AC:$AC,'0806 4度C'!$A:$A,"新豐10線",'0806 4度C'!$B:$B,"平均")</f>
        <v>4</v>
      </c>
      <c r="K20" s="98">
        <f>SUMIFS('0806 4度C'!$AC:$AC,'0806 4度C'!$A:$A,"新豐8線",'0806 4度C'!$B:$B,"平均")</f>
        <v>6</v>
      </c>
      <c r="L20" s="96">
        <f>SUMIFS('0806 4度C'!$AC:$AC,'0806 4度C'!$A:$A,"新豐9線",'0806 4度C'!$B:$B,"平均")</f>
        <v>8</v>
      </c>
      <c r="M20" s="97">
        <f>SUMIFS('0806 4度C'!$AC:$AC,'0806 4度C'!$A:$A,"新豐4線",'0806 4度C'!$B:$B,"平均")</f>
        <v>8</v>
      </c>
    </row>
    <row r="21" spans="2:13" ht="17.25" customHeight="1">
      <c r="B21" s="565"/>
      <c r="C21" s="94" t="s">
        <v>653</v>
      </c>
      <c r="D21" s="95">
        <f>SUMIFS('0806 4度C'!$AD:$AD,'0806 4度C'!$A:$A,"新豐6線",'0806 4度C'!$B:$B,"平均")</f>
        <v>0</v>
      </c>
      <c r="E21" s="96">
        <f>SUMIFS('0806 4度C'!$AD:$AD,'0806 4度C'!$A:$A,"新豐2線",'0806 4度C'!$B:$B,"平均")</f>
        <v>0</v>
      </c>
      <c r="F21" s="96">
        <f>SUMIFS('0806 4度C'!$AD:$AD,'0806 4度C'!$A:$A,"新豐5線",'0806 4度C'!$B:$B,"平均")</f>
        <v>0</v>
      </c>
      <c r="G21" s="96">
        <f>SUMIFS('0806 4度C'!$AD:$AD,'0806 4度C'!$A:$A,"新豐7線",'0806 4度C'!$B:$B,"平均")</f>
        <v>0</v>
      </c>
      <c r="H21" s="96">
        <f>SUMIFS('0806 4度C'!$AD:$AD,'0806 4度C'!$A:$A,"新豐3線",'0806 4度C'!$B:$B,"平均")</f>
        <v>0</v>
      </c>
      <c r="I21" s="96">
        <f>SUMIFS('0806 4度C'!$AD:$AD,'0806 4度C'!$A:$A,"新豐1線",'0806 4度C'!$B:$B,"平均")</f>
        <v>0</v>
      </c>
      <c r="J21" s="97">
        <f>SUMIFS('0806 4度C'!$AD:$AD,'0806 4度C'!$A:$A,"新豐10線",'0806 4度C'!$B:$B,"平均")</f>
        <v>0</v>
      </c>
      <c r="K21" s="98">
        <f>SUMIFS('0806 4度C'!$AD:$AD,'0806 4度C'!$A:$A,"新豐8線",'0806 4度C'!$B:$B,"平均")</f>
        <v>0</v>
      </c>
      <c r="L21" s="96">
        <f>SUMIFS('0806 4度C'!$AD:$AD,'0806 4度C'!$A:$A,"新豐9線",'0806 4度C'!$B:$B,"平均")</f>
        <v>0</v>
      </c>
      <c r="M21" s="97">
        <f>SUMIFS('0806 4度C'!$AD:$AD,'0806 4度C'!$A:$A,"新豐4線",'0806 4度C'!$B:$B,"平均")</f>
        <v>0</v>
      </c>
    </row>
    <row r="22" spans="2:13" ht="17.25" customHeight="1">
      <c r="B22" s="566" t="s">
        <v>654</v>
      </c>
      <c r="C22" s="567"/>
      <c r="D22" s="99">
        <f>SUMIFS('0806 4度C'!$I:$I,'0806 4度C'!$A:$A,"新豐6線",'0806 4度C'!$B:$B,"平均")</f>
        <v>15.333333333333334</v>
      </c>
      <c r="E22" s="100">
        <f>SUMIFS('0806 4度C'!$I:$I,'0806 4度C'!$A:$A,"新豐2線",'0806 4度C'!$B:$B,"平均")</f>
        <v>17.399999999999999</v>
      </c>
      <c r="F22" s="100">
        <f>SUMIFS('0806 4度C'!$I:$I,'0806 4度C'!$A:$A,"新豐5線",'0806 4度C'!$B:$B,"平均")</f>
        <v>17.75</v>
      </c>
      <c r="G22" s="100">
        <f>SUMIFS('0806 4度C'!$I:$I,'0806 4度C'!$A:$A,"新豐7線",'0806 4度C'!$B:$B,"平均")</f>
        <v>15.666666666666666</v>
      </c>
      <c r="H22" s="100">
        <f>SUMIFS('0806 4度C'!$I:$I,'0806 4度C'!$A:$A,"新豐3線",'0806 4度C'!$B:$B,"平均")</f>
        <v>9.25</v>
      </c>
      <c r="I22" s="100">
        <f>SUMIFS('0806 4度C'!$I:$I,'0806 4度C'!$A:$A,"新豐1線",'0806 4度C'!$B:$B,"平均")</f>
        <v>17.857142857142858</v>
      </c>
      <c r="J22" s="101">
        <f>SUMIFS('0806 4度C'!$I:$I,'0806 4度C'!$A:$A,"新豐10線",'0806 4度C'!$B:$B,"平均")</f>
        <v>10.25</v>
      </c>
      <c r="K22" s="99">
        <f>SUMIFS('0806 4度C'!$I:$I,'0806 4度C'!$A:$A,"新豐8線",'0806 4度C'!$B:$B,"平均")</f>
        <v>17.166666666666668</v>
      </c>
      <c r="L22" s="100">
        <f>SUMIFS('0806 4度C'!$I:$I,'0806 4度C'!$A:$A,"新豐9線",'0806 4度C'!$B:$B,"平均")</f>
        <v>18</v>
      </c>
      <c r="M22" s="101">
        <f>SUMIFS('0806 4度C'!$I:$I,'0806 4度C'!$A:$A,"新豐4線",'0806 4度C'!$B:$B,"平均")</f>
        <v>16.375</v>
      </c>
    </row>
    <row r="23" spans="2:13" ht="17.25" customHeight="1">
      <c r="B23" s="566" t="s">
        <v>655</v>
      </c>
      <c r="C23" s="567"/>
      <c r="D23" s="102" t="s">
        <v>202</v>
      </c>
      <c r="E23" s="103" t="s">
        <v>203</v>
      </c>
      <c r="F23" s="103" t="s">
        <v>656</v>
      </c>
      <c r="G23" s="103" t="s">
        <v>656</v>
      </c>
      <c r="H23" s="103" t="s">
        <v>205</v>
      </c>
      <c r="I23" s="103" t="s">
        <v>202</v>
      </c>
      <c r="J23" s="104" t="s">
        <v>205</v>
      </c>
      <c r="K23" s="102" t="s">
        <v>657</v>
      </c>
      <c r="L23" s="103" t="s">
        <v>206</v>
      </c>
      <c r="M23" s="104" t="s">
        <v>657</v>
      </c>
    </row>
    <row r="24" spans="2:13" ht="17.25" customHeight="1">
      <c r="B24" s="566" t="s">
        <v>658</v>
      </c>
      <c r="C24" s="567"/>
      <c r="D24" s="102"/>
      <c r="E24" s="103"/>
      <c r="F24" s="103" t="s">
        <v>659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68" t="s">
        <v>660</v>
      </c>
      <c r="C25" s="569"/>
      <c r="D25" s="105"/>
      <c r="E25" s="106" t="s">
        <v>661</v>
      </c>
      <c r="F25" s="562" t="s">
        <v>662</v>
      </c>
      <c r="G25" s="563"/>
      <c r="H25" s="106" t="s">
        <v>663</v>
      </c>
      <c r="I25" s="106" t="s">
        <v>664</v>
      </c>
      <c r="J25" s="107" t="s">
        <v>213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56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4"/>
  <sheetViews>
    <sheetView zoomScale="80" zoomScaleNormal="80" workbookViewId="0">
      <pane ySplit="4" topLeftCell="A5" activePane="bottomLeft" state="frozen"/>
      <selection activeCell="Q11" sqref="Q11"/>
      <selection pane="bottomLeft" activeCell="Q11" sqref="Q11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41" customWidth="1"/>
    <col min="20" max="20" width="7.625" style="41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665</v>
      </c>
      <c r="B1" s="1"/>
      <c r="C1" s="2" t="s">
        <v>666</v>
      </c>
      <c r="D1" s="3">
        <f>SUM(F5:F73)</f>
        <v>169879</v>
      </c>
      <c r="E1" s="175" t="s">
        <v>667</v>
      </c>
      <c r="F1" s="1">
        <f>SUM(G5:G73)</f>
        <v>5839374.1199999992</v>
      </c>
      <c r="G1" s="1" t="s">
        <v>668</v>
      </c>
      <c r="H1" s="5">
        <f>L8+L14+L51+L59+L23+L64+L37+L46+L30+L73</f>
        <v>155.04880952380952</v>
      </c>
      <c r="I1" s="676" t="s">
        <v>669</v>
      </c>
      <c r="J1" s="676"/>
      <c r="K1" s="676"/>
      <c r="L1" s="676" t="s">
        <v>670</v>
      </c>
      <c r="M1" s="676"/>
      <c r="N1" s="676"/>
      <c r="O1" s="676" t="s">
        <v>671</v>
      </c>
      <c r="P1" s="676"/>
      <c r="Q1" s="676"/>
      <c r="R1" s="676"/>
      <c r="S1" s="676" t="s">
        <v>672</v>
      </c>
      <c r="T1" s="676"/>
      <c r="U1" s="676"/>
      <c r="V1" s="676"/>
      <c r="W1" s="676"/>
      <c r="X1" s="676"/>
      <c r="Y1" s="6" t="s">
        <v>673</v>
      </c>
      <c r="Z1" s="7" t="s">
        <v>674</v>
      </c>
      <c r="AA1" s="677" t="s">
        <v>675</v>
      </c>
      <c r="AB1" s="677"/>
      <c r="AC1" s="8" t="s">
        <v>8</v>
      </c>
      <c r="AD1" s="7" t="s">
        <v>676</v>
      </c>
      <c r="AE1" s="676" t="s">
        <v>677</v>
      </c>
      <c r="AF1" s="678"/>
      <c r="AG1" s="678"/>
    </row>
    <row r="2" spans="1:33" ht="26.25" customHeight="1">
      <c r="A2" s="35">
        <v>46240</v>
      </c>
      <c r="B2" s="36" t="s">
        <v>621</v>
      </c>
      <c r="C2" s="2" t="s">
        <v>645</v>
      </c>
      <c r="D2" s="10">
        <f>AVERAGE(N8,N14,N51,N59,N23,N64,N30,N37,N46,N73)</f>
        <v>151.69857475783658</v>
      </c>
      <c r="E2" s="11" t="s">
        <v>14</v>
      </c>
      <c r="F2" s="12">
        <f>F1/D1</f>
        <v>34.373725534056589</v>
      </c>
      <c r="G2" s="1" t="s">
        <v>678</v>
      </c>
      <c r="H2" s="183">
        <f>COUNT(H5:H73)</f>
        <v>7</v>
      </c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14">
        <f>SUM(Y8+Y14+Y23+Y30+Y37+Y46+Y51+Y59+Y64+Y73)</f>
        <v>0</v>
      </c>
      <c r="Z2" s="14">
        <f>SUM(Z8+Z14+Z23+Z30+Z37+Z46+Z51+Z59+Z64+Z73)</f>
        <v>0</v>
      </c>
      <c r="AA2" s="677"/>
      <c r="AB2" s="677"/>
      <c r="AC2" s="14">
        <v>59</v>
      </c>
      <c r="AD2" s="14">
        <f>SUM(AD8+AD14+AD23+AD30+AD37+AD46+AD51+AD59+AD64+AD73)</f>
        <v>0</v>
      </c>
      <c r="AE2" s="678"/>
      <c r="AF2" s="678"/>
      <c r="AG2" s="678"/>
    </row>
    <row r="3" spans="1:33" ht="40.5" customHeight="1">
      <c r="A3" s="632" t="s">
        <v>679</v>
      </c>
      <c r="B3" s="632" t="s">
        <v>680</v>
      </c>
      <c r="C3" s="632" t="s">
        <v>681</v>
      </c>
      <c r="D3" s="632"/>
      <c r="E3" s="674" t="s">
        <v>682</v>
      </c>
      <c r="F3" s="632" t="s">
        <v>20</v>
      </c>
      <c r="G3" s="674" t="s">
        <v>683</v>
      </c>
      <c r="H3" s="667" t="s">
        <v>684</v>
      </c>
      <c r="I3" s="665" t="s">
        <v>685</v>
      </c>
      <c r="J3" s="662" t="s">
        <v>686</v>
      </c>
      <c r="K3" s="672" t="s">
        <v>645</v>
      </c>
      <c r="L3" s="665" t="s">
        <v>685</v>
      </c>
      <c r="M3" s="662" t="s">
        <v>289</v>
      </c>
      <c r="N3" s="672" t="s">
        <v>645</v>
      </c>
      <c r="O3" s="665" t="s">
        <v>23</v>
      </c>
      <c r="P3" s="672" t="s">
        <v>645</v>
      </c>
      <c r="Q3" s="663" t="s">
        <v>687</v>
      </c>
      <c r="R3" s="641" t="s">
        <v>688</v>
      </c>
      <c r="S3" s="673" t="s">
        <v>29</v>
      </c>
      <c r="T3" s="673"/>
      <c r="U3" s="667" t="s">
        <v>30</v>
      </c>
      <c r="V3" s="667" t="s">
        <v>689</v>
      </c>
      <c r="W3" s="632" t="s">
        <v>690</v>
      </c>
      <c r="X3" s="632"/>
      <c r="Y3" s="668" t="s">
        <v>294</v>
      </c>
      <c r="Z3" s="631"/>
      <c r="AA3" s="669" t="s">
        <v>691</v>
      </c>
      <c r="AB3" s="670"/>
      <c r="AC3" s="668" t="s">
        <v>692</v>
      </c>
      <c r="AD3" s="631"/>
      <c r="AE3" s="662" t="s">
        <v>686</v>
      </c>
      <c r="AF3" s="663" t="s">
        <v>687</v>
      </c>
      <c r="AG3" s="641" t="s">
        <v>693</v>
      </c>
    </row>
    <row r="4" spans="1:33" ht="15.75" customHeight="1">
      <c r="A4" s="632"/>
      <c r="B4" s="632"/>
      <c r="C4" s="632"/>
      <c r="D4" s="632"/>
      <c r="E4" s="675"/>
      <c r="F4" s="632"/>
      <c r="G4" s="675"/>
      <c r="H4" s="667"/>
      <c r="I4" s="665"/>
      <c r="J4" s="662"/>
      <c r="K4" s="672"/>
      <c r="L4" s="665"/>
      <c r="M4" s="662"/>
      <c r="N4" s="672"/>
      <c r="O4" s="665"/>
      <c r="P4" s="672"/>
      <c r="Q4" s="663"/>
      <c r="R4" s="641"/>
      <c r="S4" s="182" t="s">
        <v>39</v>
      </c>
      <c r="T4" s="182" t="s">
        <v>40</v>
      </c>
      <c r="U4" s="667"/>
      <c r="V4" s="667"/>
      <c r="W4" s="175" t="s">
        <v>694</v>
      </c>
      <c r="X4" s="175" t="s">
        <v>298</v>
      </c>
      <c r="Y4" s="174" t="s">
        <v>651</v>
      </c>
      <c r="Z4" s="174" t="s">
        <v>695</v>
      </c>
      <c r="AA4" s="671"/>
      <c r="AB4" s="670"/>
      <c r="AC4" s="174" t="s">
        <v>696</v>
      </c>
      <c r="AD4" s="174" t="s">
        <v>697</v>
      </c>
      <c r="AE4" s="662"/>
      <c r="AF4" s="663"/>
      <c r="AG4" s="641"/>
    </row>
    <row r="5" spans="1:33">
      <c r="A5" s="664" t="s">
        <v>698</v>
      </c>
      <c r="B5" s="42" t="s">
        <v>92</v>
      </c>
      <c r="C5" s="666" t="s">
        <v>93</v>
      </c>
      <c r="D5" s="666"/>
      <c r="E5" s="42">
        <v>50.92</v>
      </c>
      <c r="F5" s="182">
        <v>1776</v>
      </c>
      <c r="G5" s="175">
        <f t="shared" ref="G5:G7" si="0">E5*F5</f>
        <v>90433.919999999998</v>
      </c>
      <c r="H5" s="37" t="s">
        <v>91</v>
      </c>
      <c r="I5" s="180">
        <v>15</v>
      </c>
      <c r="J5" s="39">
        <v>2000</v>
      </c>
      <c r="K5" s="17">
        <f t="shared" ref="K5:K68" si="1">J5/I5</f>
        <v>133.33333333333334</v>
      </c>
      <c r="L5" s="180">
        <v>15</v>
      </c>
      <c r="M5" s="18">
        <f t="shared" ref="M5:M7" si="2">F5/V5*60</f>
        <v>1937.4545454545466</v>
      </c>
      <c r="N5" s="17">
        <f t="shared" ref="N5:N68" si="3">M5/L5</f>
        <v>129.16363636363644</v>
      </c>
      <c r="O5" s="19">
        <f t="shared" ref="O5:O68" si="4">L5-I5</f>
        <v>0</v>
      </c>
      <c r="P5" s="20">
        <f t="shared" ref="P5:P68" si="5">N5-K5</f>
        <v>-4.1696969696969006</v>
      </c>
      <c r="Q5" s="176">
        <f t="shared" ref="Q5:Q68" si="6">N5/K5</f>
        <v>0.96872727272727321</v>
      </c>
      <c r="R5" s="637">
        <f>Q8</f>
        <v>0.96313465481886584</v>
      </c>
      <c r="S5" s="40">
        <v>0.70833333333333337</v>
      </c>
      <c r="T5" s="40">
        <v>0.74652777777777779</v>
      </c>
      <c r="U5" s="175"/>
      <c r="V5" s="181">
        <f t="shared" ref="V5:V7" si="7">(T5-S5)*24*60</f>
        <v>54.999999999999964</v>
      </c>
      <c r="W5" s="23"/>
      <c r="X5" s="23"/>
      <c r="Y5" s="24"/>
      <c r="Z5" s="24"/>
      <c r="AA5" s="632"/>
      <c r="AB5" s="632"/>
      <c r="AC5" s="25">
        <v>3</v>
      </c>
      <c r="AD5" s="25"/>
      <c r="AE5" s="19">
        <f t="shared" ref="AE5:AE58" si="8">M5-J5</f>
        <v>-62.545454545453367</v>
      </c>
      <c r="AF5" s="176">
        <f t="shared" ref="AF5:AF68" si="9">M5/J5</f>
        <v>0.96872727272727333</v>
      </c>
      <c r="AG5" s="637">
        <f>AF8</f>
        <v>0.96313465481886584</v>
      </c>
    </row>
    <row r="6" spans="1:33">
      <c r="A6" s="665" t="s">
        <v>699</v>
      </c>
      <c r="B6" s="42" t="s">
        <v>92</v>
      </c>
      <c r="C6" s="666" t="s">
        <v>94</v>
      </c>
      <c r="D6" s="666"/>
      <c r="E6" s="42">
        <v>50.98</v>
      </c>
      <c r="F6" s="182">
        <v>1809</v>
      </c>
      <c r="G6" s="175">
        <f t="shared" si="0"/>
        <v>92222.819999999992</v>
      </c>
      <c r="H6" s="37" t="s">
        <v>91</v>
      </c>
      <c r="I6" s="180">
        <v>16</v>
      </c>
      <c r="J6" s="39">
        <v>2000</v>
      </c>
      <c r="K6" s="17">
        <f t="shared" si="1"/>
        <v>125</v>
      </c>
      <c r="L6" s="180">
        <v>16</v>
      </c>
      <c r="M6" s="18">
        <f t="shared" si="2"/>
        <v>1904.210526315791</v>
      </c>
      <c r="N6" s="17">
        <f t="shared" si="3"/>
        <v>119.01315789473693</v>
      </c>
      <c r="O6" s="19">
        <f t="shared" si="4"/>
        <v>0</v>
      </c>
      <c r="P6" s="20">
        <f t="shared" si="5"/>
        <v>-5.9868421052630652</v>
      </c>
      <c r="Q6" s="176">
        <f t="shared" si="6"/>
        <v>0.95210526315789545</v>
      </c>
      <c r="R6" s="637"/>
      <c r="S6" s="40">
        <v>0.75</v>
      </c>
      <c r="T6" s="40">
        <v>0.7895833333333333</v>
      </c>
      <c r="U6" s="175">
        <f t="shared" ref="U6:U7" si="10">IF(S6=TIME(17,0,0),"",(S6-T5)*24*60)</f>
        <v>4.9999999999999822</v>
      </c>
      <c r="V6" s="181">
        <f t="shared" si="7"/>
        <v>56.999999999999957</v>
      </c>
      <c r="W6" s="23"/>
      <c r="X6" s="23"/>
      <c r="Y6" s="23"/>
      <c r="Z6" s="23"/>
      <c r="AA6" s="632"/>
      <c r="AB6" s="632"/>
      <c r="AC6" s="25"/>
      <c r="AD6" s="25"/>
      <c r="AE6" s="19">
        <f t="shared" si="8"/>
        <v>-95.789473684209042</v>
      </c>
      <c r="AF6" s="176">
        <f t="shared" si="9"/>
        <v>0.95210526315789545</v>
      </c>
      <c r="AG6" s="637"/>
    </row>
    <row r="7" spans="1:33">
      <c r="A7" s="665" t="s">
        <v>699</v>
      </c>
      <c r="B7" s="42" t="s">
        <v>92</v>
      </c>
      <c r="C7" s="660" t="s">
        <v>109</v>
      </c>
      <c r="D7" s="661"/>
      <c r="E7" s="42">
        <v>50.49</v>
      </c>
      <c r="F7" s="182">
        <v>1582</v>
      </c>
      <c r="G7" s="175">
        <f t="shared" si="0"/>
        <v>79875.180000000008</v>
      </c>
      <c r="H7" s="37" t="s">
        <v>91</v>
      </c>
      <c r="I7" s="180">
        <v>15</v>
      </c>
      <c r="J7" s="39">
        <v>2000</v>
      </c>
      <c r="K7" s="17">
        <f t="shared" si="1"/>
        <v>133.33333333333334</v>
      </c>
      <c r="L7" s="180">
        <v>15</v>
      </c>
      <c r="M7" s="18">
        <f t="shared" si="2"/>
        <v>1937.1428571428576</v>
      </c>
      <c r="N7" s="17">
        <f t="shared" si="3"/>
        <v>129.14285714285717</v>
      </c>
      <c r="O7" s="19">
        <f t="shared" si="4"/>
        <v>0</v>
      </c>
      <c r="P7" s="20">
        <f t="shared" si="5"/>
        <v>-4.1904761904761756</v>
      </c>
      <c r="Q7" s="176">
        <f t="shared" si="6"/>
        <v>0.96857142857142864</v>
      </c>
      <c r="R7" s="637"/>
      <c r="S7" s="40">
        <v>0.79374999999999996</v>
      </c>
      <c r="T7" s="40">
        <v>0.82777777777777772</v>
      </c>
      <c r="U7" s="175">
        <f t="shared" si="10"/>
        <v>5.9999999999999787</v>
      </c>
      <c r="V7" s="181">
        <f t="shared" si="7"/>
        <v>48.999999999999986</v>
      </c>
      <c r="W7" s="23"/>
      <c r="X7" s="23"/>
      <c r="Y7" s="26"/>
      <c r="Z7" s="26"/>
      <c r="AA7" s="627"/>
      <c r="AB7" s="628"/>
      <c r="AC7" s="27"/>
      <c r="AD7" s="27"/>
      <c r="AE7" s="19">
        <f t="shared" si="8"/>
        <v>-62.857142857142435</v>
      </c>
      <c r="AF7" s="176">
        <f t="shared" si="9"/>
        <v>0.96857142857142875</v>
      </c>
      <c r="AG7" s="637"/>
    </row>
    <row r="8" spans="1:33">
      <c r="A8" s="665" t="s">
        <v>699</v>
      </c>
      <c r="B8" s="42" t="s">
        <v>700</v>
      </c>
      <c r="C8" s="638"/>
      <c r="D8" s="638"/>
      <c r="E8" s="177"/>
      <c r="F8" s="44"/>
      <c r="G8" s="17"/>
      <c r="H8" s="182"/>
      <c r="I8" s="29">
        <v>15.333333333333334</v>
      </c>
      <c r="J8" s="39">
        <v>2000</v>
      </c>
      <c r="K8" s="17">
        <f t="shared" si="1"/>
        <v>130.43478260869566</v>
      </c>
      <c r="L8" s="29">
        <v>15.333333333333334</v>
      </c>
      <c r="M8" s="18">
        <f>AVERAGE(M5:M7)</f>
        <v>1926.2693096377318</v>
      </c>
      <c r="N8" s="17">
        <f t="shared" si="3"/>
        <v>125.62625932419989</v>
      </c>
      <c r="O8" s="19">
        <f t="shared" si="4"/>
        <v>0</v>
      </c>
      <c r="P8" s="20">
        <f t="shared" si="5"/>
        <v>-4.8085232844957631</v>
      </c>
      <c r="Q8" s="176">
        <f t="shared" si="6"/>
        <v>0.96313465481886584</v>
      </c>
      <c r="R8" s="637"/>
      <c r="S8" s="40"/>
      <c r="T8" s="40"/>
      <c r="U8" s="175"/>
      <c r="V8" s="181"/>
      <c r="W8" s="17"/>
      <c r="X8" s="17"/>
      <c r="Y8" s="30">
        <f>SUM(Y5:Y7)</f>
        <v>0</v>
      </c>
      <c r="Z8" s="30">
        <f>SUM(Z5:Z7)</f>
        <v>0</v>
      </c>
      <c r="AA8" s="631"/>
      <c r="AB8" s="631"/>
      <c r="AC8" s="30">
        <v>3</v>
      </c>
      <c r="AD8" s="30">
        <f>SUM(AD5:AD7)</f>
        <v>0</v>
      </c>
      <c r="AE8" s="19">
        <f t="shared" si="8"/>
        <v>-73.730690362268206</v>
      </c>
      <c r="AF8" s="176">
        <f t="shared" si="9"/>
        <v>0.96313465481886584</v>
      </c>
      <c r="AG8" s="637"/>
    </row>
    <row r="9" spans="1:33" ht="15.75" customHeight="1">
      <c r="A9" s="659" t="s">
        <v>701</v>
      </c>
      <c r="B9" s="42" t="s">
        <v>96</v>
      </c>
      <c r="C9" s="660" t="s">
        <v>97</v>
      </c>
      <c r="D9" s="661"/>
      <c r="E9" s="42">
        <v>39.799999999999997</v>
      </c>
      <c r="F9" s="182">
        <v>3500</v>
      </c>
      <c r="G9" s="175">
        <f t="shared" ref="G9:G13" si="11">E9*F9</f>
        <v>139300</v>
      </c>
      <c r="H9" s="37">
        <v>2</v>
      </c>
      <c r="I9" s="180">
        <v>17</v>
      </c>
      <c r="J9" s="39">
        <v>1500</v>
      </c>
      <c r="K9" s="17">
        <f t="shared" si="1"/>
        <v>88.235294117647058</v>
      </c>
      <c r="L9" s="180">
        <v>17</v>
      </c>
      <c r="M9" s="18">
        <f t="shared" ref="M9:M13" si="12">F9/V9*60</f>
        <v>1438.3561643835617</v>
      </c>
      <c r="N9" s="17">
        <f t="shared" si="3"/>
        <v>84.609186140209516</v>
      </c>
      <c r="O9" s="19">
        <f t="shared" si="4"/>
        <v>0</v>
      </c>
      <c r="P9" s="20">
        <f t="shared" si="5"/>
        <v>-3.6261079774375418</v>
      </c>
      <c r="Q9" s="176">
        <f t="shared" si="6"/>
        <v>0.95890410958904115</v>
      </c>
      <c r="R9" s="637">
        <f>Q14</f>
        <v>0.95545342242218445</v>
      </c>
      <c r="S9" s="40">
        <v>8.3333333333333329E-2</v>
      </c>
      <c r="T9" s="40">
        <v>0.1847222222222222</v>
      </c>
      <c r="U9" s="175"/>
      <c r="V9" s="181">
        <f t="shared" ref="V9:V13" si="13">(T9-S9)*24*60</f>
        <v>146</v>
      </c>
      <c r="W9" s="23">
        <f>T9</f>
        <v>0.1847222222222222</v>
      </c>
      <c r="X9" s="23">
        <f>S10</f>
        <v>0.20208333333333328</v>
      </c>
      <c r="Y9" s="23"/>
      <c r="Z9" s="23"/>
      <c r="AA9" s="632"/>
      <c r="AB9" s="632"/>
      <c r="AC9" s="25">
        <v>5</v>
      </c>
      <c r="AD9" s="25"/>
      <c r="AE9" s="19">
        <f t="shared" si="8"/>
        <v>-61.643835616438309</v>
      </c>
      <c r="AF9" s="176">
        <f t="shared" si="9"/>
        <v>0.95890410958904115</v>
      </c>
      <c r="AG9" s="637">
        <f>AF14</f>
        <v>0.95545342242218445</v>
      </c>
    </row>
    <row r="10" spans="1:33" ht="15.75" customHeight="1">
      <c r="A10" s="659" t="s">
        <v>701</v>
      </c>
      <c r="B10" s="42" t="s">
        <v>96</v>
      </c>
      <c r="C10" s="660" t="s">
        <v>98</v>
      </c>
      <c r="D10" s="661"/>
      <c r="E10" s="42">
        <v>39.46</v>
      </c>
      <c r="F10" s="182">
        <v>2546</v>
      </c>
      <c r="G10" s="175">
        <f t="shared" si="11"/>
        <v>100465.16</v>
      </c>
      <c r="H10" s="37" t="s">
        <v>91</v>
      </c>
      <c r="I10" s="180">
        <v>15</v>
      </c>
      <c r="J10" s="39">
        <v>1500</v>
      </c>
      <c r="K10" s="17">
        <f t="shared" si="1"/>
        <v>100</v>
      </c>
      <c r="L10" s="180">
        <v>15</v>
      </c>
      <c r="M10" s="18">
        <f t="shared" si="12"/>
        <v>1427.663551401869</v>
      </c>
      <c r="N10" s="17">
        <f t="shared" si="3"/>
        <v>95.177570093457931</v>
      </c>
      <c r="O10" s="19">
        <f t="shared" si="4"/>
        <v>0</v>
      </c>
      <c r="P10" s="20">
        <f t="shared" si="5"/>
        <v>-4.8224299065420695</v>
      </c>
      <c r="Q10" s="176">
        <f t="shared" si="6"/>
        <v>0.95177570093457931</v>
      </c>
      <c r="R10" s="637"/>
      <c r="S10" s="40">
        <v>0.20208333333333328</v>
      </c>
      <c r="T10" s="40">
        <v>0.27638888888888885</v>
      </c>
      <c r="U10" s="175">
        <f t="shared" ref="U10:U13" si="14">IF(S10=TIME(17,0,0),"",(S10-T9)*24*60)</f>
        <v>24.99999999999995</v>
      </c>
      <c r="V10" s="181">
        <f t="shared" si="13"/>
        <v>107.00000000000001</v>
      </c>
      <c r="W10" s="23"/>
      <c r="X10" s="23"/>
      <c r="Y10" s="23"/>
      <c r="Z10" s="23"/>
      <c r="AA10" s="632"/>
      <c r="AB10" s="632"/>
      <c r="AC10" s="25"/>
      <c r="AD10" s="25"/>
      <c r="AE10" s="19">
        <f t="shared" si="8"/>
        <v>-72.336448598131028</v>
      </c>
      <c r="AF10" s="176">
        <f t="shared" si="9"/>
        <v>0.95177570093457931</v>
      </c>
      <c r="AG10" s="637"/>
    </row>
    <row r="11" spans="1:33" ht="15.75" customHeight="1">
      <c r="A11" s="659" t="s">
        <v>701</v>
      </c>
      <c r="B11" s="42" t="s">
        <v>96</v>
      </c>
      <c r="C11" s="660" t="s">
        <v>99</v>
      </c>
      <c r="D11" s="661"/>
      <c r="E11" s="42">
        <v>39.520000000000003</v>
      </c>
      <c r="F11" s="182">
        <v>2300</v>
      </c>
      <c r="G11" s="175">
        <f t="shared" si="11"/>
        <v>90896</v>
      </c>
      <c r="H11" s="37" t="s">
        <v>91</v>
      </c>
      <c r="I11" s="180">
        <v>19</v>
      </c>
      <c r="J11" s="39">
        <v>1500</v>
      </c>
      <c r="K11" s="17">
        <f t="shared" si="1"/>
        <v>78.94736842105263</v>
      </c>
      <c r="L11" s="180">
        <v>19</v>
      </c>
      <c r="M11" s="18">
        <f t="shared" si="12"/>
        <v>1437.5000000000005</v>
      </c>
      <c r="N11" s="17">
        <f t="shared" si="3"/>
        <v>75.657894736842124</v>
      </c>
      <c r="O11" s="19">
        <f t="shared" si="4"/>
        <v>0</v>
      </c>
      <c r="P11" s="20">
        <f t="shared" si="5"/>
        <v>-3.2894736842105061</v>
      </c>
      <c r="Q11" s="176">
        <f t="shared" si="6"/>
        <v>0.95833333333333359</v>
      </c>
      <c r="R11" s="637"/>
      <c r="S11" s="40">
        <v>0.27986111111111106</v>
      </c>
      <c r="T11" s="40">
        <v>0.34652777777777771</v>
      </c>
      <c r="U11" s="175">
        <f t="shared" si="14"/>
        <v>4.9999999999999822</v>
      </c>
      <c r="V11" s="181">
        <f t="shared" si="13"/>
        <v>95.999999999999972</v>
      </c>
      <c r="W11" s="23"/>
      <c r="X11" s="23"/>
      <c r="Y11" s="23"/>
      <c r="Z11" s="23"/>
      <c r="AA11" s="632"/>
      <c r="AB11" s="632"/>
      <c r="AC11" s="25"/>
      <c r="AD11" s="25"/>
      <c r="AE11" s="19">
        <f t="shared" si="8"/>
        <v>-62.499999999999545</v>
      </c>
      <c r="AF11" s="176">
        <f t="shared" si="9"/>
        <v>0.95833333333333359</v>
      </c>
      <c r="AG11" s="637"/>
    </row>
    <row r="12" spans="1:33" ht="15.75" customHeight="1">
      <c r="A12" s="659" t="s">
        <v>701</v>
      </c>
      <c r="B12" s="42" t="s">
        <v>96</v>
      </c>
      <c r="C12" s="660" t="s">
        <v>100</v>
      </c>
      <c r="D12" s="661"/>
      <c r="E12" s="42">
        <v>39.619999999999997</v>
      </c>
      <c r="F12" s="182">
        <v>4341</v>
      </c>
      <c r="G12" s="175">
        <f t="shared" si="11"/>
        <v>171990.41999999998</v>
      </c>
      <c r="H12" s="37" t="s">
        <v>91</v>
      </c>
      <c r="I12" s="180">
        <v>19</v>
      </c>
      <c r="J12" s="39">
        <v>1500</v>
      </c>
      <c r="K12" s="17">
        <f t="shared" si="1"/>
        <v>78.94736842105263</v>
      </c>
      <c r="L12" s="180">
        <v>19</v>
      </c>
      <c r="M12" s="18">
        <f t="shared" si="12"/>
        <v>1431.098901098901</v>
      </c>
      <c r="N12" s="17">
        <f t="shared" si="3"/>
        <v>75.320994794678995</v>
      </c>
      <c r="O12" s="19">
        <f t="shared" si="4"/>
        <v>0</v>
      </c>
      <c r="P12" s="20">
        <f t="shared" si="5"/>
        <v>-3.6263736263736348</v>
      </c>
      <c r="Q12" s="176">
        <f t="shared" si="6"/>
        <v>0.95406593406593398</v>
      </c>
      <c r="R12" s="637"/>
      <c r="S12" s="40">
        <v>0.34999999999999992</v>
      </c>
      <c r="T12" s="40">
        <v>0.47638888888888881</v>
      </c>
      <c r="U12" s="175">
        <f t="shared" si="14"/>
        <v>4.9999999999999822</v>
      </c>
      <c r="V12" s="181">
        <f t="shared" si="13"/>
        <v>182</v>
      </c>
      <c r="W12" s="23">
        <f>T12</f>
        <v>0.47638888888888881</v>
      </c>
      <c r="X12" s="23">
        <f>S13</f>
        <v>0.51805555555555538</v>
      </c>
      <c r="Y12" s="23"/>
      <c r="Z12" s="23"/>
      <c r="AA12" s="627"/>
      <c r="AB12" s="628"/>
      <c r="AC12" s="25"/>
      <c r="AD12" s="25"/>
      <c r="AE12" s="19">
        <f t="shared" si="8"/>
        <v>-68.901098901098976</v>
      </c>
      <c r="AF12" s="176">
        <f t="shared" si="9"/>
        <v>0.95406593406593398</v>
      </c>
      <c r="AG12" s="637"/>
    </row>
    <row r="13" spans="1:33" ht="15.75" customHeight="1">
      <c r="A13" s="659" t="s">
        <v>701</v>
      </c>
      <c r="B13" s="42" t="s">
        <v>96</v>
      </c>
      <c r="C13" s="660" t="s">
        <v>97</v>
      </c>
      <c r="D13" s="661"/>
      <c r="E13" s="42">
        <v>39.799999999999997</v>
      </c>
      <c r="F13" s="182">
        <v>2791</v>
      </c>
      <c r="G13" s="175">
        <f t="shared" si="11"/>
        <v>111081.79999999999</v>
      </c>
      <c r="H13" s="37" t="s">
        <v>91</v>
      </c>
      <c r="I13" s="180">
        <v>17</v>
      </c>
      <c r="J13" s="39">
        <v>1500</v>
      </c>
      <c r="K13" s="17">
        <f t="shared" si="1"/>
        <v>88.235294117647058</v>
      </c>
      <c r="L13" s="180">
        <v>17</v>
      </c>
      <c r="M13" s="18">
        <f t="shared" si="12"/>
        <v>1431.2820512820506</v>
      </c>
      <c r="N13" s="17">
        <f t="shared" si="3"/>
        <v>84.19306184012062</v>
      </c>
      <c r="O13" s="19">
        <f t="shared" si="4"/>
        <v>0</v>
      </c>
      <c r="P13" s="20">
        <f t="shared" si="5"/>
        <v>-4.0422322775264377</v>
      </c>
      <c r="Q13" s="176">
        <f t="shared" si="6"/>
        <v>0.95418803418803366</v>
      </c>
      <c r="R13" s="637"/>
      <c r="S13" s="40">
        <v>0.51805555555555538</v>
      </c>
      <c r="T13" s="40">
        <v>0.59930555555555542</v>
      </c>
      <c r="U13" s="175">
        <f t="shared" si="14"/>
        <v>59.999999999999865</v>
      </c>
      <c r="V13" s="181">
        <f t="shared" si="13"/>
        <v>117.00000000000006</v>
      </c>
      <c r="W13" s="23"/>
      <c r="X13" s="23"/>
      <c r="Y13" s="26"/>
      <c r="Z13" s="26"/>
      <c r="AA13" s="627"/>
      <c r="AB13" s="628"/>
      <c r="AC13" s="25"/>
      <c r="AD13" s="25"/>
      <c r="AE13" s="19">
        <f t="shared" si="8"/>
        <v>-68.717948717949412</v>
      </c>
      <c r="AF13" s="176">
        <f t="shared" si="9"/>
        <v>0.95418803418803377</v>
      </c>
      <c r="AG13" s="637"/>
    </row>
    <row r="14" spans="1:33" ht="16.5" customHeight="1">
      <c r="A14" s="659" t="s">
        <v>702</v>
      </c>
      <c r="B14" s="42" t="s">
        <v>703</v>
      </c>
      <c r="C14" s="638"/>
      <c r="D14" s="638"/>
      <c r="E14" s="177"/>
      <c r="F14" s="39"/>
      <c r="G14" s="18"/>
      <c r="H14" s="182"/>
      <c r="I14" s="29">
        <v>17.399999999999999</v>
      </c>
      <c r="J14" s="39">
        <v>1500</v>
      </c>
      <c r="K14" s="17">
        <f t="shared" si="1"/>
        <v>86.206896551724142</v>
      </c>
      <c r="L14" s="29">
        <v>17.399999999999999</v>
      </c>
      <c r="M14" s="18">
        <f>AVERAGE(M9:M13)</f>
        <v>1433.1801336332767</v>
      </c>
      <c r="N14" s="17">
        <f t="shared" si="3"/>
        <v>82.366674346740041</v>
      </c>
      <c r="O14" s="19">
        <f t="shared" si="4"/>
        <v>0</v>
      </c>
      <c r="P14" s="20">
        <f t="shared" si="5"/>
        <v>-3.8402222049841015</v>
      </c>
      <c r="Q14" s="176">
        <f t="shared" si="6"/>
        <v>0.95545342242218445</v>
      </c>
      <c r="R14" s="637"/>
      <c r="S14" s="40"/>
      <c r="T14" s="40"/>
      <c r="U14" s="17"/>
      <c r="V14" s="181"/>
      <c r="W14" s="17"/>
      <c r="X14" s="17"/>
      <c r="Y14" s="30">
        <f>SUM(Y9:Y13)</f>
        <v>0</v>
      </c>
      <c r="Z14" s="30">
        <f>SUM(Z9:Z13)</f>
        <v>0</v>
      </c>
      <c r="AA14" s="631"/>
      <c r="AB14" s="631"/>
      <c r="AC14" s="30">
        <v>5</v>
      </c>
      <c r="AD14" s="30">
        <f>SUM(AD9:AD13)</f>
        <v>0</v>
      </c>
      <c r="AE14" s="19">
        <f t="shared" si="8"/>
        <v>-66.819866366723318</v>
      </c>
      <c r="AF14" s="176">
        <f t="shared" si="9"/>
        <v>0.95545342242218445</v>
      </c>
      <c r="AG14" s="637"/>
    </row>
    <row r="15" spans="1:33" ht="16.5" customHeight="1">
      <c r="A15" s="657" t="s">
        <v>704</v>
      </c>
      <c r="B15" s="182" t="s">
        <v>101</v>
      </c>
      <c r="C15" s="653" t="s">
        <v>102</v>
      </c>
      <c r="D15" s="653"/>
      <c r="E15" s="42">
        <v>31.11</v>
      </c>
      <c r="F15" s="182">
        <v>4415</v>
      </c>
      <c r="G15" s="175">
        <f t="shared" ref="G15:G22" si="15">E15*F15</f>
        <v>137350.65</v>
      </c>
      <c r="H15" s="37" t="s">
        <v>91</v>
      </c>
      <c r="I15" s="180">
        <v>14</v>
      </c>
      <c r="J15" s="39">
        <v>2000</v>
      </c>
      <c r="K15" s="17">
        <f t="shared" si="1"/>
        <v>142.85714285714286</v>
      </c>
      <c r="L15" s="180">
        <v>14</v>
      </c>
      <c r="M15" s="18">
        <f t="shared" ref="M15:M22" si="16">F15/V15*60</f>
        <v>1905.7553956834529</v>
      </c>
      <c r="N15" s="17">
        <f t="shared" si="3"/>
        <v>136.12538540596091</v>
      </c>
      <c r="O15" s="19">
        <f t="shared" si="4"/>
        <v>0</v>
      </c>
      <c r="P15" s="20">
        <f t="shared" si="5"/>
        <v>-6.7317574511819487</v>
      </c>
      <c r="Q15" s="176">
        <f t="shared" si="6"/>
        <v>0.95287769784172638</v>
      </c>
      <c r="R15" s="637">
        <f>Q23</f>
        <v>0.96230189101329033</v>
      </c>
      <c r="S15" s="40">
        <v>0.20833333333333334</v>
      </c>
      <c r="T15" s="40">
        <v>0.30486111111111114</v>
      </c>
      <c r="U15" s="175"/>
      <c r="V15" s="181">
        <f t="shared" ref="V15:V22" si="17">(T15-S15)*24*60</f>
        <v>139.00000000000003</v>
      </c>
      <c r="W15" s="23"/>
      <c r="X15" s="23"/>
      <c r="Y15" s="28"/>
      <c r="Z15" s="28"/>
      <c r="AA15" s="632"/>
      <c r="AB15" s="632"/>
      <c r="AC15" s="25">
        <v>8</v>
      </c>
      <c r="AD15" s="25"/>
      <c r="AE15" s="19">
        <f t="shared" si="8"/>
        <v>-94.244604316547111</v>
      </c>
      <c r="AF15" s="176">
        <f t="shared" si="9"/>
        <v>0.95287769784172649</v>
      </c>
      <c r="AG15" s="637">
        <f>AF23</f>
        <v>0.96230189101329022</v>
      </c>
    </row>
    <row r="16" spans="1:33" ht="16.5" customHeight="1">
      <c r="A16" s="658" t="s">
        <v>705</v>
      </c>
      <c r="B16" s="182" t="s">
        <v>103</v>
      </c>
      <c r="C16" s="653" t="s">
        <v>104</v>
      </c>
      <c r="D16" s="653"/>
      <c r="E16" s="42">
        <v>38.619999999999997</v>
      </c>
      <c r="F16" s="182">
        <v>2179</v>
      </c>
      <c r="G16" s="175">
        <f t="shared" si="15"/>
        <v>84152.98</v>
      </c>
      <c r="H16" s="37" t="s">
        <v>91</v>
      </c>
      <c r="I16" s="180">
        <v>24</v>
      </c>
      <c r="J16" s="39">
        <v>1500</v>
      </c>
      <c r="K16" s="17">
        <f t="shared" si="1"/>
        <v>62.5</v>
      </c>
      <c r="L16" s="180">
        <v>24</v>
      </c>
      <c r="M16" s="18">
        <f t="shared" si="16"/>
        <v>1436.7032967032967</v>
      </c>
      <c r="N16" s="17">
        <f t="shared" si="3"/>
        <v>59.862637362637365</v>
      </c>
      <c r="O16" s="19">
        <f t="shared" si="4"/>
        <v>0</v>
      </c>
      <c r="P16" s="20">
        <f t="shared" si="5"/>
        <v>-2.6373626373626351</v>
      </c>
      <c r="Q16" s="176">
        <f t="shared" si="6"/>
        <v>0.95780219780219789</v>
      </c>
      <c r="R16" s="637"/>
      <c r="S16" s="40">
        <v>0.30902777777777779</v>
      </c>
      <c r="T16" s="40">
        <v>0.37222222222222223</v>
      </c>
      <c r="U16" s="175">
        <f t="shared" ref="U16:U22" si="18">IF(S16=TIME(17,0,0),"",(S16-T15)*24*60)</f>
        <v>5.9999999999999787</v>
      </c>
      <c r="V16" s="181">
        <f t="shared" si="17"/>
        <v>91</v>
      </c>
      <c r="W16" s="23"/>
      <c r="X16" s="23"/>
      <c r="Y16" s="23"/>
      <c r="Z16" s="23"/>
      <c r="AA16" s="632"/>
      <c r="AB16" s="632"/>
      <c r="AC16" s="25"/>
      <c r="AD16" s="25"/>
      <c r="AE16" s="19">
        <f t="shared" si="8"/>
        <v>-63.296703296703299</v>
      </c>
      <c r="AF16" s="176">
        <f t="shared" si="9"/>
        <v>0.95780219780219777</v>
      </c>
      <c r="AG16" s="637"/>
    </row>
    <row r="17" spans="1:33" ht="16.5" customHeight="1">
      <c r="A17" s="658" t="s">
        <v>704</v>
      </c>
      <c r="B17" s="182" t="s">
        <v>103</v>
      </c>
      <c r="C17" s="653" t="s">
        <v>105</v>
      </c>
      <c r="D17" s="653"/>
      <c r="E17" s="42">
        <v>41</v>
      </c>
      <c r="F17" s="182">
        <v>1804</v>
      </c>
      <c r="G17" s="175">
        <f t="shared" si="15"/>
        <v>73964</v>
      </c>
      <c r="H17" s="37" t="s">
        <v>91</v>
      </c>
      <c r="I17" s="180">
        <v>26</v>
      </c>
      <c r="J17" s="39">
        <v>1500</v>
      </c>
      <c r="K17" s="17">
        <f t="shared" si="1"/>
        <v>57.692307692307693</v>
      </c>
      <c r="L17" s="180">
        <v>26</v>
      </c>
      <c r="M17" s="18">
        <f t="shared" si="16"/>
        <v>1443.2000000000005</v>
      </c>
      <c r="N17" s="17">
        <f t="shared" si="3"/>
        <v>55.507692307692324</v>
      </c>
      <c r="O17" s="19">
        <f t="shared" si="4"/>
        <v>0</v>
      </c>
      <c r="P17" s="20">
        <f t="shared" si="5"/>
        <v>-2.1846153846153697</v>
      </c>
      <c r="Q17" s="176">
        <f t="shared" si="6"/>
        <v>0.96213333333333362</v>
      </c>
      <c r="R17" s="637"/>
      <c r="S17" s="40">
        <v>0.37847222222222221</v>
      </c>
      <c r="T17" s="40">
        <v>0.43055555555555552</v>
      </c>
      <c r="U17" s="175">
        <f t="shared" si="18"/>
        <v>8.999999999999968</v>
      </c>
      <c r="V17" s="181">
        <f t="shared" si="17"/>
        <v>74.999999999999972</v>
      </c>
      <c r="W17" s="23"/>
      <c r="X17" s="23"/>
      <c r="Y17" s="23"/>
      <c r="Z17" s="23"/>
      <c r="AA17" s="632"/>
      <c r="AB17" s="632"/>
      <c r="AC17" s="25"/>
      <c r="AD17" s="25"/>
      <c r="AE17" s="19">
        <f t="shared" si="8"/>
        <v>-56.7999999999995</v>
      </c>
      <c r="AF17" s="176">
        <f t="shared" si="9"/>
        <v>0.96213333333333362</v>
      </c>
      <c r="AG17" s="637"/>
    </row>
    <row r="18" spans="1:33" ht="16.5" customHeight="1">
      <c r="A18" s="658" t="s">
        <v>705</v>
      </c>
      <c r="B18" s="182" t="s">
        <v>92</v>
      </c>
      <c r="C18" s="653" t="s">
        <v>106</v>
      </c>
      <c r="D18" s="653"/>
      <c r="E18" s="42">
        <v>37.03</v>
      </c>
      <c r="F18" s="182">
        <v>3365</v>
      </c>
      <c r="G18" s="175">
        <f t="shared" si="15"/>
        <v>124605.95</v>
      </c>
      <c r="H18" s="37" t="s">
        <v>91</v>
      </c>
      <c r="I18" s="180">
        <v>13</v>
      </c>
      <c r="J18" s="39">
        <v>1500</v>
      </c>
      <c r="K18" s="17">
        <f t="shared" si="1"/>
        <v>115.38461538461539</v>
      </c>
      <c r="L18" s="180">
        <v>13</v>
      </c>
      <c r="M18" s="18">
        <f t="shared" si="16"/>
        <v>1431.9148936170207</v>
      </c>
      <c r="N18" s="17">
        <f t="shared" si="3"/>
        <v>110.14729950900158</v>
      </c>
      <c r="O18" s="19">
        <f t="shared" si="4"/>
        <v>0</v>
      </c>
      <c r="P18" s="20">
        <f t="shared" si="5"/>
        <v>-5.2373158756138025</v>
      </c>
      <c r="Q18" s="176">
        <f t="shared" si="6"/>
        <v>0.95460992907801367</v>
      </c>
      <c r="R18" s="637"/>
      <c r="S18" s="40">
        <v>0.43541666666666662</v>
      </c>
      <c r="T18" s="40">
        <v>0.53333333333333333</v>
      </c>
      <c r="U18" s="175">
        <f t="shared" si="18"/>
        <v>6.9999999999999751</v>
      </c>
      <c r="V18" s="181">
        <f t="shared" si="17"/>
        <v>141.00000000000006</v>
      </c>
      <c r="W18" s="23"/>
      <c r="X18" s="23"/>
      <c r="Y18" s="23"/>
      <c r="Z18" s="23"/>
      <c r="AA18" s="632"/>
      <c r="AB18" s="632"/>
      <c r="AC18" s="25"/>
      <c r="AD18" s="25"/>
      <c r="AE18" s="19">
        <f t="shared" si="8"/>
        <v>-68.085106382979347</v>
      </c>
      <c r="AF18" s="176">
        <f t="shared" si="9"/>
        <v>0.95460992907801379</v>
      </c>
      <c r="AG18" s="637"/>
    </row>
    <row r="19" spans="1:33" ht="16.5" customHeight="1">
      <c r="A19" s="658" t="s">
        <v>705</v>
      </c>
      <c r="B19" s="182" t="s">
        <v>92</v>
      </c>
      <c r="C19" s="653" t="s">
        <v>108</v>
      </c>
      <c r="D19" s="653"/>
      <c r="E19" s="42">
        <v>54.5</v>
      </c>
      <c r="F19" s="182">
        <v>1299</v>
      </c>
      <c r="G19" s="175">
        <f t="shared" si="15"/>
        <v>70795.5</v>
      </c>
      <c r="H19" s="37" t="s">
        <v>91</v>
      </c>
      <c r="I19" s="180">
        <v>20</v>
      </c>
      <c r="J19" s="39">
        <v>1500</v>
      </c>
      <c r="K19" s="17">
        <f t="shared" si="1"/>
        <v>75</v>
      </c>
      <c r="L19" s="180">
        <v>20</v>
      </c>
      <c r="M19" s="18">
        <f t="shared" si="16"/>
        <v>1443.3333333333342</v>
      </c>
      <c r="N19" s="17">
        <f t="shared" si="3"/>
        <v>72.166666666666714</v>
      </c>
      <c r="O19" s="19">
        <f t="shared" si="4"/>
        <v>0</v>
      </c>
      <c r="P19" s="20">
        <f t="shared" si="5"/>
        <v>-2.833333333333286</v>
      </c>
      <c r="Q19" s="176">
        <f t="shared" si="6"/>
        <v>0.96222222222222287</v>
      </c>
      <c r="R19" s="637"/>
      <c r="S19" s="40">
        <v>0.70833333333333337</v>
      </c>
      <c r="T19" s="40">
        <v>0.74583333333333335</v>
      </c>
      <c r="U19" s="175" t="str">
        <f t="shared" si="18"/>
        <v/>
      </c>
      <c r="V19" s="181">
        <f t="shared" si="17"/>
        <v>53.999999999999972</v>
      </c>
      <c r="W19" s="23"/>
      <c r="X19" s="23"/>
      <c r="Y19" s="23"/>
      <c r="Z19" s="23"/>
      <c r="AA19" s="632"/>
      <c r="AB19" s="632"/>
      <c r="AC19" s="25"/>
      <c r="AD19" s="25"/>
      <c r="AE19" s="19">
        <f t="shared" si="8"/>
        <v>-56.666666666665833</v>
      </c>
      <c r="AF19" s="176">
        <f t="shared" si="9"/>
        <v>0.96222222222222276</v>
      </c>
      <c r="AG19" s="637"/>
    </row>
    <row r="20" spans="1:33" ht="16.5" customHeight="1">
      <c r="A20" s="658" t="s">
        <v>704</v>
      </c>
      <c r="B20" s="182" t="s">
        <v>92</v>
      </c>
      <c r="C20" s="178" t="s">
        <v>107</v>
      </c>
      <c r="D20" s="179"/>
      <c r="E20" s="42">
        <v>50.67</v>
      </c>
      <c r="F20" s="182">
        <v>1183</v>
      </c>
      <c r="G20" s="175">
        <f t="shared" si="15"/>
        <v>59942.61</v>
      </c>
      <c r="H20" s="37" t="s">
        <v>91</v>
      </c>
      <c r="I20" s="180">
        <v>17</v>
      </c>
      <c r="J20" s="39">
        <v>2000</v>
      </c>
      <c r="K20" s="17">
        <f t="shared" si="1"/>
        <v>117.64705882352941</v>
      </c>
      <c r="L20" s="180">
        <v>17</v>
      </c>
      <c r="M20" s="18">
        <f t="shared" si="16"/>
        <v>1918.3783783783767</v>
      </c>
      <c r="N20" s="17">
        <f t="shared" si="3"/>
        <v>112.84578696343392</v>
      </c>
      <c r="O20" s="19">
        <f t="shared" si="4"/>
        <v>0</v>
      </c>
      <c r="P20" s="20">
        <f t="shared" si="5"/>
        <v>-4.8012718600954827</v>
      </c>
      <c r="Q20" s="176">
        <f t="shared" si="6"/>
        <v>0.95918918918918838</v>
      </c>
      <c r="R20" s="637"/>
      <c r="S20" s="40">
        <v>0.75</v>
      </c>
      <c r="T20" s="40">
        <v>0.77569444444444446</v>
      </c>
      <c r="U20" s="175">
        <f t="shared" si="18"/>
        <v>5.9999999999999787</v>
      </c>
      <c r="V20" s="181">
        <f t="shared" si="17"/>
        <v>37.000000000000028</v>
      </c>
      <c r="W20" s="23"/>
      <c r="X20" s="23"/>
      <c r="Y20" s="26"/>
      <c r="Z20" s="26"/>
      <c r="AA20" s="171"/>
      <c r="AB20" s="172"/>
      <c r="AC20" s="25"/>
      <c r="AD20" s="25"/>
      <c r="AE20" s="19">
        <f t="shared" si="8"/>
        <v>-81.621621621623262</v>
      </c>
      <c r="AF20" s="176">
        <f t="shared" si="9"/>
        <v>0.95918918918918838</v>
      </c>
      <c r="AG20" s="637"/>
    </row>
    <row r="21" spans="1:33" ht="16.5" customHeight="1">
      <c r="A21" s="658" t="s">
        <v>704</v>
      </c>
      <c r="B21" s="182" t="s">
        <v>92</v>
      </c>
      <c r="C21" s="178" t="s">
        <v>95</v>
      </c>
      <c r="D21" s="179"/>
      <c r="E21" s="42">
        <v>50.67</v>
      </c>
      <c r="F21" s="182">
        <v>1108</v>
      </c>
      <c r="G21" s="175">
        <f t="shared" si="15"/>
        <v>56142.36</v>
      </c>
      <c r="H21" s="37" t="s">
        <v>91</v>
      </c>
      <c r="I21" s="180">
        <v>15</v>
      </c>
      <c r="J21" s="39">
        <v>2000</v>
      </c>
      <c r="K21" s="17">
        <f t="shared" si="1"/>
        <v>133.33333333333334</v>
      </c>
      <c r="L21" s="180">
        <v>15</v>
      </c>
      <c r="M21" s="18">
        <f t="shared" si="16"/>
        <v>1955.2941176470565</v>
      </c>
      <c r="N21" s="17">
        <f t="shared" si="3"/>
        <v>130.35294117647044</v>
      </c>
      <c r="O21" s="19">
        <f t="shared" si="4"/>
        <v>0</v>
      </c>
      <c r="P21" s="20">
        <f t="shared" si="5"/>
        <v>-2.980392156862905</v>
      </c>
      <c r="Q21" s="176">
        <f t="shared" si="6"/>
        <v>0.9776470588235282</v>
      </c>
      <c r="R21" s="637"/>
      <c r="S21" s="40">
        <v>0.78125</v>
      </c>
      <c r="T21" s="40">
        <v>0.80486111111111114</v>
      </c>
      <c r="U21" s="175">
        <f t="shared" si="18"/>
        <v>7.9999999999999716</v>
      </c>
      <c r="V21" s="181">
        <f t="shared" si="17"/>
        <v>34.000000000000043</v>
      </c>
      <c r="W21" s="23"/>
      <c r="X21" s="23"/>
      <c r="Y21" s="26"/>
      <c r="Z21" s="26"/>
      <c r="AA21" s="171"/>
      <c r="AB21" s="172"/>
      <c r="AC21" s="25"/>
      <c r="AD21" s="25"/>
      <c r="AE21" s="19">
        <f t="shared" si="8"/>
        <v>-44.70588235294349</v>
      </c>
      <c r="AF21" s="176">
        <f t="shared" si="9"/>
        <v>0.9776470588235282</v>
      </c>
      <c r="AG21" s="637"/>
    </row>
    <row r="22" spans="1:33" ht="16.5" customHeight="1">
      <c r="A22" s="658" t="s">
        <v>704</v>
      </c>
      <c r="B22" s="182" t="s">
        <v>92</v>
      </c>
      <c r="C22" s="178" t="s">
        <v>113</v>
      </c>
      <c r="D22" s="179"/>
      <c r="E22" s="42">
        <v>56.43</v>
      </c>
      <c r="F22" s="182">
        <v>1098</v>
      </c>
      <c r="G22" s="175">
        <f t="shared" si="15"/>
        <v>61960.14</v>
      </c>
      <c r="H22" s="37" t="s">
        <v>91</v>
      </c>
      <c r="I22" s="180">
        <v>13</v>
      </c>
      <c r="J22" s="39">
        <v>2000</v>
      </c>
      <c r="K22" s="17">
        <f t="shared" si="1"/>
        <v>153.84615384615384</v>
      </c>
      <c r="L22" s="180">
        <v>13</v>
      </c>
      <c r="M22" s="18">
        <f t="shared" si="16"/>
        <v>1937.647058823527</v>
      </c>
      <c r="N22" s="17">
        <f t="shared" si="3"/>
        <v>149.04977375565593</v>
      </c>
      <c r="O22" s="19">
        <f t="shared" si="4"/>
        <v>0</v>
      </c>
      <c r="P22" s="20">
        <f t="shared" si="5"/>
        <v>-4.7963800904979053</v>
      </c>
      <c r="Q22" s="176">
        <f t="shared" si="6"/>
        <v>0.96882352941176364</v>
      </c>
      <c r="R22" s="637"/>
      <c r="S22" s="40">
        <v>0.80833333333333335</v>
      </c>
      <c r="T22" s="40">
        <v>0.83194444444444449</v>
      </c>
      <c r="U22" s="175">
        <f t="shared" si="18"/>
        <v>4.9999999999999822</v>
      </c>
      <c r="V22" s="181">
        <f t="shared" si="17"/>
        <v>34.000000000000043</v>
      </c>
      <c r="W22" s="23"/>
      <c r="X22" s="23"/>
      <c r="Y22" s="26"/>
      <c r="Z22" s="26"/>
      <c r="AA22" s="171"/>
      <c r="AB22" s="172"/>
      <c r="AC22" s="25"/>
      <c r="AD22" s="25"/>
      <c r="AE22" s="19">
        <f t="shared" si="8"/>
        <v>-62.352941176472996</v>
      </c>
      <c r="AF22" s="176">
        <f t="shared" si="9"/>
        <v>0.96882352941176353</v>
      </c>
      <c r="AG22" s="637"/>
    </row>
    <row r="23" spans="1:33" ht="16.5" customHeight="1">
      <c r="A23" s="658" t="s">
        <v>705</v>
      </c>
      <c r="B23" s="42" t="s">
        <v>52</v>
      </c>
      <c r="C23" s="638"/>
      <c r="D23" s="638"/>
      <c r="E23" s="177"/>
      <c r="F23" s="44"/>
      <c r="G23" s="17"/>
      <c r="H23" s="182"/>
      <c r="I23" s="29">
        <v>17.75</v>
      </c>
      <c r="J23" s="39">
        <v>1750</v>
      </c>
      <c r="K23" s="17">
        <f t="shared" si="1"/>
        <v>98.591549295774641</v>
      </c>
      <c r="L23" s="29">
        <v>17.75</v>
      </c>
      <c r="M23" s="18">
        <f>AVERAGE(M15:M22)</f>
        <v>1684.0283092732579</v>
      </c>
      <c r="N23" s="17">
        <f t="shared" si="3"/>
        <v>94.874834325253971</v>
      </c>
      <c r="O23" s="19">
        <f t="shared" si="4"/>
        <v>0</v>
      </c>
      <c r="P23" s="20">
        <f t="shared" si="5"/>
        <v>-3.7167149705206697</v>
      </c>
      <c r="Q23" s="176">
        <f t="shared" si="6"/>
        <v>0.96230189101329033</v>
      </c>
      <c r="R23" s="637"/>
      <c r="S23" s="40"/>
      <c r="T23" s="40"/>
      <c r="U23" s="175"/>
      <c r="V23" s="181"/>
      <c r="W23" s="17"/>
      <c r="X23" s="17"/>
      <c r="Y23" s="30">
        <f>SUM(Y15:Y22)</f>
        <v>0</v>
      </c>
      <c r="Z23" s="30">
        <f>SUM(Z15:Z22)</f>
        <v>0</v>
      </c>
      <c r="AA23" s="631"/>
      <c r="AB23" s="631"/>
      <c r="AC23" s="30">
        <v>8</v>
      </c>
      <c r="AD23" s="30">
        <f>SUM(AD15:AD22)</f>
        <v>0</v>
      </c>
      <c r="AE23" s="19">
        <f t="shared" si="8"/>
        <v>-65.971690726742054</v>
      </c>
      <c r="AF23" s="176">
        <f t="shared" si="9"/>
        <v>0.96230189101329022</v>
      </c>
      <c r="AG23" s="637"/>
    </row>
    <row r="24" spans="1:33" ht="15.75" customHeight="1">
      <c r="A24" s="655" t="s">
        <v>706</v>
      </c>
      <c r="B24" s="42" t="s">
        <v>92</v>
      </c>
      <c r="C24" s="653" t="s">
        <v>110</v>
      </c>
      <c r="D24" s="653"/>
      <c r="E24" s="42">
        <v>50.67</v>
      </c>
      <c r="F24" s="182">
        <v>1683</v>
      </c>
      <c r="G24" s="175">
        <f t="shared" ref="G24:G29" si="19">E24*F24</f>
        <v>85277.61</v>
      </c>
      <c r="H24" s="37" t="s">
        <v>91</v>
      </c>
      <c r="I24" s="180">
        <v>17</v>
      </c>
      <c r="J24" s="39">
        <v>2000</v>
      </c>
      <c r="K24" s="17">
        <f t="shared" si="1"/>
        <v>117.64705882352941</v>
      </c>
      <c r="L24" s="180">
        <v>17</v>
      </c>
      <c r="M24" s="18">
        <f t="shared" ref="M24:M29" si="20">F24/V24*60</f>
        <v>1905.2830188679241</v>
      </c>
      <c r="N24" s="17">
        <f t="shared" si="3"/>
        <v>112.07547169811318</v>
      </c>
      <c r="O24" s="19">
        <f t="shared" si="4"/>
        <v>0</v>
      </c>
      <c r="P24" s="20">
        <f t="shared" si="5"/>
        <v>-5.5715871254162295</v>
      </c>
      <c r="Q24" s="176">
        <f t="shared" si="6"/>
        <v>0.95264150943396209</v>
      </c>
      <c r="R24" s="637">
        <f>Q30</f>
        <v>0.95931720536788545</v>
      </c>
      <c r="S24" s="40">
        <v>0.20833333333333334</v>
      </c>
      <c r="T24" s="40">
        <v>0.24513888888888891</v>
      </c>
      <c r="U24" s="175"/>
      <c r="V24" s="181">
        <f t="shared" ref="V24:V29" si="21">(T24-S24)*24*60</f>
        <v>53.000000000000014</v>
      </c>
      <c r="W24" s="23"/>
      <c r="X24" s="23"/>
      <c r="Y24" s="28"/>
      <c r="Z24" s="28"/>
      <c r="AA24" s="632"/>
      <c r="AB24" s="632"/>
      <c r="AC24" s="25">
        <v>6</v>
      </c>
      <c r="AD24" s="25"/>
      <c r="AE24" s="19">
        <f t="shared" si="8"/>
        <v>-94.716981132075944</v>
      </c>
      <c r="AF24" s="176">
        <f t="shared" si="9"/>
        <v>0.95264150943396197</v>
      </c>
      <c r="AG24" s="637">
        <f>AF30</f>
        <v>0.95931720536788545</v>
      </c>
    </row>
    <row r="25" spans="1:33" ht="15.75" customHeight="1">
      <c r="A25" s="656" t="s">
        <v>706</v>
      </c>
      <c r="B25" s="42" t="s">
        <v>92</v>
      </c>
      <c r="C25" s="653" t="s">
        <v>111</v>
      </c>
      <c r="D25" s="653"/>
      <c r="E25" s="42">
        <v>57.73</v>
      </c>
      <c r="F25" s="182">
        <v>2109</v>
      </c>
      <c r="G25" s="175">
        <f t="shared" si="19"/>
        <v>121752.56999999999</v>
      </c>
      <c r="H25" s="37" t="s">
        <v>91</v>
      </c>
      <c r="I25" s="180">
        <v>14</v>
      </c>
      <c r="J25" s="39">
        <v>2000</v>
      </c>
      <c r="K25" s="17">
        <f t="shared" si="1"/>
        <v>142.85714285714286</v>
      </c>
      <c r="L25" s="180">
        <v>14</v>
      </c>
      <c r="M25" s="18">
        <f t="shared" si="20"/>
        <v>1917.2727272727261</v>
      </c>
      <c r="N25" s="17">
        <f t="shared" si="3"/>
        <v>136.94805194805187</v>
      </c>
      <c r="O25" s="19">
        <f t="shared" si="4"/>
        <v>0</v>
      </c>
      <c r="P25" s="20">
        <f t="shared" si="5"/>
        <v>-5.9090909090909918</v>
      </c>
      <c r="Q25" s="176">
        <f t="shared" si="6"/>
        <v>0.95863636363636306</v>
      </c>
      <c r="R25" s="637"/>
      <c r="S25" s="40">
        <v>0.24930555555555559</v>
      </c>
      <c r="T25" s="40">
        <v>0.29513888888888895</v>
      </c>
      <c r="U25" s="175">
        <f t="shared" ref="U25:U29" si="22">IF(S25=TIME(17,0,0),"",(S25-T24)*24*60)</f>
        <v>6.0000000000000187</v>
      </c>
      <c r="V25" s="181">
        <f t="shared" si="21"/>
        <v>66.000000000000043</v>
      </c>
      <c r="W25" s="23"/>
      <c r="X25" s="175"/>
      <c r="Y25" s="175"/>
      <c r="Z25" s="175"/>
      <c r="AA25" s="632"/>
      <c r="AB25" s="632"/>
      <c r="AC25" s="25"/>
      <c r="AD25" s="25"/>
      <c r="AE25" s="19">
        <f t="shared" si="8"/>
        <v>-82.727272727273885</v>
      </c>
      <c r="AF25" s="176">
        <f t="shared" si="9"/>
        <v>0.95863636363636306</v>
      </c>
      <c r="AG25" s="637"/>
    </row>
    <row r="26" spans="1:33" ht="15.75" customHeight="1">
      <c r="A26" s="656" t="s">
        <v>706</v>
      </c>
      <c r="B26" s="42" t="s">
        <v>92</v>
      </c>
      <c r="C26" s="653" t="s">
        <v>112</v>
      </c>
      <c r="D26" s="653"/>
      <c r="E26" s="42">
        <v>53.27</v>
      </c>
      <c r="F26" s="182">
        <v>1367</v>
      </c>
      <c r="G26" s="175">
        <f t="shared" si="19"/>
        <v>72820.090000000011</v>
      </c>
      <c r="H26" s="37" t="s">
        <v>91</v>
      </c>
      <c r="I26" s="180">
        <v>16</v>
      </c>
      <c r="J26" s="39">
        <v>2000</v>
      </c>
      <c r="K26" s="17">
        <f t="shared" si="1"/>
        <v>125</v>
      </c>
      <c r="L26" s="180">
        <v>16</v>
      </c>
      <c r="M26" s="18">
        <f t="shared" si="20"/>
        <v>1907.441860465116</v>
      </c>
      <c r="N26" s="17">
        <f t="shared" si="3"/>
        <v>119.21511627906975</v>
      </c>
      <c r="O26" s="19">
        <f t="shared" si="4"/>
        <v>0</v>
      </c>
      <c r="P26" s="20">
        <f t="shared" si="5"/>
        <v>-5.784883720930253</v>
      </c>
      <c r="Q26" s="176">
        <f t="shared" si="6"/>
        <v>0.953720930232558</v>
      </c>
      <c r="R26" s="637"/>
      <c r="S26" s="40">
        <v>0.30069444444444449</v>
      </c>
      <c r="T26" s="40">
        <v>0.3305555555555556</v>
      </c>
      <c r="U26" s="175">
        <f t="shared" si="22"/>
        <v>7.9999999999999716</v>
      </c>
      <c r="V26" s="181">
        <f t="shared" si="21"/>
        <v>43.000000000000007</v>
      </c>
      <c r="W26" s="23"/>
      <c r="X26" s="175"/>
      <c r="Y26" s="175"/>
      <c r="Z26" s="175"/>
      <c r="AA26" s="632"/>
      <c r="AB26" s="632"/>
      <c r="AC26" s="25"/>
      <c r="AD26" s="25"/>
      <c r="AE26" s="19">
        <f t="shared" si="8"/>
        <v>-92.558139534884049</v>
      </c>
      <c r="AF26" s="176">
        <f t="shared" si="9"/>
        <v>0.953720930232558</v>
      </c>
      <c r="AG26" s="637"/>
    </row>
    <row r="27" spans="1:33" ht="15.75" customHeight="1">
      <c r="A27" s="656" t="s">
        <v>706</v>
      </c>
      <c r="B27" s="42" t="s">
        <v>92</v>
      </c>
      <c r="C27" s="653" t="s">
        <v>114</v>
      </c>
      <c r="D27" s="653"/>
      <c r="E27" s="42">
        <v>54.09</v>
      </c>
      <c r="F27" s="182">
        <v>1761</v>
      </c>
      <c r="G27" s="175">
        <f t="shared" si="19"/>
        <v>95252.49</v>
      </c>
      <c r="H27" s="37" t="s">
        <v>91</v>
      </c>
      <c r="I27" s="180">
        <v>18</v>
      </c>
      <c r="J27" s="39">
        <v>2000</v>
      </c>
      <c r="K27" s="17">
        <f t="shared" si="1"/>
        <v>111.11111111111111</v>
      </c>
      <c r="L27" s="180">
        <v>18</v>
      </c>
      <c r="M27" s="18">
        <f t="shared" si="20"/>
        <v>1921.0909090909101</v>
      </c>
      <c r="N27" s="17">
        <f t="shared" si="3"/>
        <v>106.72727272727279</v>
      </c>
      <c r="O27" s="19">
        <f t="shared" si="4"/>
        <v>0</v>
      </c>
      <c r="P27" s="20">
        <f t="shared" si="5"/>
        <v>-4.3838383838383237</v>
      </c>
      <c r="Q27" s="176">
        <f t="shared" si="6"/>
        <v>0.96054545454545504</v>
      </c>
      <c r="R27" s="637"/>
      <c r="S27" s="40">
        <v>0.70833333333333337</v>
      </c>
      <c r="T27" s="40">
        <v>0.74652777777777779</v>
      </c>
      <c r="U27" s="175" t="str">
        <f t="shared" si="22"/>
        <v/>
      </c>
      <c r="V27" s="181">
        <f t="shared" si="21"/>
        <v>54.999999999999964</v>
      </c>
      <c r="W27" s="23"/>
      <c r="X27" s="175"/>
      <c r="Y27" s="175"/>
      <c r="Z27" s="175"/>
      <c r="AA27" s="632"/>
      <c r="AB27" s="632"/>
      <c r="AC27" s="25"/>
      <c r="AD27" s="25"/>
      <c r="AE27" s="19">
        <f t="shared" si="8"/>
        <v>-78.909090909089855</v>
      </c>
      <c r="AF27" s="176">
        <f t="shared" si="9"/>
        <v>0.96054545454545504</v>
      </c>
      <c r="AG27" s="637"/>
    </row>
    <row r="28" spans="1:33" ht="15.75" customHeight="1">
      <c r="A28" s="656" t="s">
        <v>706</v>
      </c>
      <c r="B28" s="42" t="s">
        <v>92</v>
      </c>
      <c r="C28" s="653" t="s">
        <v>115</v>
      </c>
      <c r="D28" s="653"/>
      <c r="E28" s="42">
        <v>57.3</v>
      </c>
      <c r="F28" s="182">
        <v>1459</v>
      </c>
      <c r="G28" s="175">
        <f t="shared" si="19"/>
        <v>83600.7</v>
      </c>
      <c r="H28" s="37" t="s">
        <v>91</v>
      </c>
      <c r="I28" s="180">
        <v>16</v>
      </c>
      <c r="J28" s="39">
        <v>2000</v>
      </c>
      <c r="K28" s="17">
        <f t="shared" si="1"/>
        <v>125</v>
      </c>
      <c r="L28" s="180">
        <v>16</v>
      </c>
      <c r="M28" s="18">
        <f t="shared" si="20"/>
        <v>1945.3333333333335</v>
      </c>
      <c r="N28" s="17">
        <f t="shared" si="3"/>
        <v>121.58333333333334</v>
      </c>
      <c r="O28" s="19">
        <f t="shared" si="4"/>
        <v>0</v>
      </c>
      <c r="P28" s="20">
        <f t="shared" si="5"/>
        <v>-3.4166666666666572</v>
      </c>
      <c r="Q28" s="176">
        <f t="shared" si="6"/>
        <v>0.97266666666666679</v>
      </c>
      <c r="R28" s="637"/>
      <c r="S28" s="40">
        <v>0.75</v>
      </c>
      <c r="T28" s="40">
        <v>0.78125</v>
      </c>
      <c r="U28" s="175">
        <f t="shared" si="22"/>
        <v>4.9999999999999822</v>
      </c>
      <c r="V28" s="181">
        <f t="shared" si="21"/>
        <v>45</v>
      </c>
      <c r="W28" s="23"/>
      <c r="X28" s="23"/>
      <c r="Y28" s="175"/>
      <c r="Z28" s="175"/>
      <c r="AA28" s="632"/>
      <c r="AB28" s="632"/>
      <c r="AC28" s="25"/>
      <c r="AD28" s="25"/>
      <c r="AE28" s="19">
        <f t="shared" si="8"/>
        <v>-54.666666666666515</v>
      </c>
      <c r="AF28" s="176">
        <f t="shared" si="9"/>
        <v>0.97266666666666679</v>
      </c>
      <c r="AG28" s="637"/>
    </row>
    <row r="29" spans="1:33" ht="15.75" customHeight="1">
      <c r="A29" s="656" t="s">
        <v>706</v>
      </c>
      <c r="B29" s="42" t="s">
        <v>92</v>
      </c>
      <c r="C29" s="653" t="s">
        <v>140</v>
      </c>
      <c r="D29" s="653"/>
      <c r="E29" s="42">
        <v>51.06</v>
      </c>
      <c r="F29" s="182">
        <v>2490</v>
      </c>
      <c r="G29" s="175">
        <f t="shared" si="19"/>
        <v>127139.40000000001</v>
      </c>
      <c r="H29" s="37" t="s">
        <v>91</v>
      </c>
      <c r="I29" s="180">
        <v>13</v>
      </c>
      <c r="J29" s="39">
        <v>2000</v>
      </c>
      <c r="K29" s="17">
        <f t="shared" si="1"/>
        <v>153.84615384615384</v>
      </c>
      <c r="L29" s="180">
        <v>13</v>
      </c>
      <c r="M29" s="18">
        <f t="shared" si="20"/>
        <v>1915.3846153846143</v>
      </c>
      <c r="N29" s="17">
        <f t="shared" si="3"/>
        <v>147.33727810650879</v>
      </c>
      <c r="O29" s="19">
        <f t="shared" si="4"/>
        <v>0</v>
      </c>
      <c r="P29" s="20">
        <f t="shared" si="5"/>
        <v>-6.508875739645049</v>
      </c>
      <c r="Q29" s="176">
        <f t="shared" si="6"/>
        <v>0.95769230769230718</v>
      </c>
      <c r="R29" s="637"/>
      <c r="S29" s="40">
        <v>0.78680555555555554</v>
      </c>
      <c r="T29" s="40">
        <v>0.84097222222222223</v>
      </c>
      <c r="U29" s="175">
        <f t="shared" si="22"/>
        <v>7.9999999999999716</v>
      </c>
      <c r="V29" s="181">
        <f t="shared" si="21"/>
        <v>78.000000000000043</v>
      </c>
      <c r="W29" s="23"/>
      <c r="X29" s="28"/>
      <c r="Y29" s="28"/>
      <c r="Z29" s="28"/>
      <c r="AA29" s="632"/>
      <c r="AB29" s="632"/>
      <c r="AC29" s="25"/>
      <c r="AD29" s="25"/>
      <c r="AE29" s="19">
        <f t="shared" si="8"/>
        <v>-84.615384615385665</v>
      </c>
      <c r="AF29" s="176">
        <f t="shared" si="9"/>
        <v>0.95769230769230718</v>
      </c>
      <c r="AG29" s="637"/>
    </row>
    <row r="30" spans="1:33" ht="15.75" customHeight="1">
      <c r="A30" s="656" t="s">
        <v>707</v>
      </c>
      <c r="B30" s="42" t="s">
        <v>703</v>
      </c>
      <c r="C30" s="638"/>
      <c r="D30" s="638"/>
      <c r="E30" s="177"/>
      <c r="F30" s="182"/>
      <c r="G30" s="175"/>
      <c r="H30" s="182"/>
      <c r="I30" s="29">
        <v>15.666666666666666</v>
      </c>
      <c r="J30" s="39">
        <v>2000</v>
      </c>
      <c r="K30" s="17">
        <f t="shared" si="1"/>
        <v>127.65957446808511</v>
      </c>
      <c r="L30" s="29">
        <v>15.666666666666666</v>
      </c>
      <c r="M30" s="18">
        <f>AVERAGE(M24:M29)</f>
        <v>1918.6344107357709</v>
      </c>
      <c r="N30" s="17">
        <f t="shared" si="3"/>
        <v>122.46602621717687</v>
      </c>
      <c r="O30" s="19">
        <f t="shared" si="4"/>
        <v>0</v>
      </c>
      <c r="P30" s="20">
        <f t="shared" si="5"/>
        <v>-5.1935482509082362</v>
      </c>
      <c r="Q30" s="176">
        <f t="shared" si="6"/>
        <v>0.95931720536788545</v>
      </c>
      <c r="R30" s="637"/>
      <c r="S30" s="40"/>
      <c r="T30" s="40"/>
      <c r="U30" s="17"/>
      <c r="V30" s="181"/>
      <c r="W30" s="17"/>
      <c r="X30" s="17"/>
      <c r="Y30" s="30">
        <f>SUM(Y24:Y29)</f>
        <v>0</v>
      </c>
      <c r="Z30" s="30">
        <f>SUM(Z24:Z29)</f>
        <v>0</v>
      </c>
      <c r="AA30" s="631"/>
      <c r="AB30" s="631"/>
      <c r="AC30" s="30">
        <v>6</v>
      </c>
      <c r="AD30" s="30">
        <f>SUM(AD24:AD29)</f>
        <v>0</v>
      </c>
      <c r="AE30" s="19">
        <f t="shared" si="8"/>
        <v>-81.365589264229129</v>
      </c>
      <c r="AF30" s="176">
        <f t="shared" si="9"/>
        <v>0.95931720536788545</v>
      </c>
      <c r="AG30" s="637"/>
    </row>
    <row r="31" spans="1:33" ht="15.75" customHeight="1">
      <c r="A31" s="654" t="s">
        <v>708</v>
      </c>
      <c r="B31" s="42" t="s">
        <v>116</v>
      </c>
      <c r="C31" s="653" t="s">
        <v>117</v>
      </c>
      <c r="D31" s="653"/>
      <c r="E31" s="42">
        <v>31.29</v>
      </c>
      <c r="F31" s="182">
        <v>4800</v>
      </c>
      <c r="G31" s="175">
        <f t="shared" ref="G31:G36" si="23">E31*F31</f>
        <v>150192</v>
      </c>
      <c r="H31" s="37">
        <v>2</v>
      </c>
      <c r="I31" s="180">
        <v>18</v>
      </c>
      <c r="J31" s="39">
        <v>2400</v>
      </c>
      <c r="K31" s="17">
        <f t="shared" si="1"/>
        <v>133.33333333333334</v>
      </c>
      <c r="L31" s="180">
        <v>18</v>
      </c>
      <c r="M31" s="18">
        <f t="shared" ref="M31:M36" si="24">F31/V31*60</f>
        <v>2285.7142857142858</v>
      </c>
      <c r="N31" s="17">
        <f t="shared" si="3"/>
        <v>126.98412698412699</v>
      </c>
      <c r="O31" s="19">
        <f t="shared" si="4"/>
        <v>0</v>
      </c>
      <c r="P31" s="20">
        <f t="shared" si="5"/>
        <v>-6.3492063492063551</v>
      </c>
      <c r="Q31" s="176">
        <f t="shared" si="6"/>
        <v>0.95238095238095233</v>
      </c>
      <c r="R31" s="637">
        <f>Q37</f>
        <v>0.95488779291389969</v>
      </c>
      <c r="S31" s="40">
        <v>8.3333333333333329E-2</v>
      </c>
      <c r="T31" s="40">
        <v>0.17083333333333334</v>
      </c>
      <c r="U31" s="175"/>
      <c r="V31" s="181">
        <f t="shared" ref="V31:V36" si="25">(T31-S31)*24*60</f>
        <v>126</v>
      </c>
      <c r="W31" s="23">
        <f>T31</f>
        <v>0.17083333333333334</v>
      </c>
      <c r="X31" s="23">
        <f>S32</f>
        <v>0.18958333333333333</v>
      </c>
      <c r="Y31" s="23"/>
      <c r="Z31" s="23"/>
      <c r="AA31" s="632"/>
      <c r="AB31" s="632"/>
      <c r="AC31" s="25">
        <v>6</v>
      </c>
      <c r="AD31" s="25"/>
      <c r="AE31" s="19">
        <f t="shared" si="8"/>
        <v>-114.28571428571422</v>
      </c>
      <c r="AF31" s="176">
        <f t="shared" si="9"/>
        <v>0.95238095238095244</v>
      </c>
      <c r="AG31" s="637">
        <f>AF37</f>
        <v>0.9548877929138998</v>
      </c>
    </row>
    <row r="32" spans="1:33" ht="15.75" customHeight="1">
      <c r="A32" s="654" t="s">
        <v>708</v>
      </c>
      <c r="B32" s="42" t="s">
        <v>116</v>
      </c>
      <c r="C32" s="653" t="s">
        <v>118</v>
      </c>
      <c r="D32" s="653"/>
      <c r="E32" s="42">
        <v>26.37</v>
      </c>
      <c r="F32" s="182">
        <v>6105</v>
      </c>
      <c r="G32" s="175">
        <f t="shared" si="23"/>
        <v>160988.85</v>
      </c>
      <c r="H32" s="37" t="s">
        <v>91</v>
      </c>
      <c r="I32" s="180">
        <v>18</v>
      </c>
      <c r="J32" s="39">
        <v>2400</v>
      </c>
      <c r="K32" s="17">
        <f t="shared" si="1"/>
        <v>133.33333333333334</v>
      </c>
      <c r="L32" s="180">
        <v>18</v>
      </c>
      <c r="M32" s="18">
        <f t="shared" si="24"/>
        <v>2289.375</v>
      </c>
      <c r="N32" s="17">
        <f t="shared" si="3"/>
        <v>127.1875</v>
      </c>
      <c r="O32" s="19">
        <f t="shared" si="4"/>
        <v>0</v>
      </c>
      <c r="P32" s="20">
        <f t="shared" si="5"/>
        <v>-6.1458333333333428</v>
      </c>
      <c r="Q32" s="176">
        <f t="shared" si="6"/>
        <v>0.95390624999999996</v>
      </c>
      <c r="R32" s="637"/>
      <c r="S32" s="40">
        <v>0.18958333333333333</v>
      </c>
      <c r="T32" s="40">
        <v>0.30069444444444443</v>
      </c>
      <c r="U32" s="175">
        <f t="shared" ref="U32:U36" si="26">(S32-T31)*24*60</f>
        <v>26.999999999999986</v>
      </c>
      <c r="V32" s="181">
        <f t="shared" si="25"/>
        <v>160</v>
      </c>
      <c r="W32" s="23"/>
      <c r="X32" s="23"/>
      <c r="Y32" s="23"/>
      <c r="Z32" s="23"/>
      <c r="AA32" s="632"/>
      <c r="AB32" s="632"/>
      <c r="AC32" s="25"/>
      <c r="AD32" s="25"/>
      <c r="AE32" s="19">
        <f t="shared" si="8"/>
        <v>-110.625</v>
      </c>
      <c r="AF32" s="176">
        <f t="shared" si="9"/>
        <v>0.95390624999999996</v>
      </c>
      <c r="AG32" s="637"/>
    </row>
    <row r="33" spans="1:33" ht="15.75" customHeight="1">
      <c r="A33" s="654" t="s">
        <v>708</v>
      </c>
      <c r="B33" s="42" t="s">
        <v>116</v>
      </c>
      <c r="C33" s="653" t="s">
        <v>124</v>
      </c>
      <c r="D33" s="653"/>
      <c r="E33" s="42">
        <v>24.43</v>
      </c>
      <c r="F33" s="182">
        <v>6768</v>
      </c>
      <c r="G33" s="175">
        <f t="shared" si="23"/>
        <v>165342.24</v>
      </c>
      <c r="H33" s="37" t="s">
        <v>91</v>
      </c>
      <c r="I33" s="180">
        <v>14</v>
      </c>
      <c r="J33" s="39">
        <v>2400</v>
      </c>
      <c r="K33" s="17">
        <f t="shared" si="1"/>
        <v>171.42857142857142</v>
      </c>
      <c r="L33" s="180">
        <v>14</v>
      </c>
      <c r="M33" s="18">
        <f t="shared" si="24"/>
        <v>2294.2372881355932</v>
      </c>
      <c r="N33" s="17">
        <f t="shared" si="3"/>
        <v>163.87409200968523</v>
      </c>
      <c r="O33" s="19">
        <f t="shared" si="4"/>
        <v>0</v>
      </c>
      <c r="P33" s="20">
        <f t="shared" si="5"/>
        <v>-7.5544794188861886</v>
      </c>
      <c r="Q33" s="176">
        <f t="shared" si="6"/>
        <v>0.95593220338983054</v>
      </c>
      <c r="R33" s="637"/>
      <c r="S33" s="40">
        <v>0.30416666666666664</v>
      </c>
      <c r="T33" s="40">
        <v>0.42708333333333331</v>
      </c>
      <c r="U33" s="175">
        <f t="shared" si="26"/>
        <v>4.9999999999999822</v>
      </c>
      <c r="V33" s="181">
        <f t="shared" si="25"/>
        <v>177</v>
      </c>
      <c r="W33" s="23"/>
      <c r="X33" s="23"/>
      <c r="Y33" s="23"/>
      <c r="Z33" s="23"/>
      <c r="AA33" s="632"/>
      <c r="AB33" s="632"/>
      <c r="AC33" s="25"/>
      <c r="AD33" s="25"/>
      <c r="AE33" s="19">
        <f t="shared" si="8"/>
        <v>-105.76271186440681</v>
      </c>
      <c r="AF33" s="176">
        <f t="shared" si="9"/>
        <v>0.95593220338983054</v>
      </c>
      <c r="AG33" s="637"/>
    </row>
    <row r="34" spans="1:33" ht="15.75" customHeight="1">
      <c r="A34" s="654" t="s">
        <v>708</v>
      </c>
      <c r="B34" s="42" t="s">
        <v>116</v>
      </c>
      <c r="C34" s="653" t="s">
        <v>147</v>
      </c>
      <c r="D34" s="653"/>
      <c r="E34" s="42">
        <v>25.98</v>
      </c>
      <c r="F34" s="182">
        <v>2768</v>
      </c>
      <c r="G34" s="175">
        <f t="shared" si="23"/>
        <v>71912.639999999999</v>
      </c>
      <c r="H34" s="37" t="s">
        <v>91</v>
      </c>
      <c r="I34" s="180">
        <v>17</v>
      </c>
      <c r="J34" s="39">
        <v>2400</v>
      </c>
      <c r="K34" s="17">
        <f t="shared" si="1"/>
        <v>141.1764705882353</v>
      </c>
      <c r="L34" s="180">
        <v>17</v>
      </c>
      <c r="M34" s="18">
        <f t="shared" si="24"/>
        <v>2306.666666666667</v>
      </c>
      <c r="N34" s="17">
        <f t="shared" si="3"/>
        <v>135.68627450980395</v>
      </c>
      <c r="O34" s="19">
        <f t="shared" si="4"/>
        <v>0</v>
      </c>
      <c r="P34" s="20">
        <f t="shared" si="5"/>
        <v>-5.490196078431353</v>
      </c>
      <c r="Q34" s="176">
        <f t="shared" si="6"/>
        <v>0.96111111111111125</v>
      </c>
      <c r="R34" s="637"/>
      <c r="S34" s="40">
        <v>0.43194444444444441</v>
      </c>
      <c r="T34" s="40">
        <v>0.4819444444444444</v>
      </c>
      <c r="U34" s="175">
        <f t="shared" si="26"/>
        <v>6.9999999999999751</v>
      </c>
      <c r="V34" s="181">
        <f t="shared" si="25"/>
        <v>71.999999999999986</v>
      </c>
      <c r="W34" s="23"/>
      <c r="X34" s="23"/>
      <c r="Y34" s="23"/>
      <c r="Z34" s="23"/>
      <c r="AA34" s="632"/>
      <c r="AB34" s="632"/>
      <c r="AC34" s="25"/>
      <c r="AD34" s="25"/>
      <c r="AE34" s="19">
        <f t="shared" si="8"/>
        <v>-93.33333333333303</v>
      </c>
      <c r="AF34" s="176">
        <f t="shared" si="9"/>
        <v>0.96111111111111125</v>
      </c>
      <c r="AG34" s="637"/>
    </row>
    <row r="35" spans="1:33" ht="15.75" customHeight="1">
      <c r="A35" s="654" t="s">
        <v>708</v>
      </c>
      <c r="B35" s="42" t="s">
        <v>116</v>
      </c>
      <c r="C35" s="653" t="s">
        <v>122</v>
      </c>
      <c r="D35" s="653"/>
      <c r="E35" s="42">
        <v>20.21</v>
      </c>
      <c r="F35" s="182">
        <v>2132</v>
      </c>
      <c r="G35" s="175">
        <f t="shared" si="23"/>
        <v>43087.72</v>
      </c>
      <c r="H35" s="37" t="s">
        <v>91</v>
      </c>
      <c r="I35" s="180">
        <v>18</v>
      </c>
      <c r="J35" s="39">
        <v>2400</v>
      </c>
      <c r="K35" s="17">
        <f t="shared" si="1"/>
        <v>133.33333333333334</v>
      </c>
      <c r="L35" s="180">
        <v>18</v>
      </c>
      <c r="M35" s="18">
        <f t="shared" si="24"/>
        <v>2284.285714285716</v>
      </c>
      <c r="N35" s="17">
        <f t="shared" si="3"/>
        <v>126.904761904762</v>
      </c>
      <c r="O35" s="19">
        <f t="shared" si="4"/>
        <v>0</v>
      </c>
      <c r="P35" s="20">
        <f t="shared" si="5"/>
        <v>-6.4285714285713453</v>
      </c>
      <c r="Q35" s="176">
        <f t="shared" si="6"/>
        <v>0.9517857142857149</v>
      </c>
      <c r="R35" s="637"/>
      <c r="S35" s="40">
        <v>0.48541666666666661</v>
      </c>
      <c r="T35" s="40">
        <v>0.52430555555555547</v>
      </c>
      <c r="U35" s="175">
        <f t="shared" si="26"/>
        <v>4.9999999999999822</v>
      </c>
      <c r="V35" s="181">
        <f t="shared" si="25"/>
        <v>55.999999999999957</v>
      </c>
      <c r="W35" s="23">
        <f>T35</f>
        <v>0.52430555555555547</v>
      </c>
      <c r="X35" s="23">
        <f>S36</f>
        <v>0.56249999999999989</v>
      </c>
      <c r="Y35" s="23"/>
      <c r="Z35" s="23"/>
      <c r="AA35" s="632"/>
      <c r="AB35" s="632"/>
      <c r="AC35" s="25"/>
      <c r="AD35" s="25"/>
      <c r="AE35" s="19">
        <f t="shared" si="8"/>
        <v>-115.71428571428396</v>
      </c>
      <c r="AF35" s="176">
        <f t="shared" si="9"/>
        <v>0.95178571428571501</v>
      </c>
      <c r="AG35" s="637"/>
    </row>
    <row r="36" spans="1:33" ht="15.75" customHeight="1">
      <c r="A36" s="654" t="s">
        <v>708</v>
      </c>
      <c r="B36" s="42" t="s">
        <v>116</v>
      </c>
      <c r="C36" s="653" t="s">
        <v>117</v>
      </c>
      <c r="D36" s="653"/>
      <c r="E36" s="42">
        <v>31.29</v>
      </c>
      <c r="F36" s="182">
        <v>3626</v>
      </c>
      <c r="G36" s="175">
        <f t="shared" si="23"/>
        <v>113457.54</v>
      </c>
      <c r="H36" s="37" t="s">
        <v>91</v>
      </c>
      <c r="I36" s="180">
        <v>18</v>
      </c>
      <c r="J36" s="39">
        <v>2400</v>
      </c>
      <c r="K36" s="17">
        <f t="shared" si="1"/>
        <v>133.33333333333334</v>
      </c>
      <c r="L36" s="180">
        <v>18</v>
      </c>
      <c r="M36" s="18">
        <f t="shared" si="24"/>
        <v>2290.105263157895</v>
      </c>
      <c r="N36" s="17">
        <f t="shared" si="3"/>
        <v>127.22807017543862</v>
      </c>
      <c r="O36" s="19">
        <f t="shared" si="4"/>
        <v>0</v>
      </c>
      <c r="P36" s="20">
        <f t="shared" si="5"/>
        <v>-6.1052631578947256</v>
      </c>
      <c r="Q36" s="176">
        <f t="shared" si="6"/>
        <v>0.95421052631578951</v>
      </c>
      <c r="R36" s="637"/>
      <c r="S36" s="40">
        <v>0.56249999999999989</v>
      </c>
      <c r="T36" s="40">
        <v>0.6284722222222221</v>
      </c>
      <c r="U36" s="175">
        <f t="shared" si="26"/>
        <v>54.999999999999964</v>
      </c>
      <c r="V36" s="181">
        <f t="shared" si="25"/>
        <v>94.999999999999986</v>
      </c>
      <c r="W36" s="23"/>
      <c r="X36" s="23"/>
      <c r="Y36" s="23"/>
      <c r="Z36" s="23"/>
      <c r="AA36" s="632"/>
      <c r="AB36" s="632"/>
      <c r="AC36" s="25"/>
      <c r="AD36" s="25"/>
      <c r="AE36" s="19">
        <f t="shared" si="8"/>
        <v>-109.89473684210498</v>
      </c>
      <c r="AF36" s="176">
        <f t="shared" si="9"/>
        <v>0.95421052631578962</v>
      </c>
      <c r="AG36" s="637"/>
    </row>
    <row r="37" spans="1:33" ht="15.75" customHeight="1">
      <c r="A37" s="654" t="s">
        <v>708</v>
      </c>
      <c r="B37" s="42" t="s">
        <v>700</v>
      </c>
      <c r="C37" s="638"/>
      <c r="D37" s="638"/>
      <c r="E37" s="177"/>
      <c r="F37" s="182"/>
      <c r="G37" s="175"/>
      <c r="H37" s="182"/>
      <c r="I37" s="29">
        <v>17.166666666666668</v>
      </c>
      <c r="J37" s="39">
        <v>2400</v>
      </c>
      <c r="K37" s="17">
        <f t="shared" si="1"/>
        <v>139.80582524271844</v>
      </c>
      <c r="L37" s="29">
        <v>17.166666666666668</v>
      </c>
      <c r="M37" s="18">
        <f>AVERAGE(M31:M36)</f>
        <v>2291.7307029933595</v>
      </c>
      <c r="N37" s="17">
        <f t="shared" si="3"/>
        <v>133.49887590252578</v>
      </c>
      <c r="O37" s="19">
        <f t="shared" si="4"/>
        <v>0</v>
      </c>
      <c r="P37" s="20">
        <f t="shared" si="5"/>
        <v>-6.3069493401926593</v>
      </c>
      <c r="Q37" s="176">
        <f t="shared" si="6"/>
        <v>0.95488779291389969</v>
      </c>
      <c r="R37" s="637"/>
      <c r="S37" s="40"/>
      <c r="T37" s="40"/>
      <c r="U37" s="175"/>
      <c r="V37" s="181"/>
      <c r="W37" s="175"/>
      <c r="X37" s="175"/>
      <c r="Y37" s="30">
        <f>SUM(Y31:Y36)</f>
        <v>0</v>
      </c>
      <c r="Z37" s="30">
        <f>SUM(Z31:Z36)</f>
        <v>0</v>
      </c>
      <c r="AA37" s="631"/>
      <c r="AB37" s="631"/>
      <c r="AC37" s="30">
        <v>6</v>
      </c>
      <c r="AD37" s="30">
        <f>SUM(AD31:AD36)</f>
        <v>0</v>
      </c>
      <c r="AE37" s="19">
        <f t="shared" si="8"/>
        <v>-108.2692970066405</v>
      </c>
      <c r="AF37" s="176">
        <f t="shared" si="9"/>
        <v>0.9548877929138998</v>
      </c>
      <c r="AG37" s="637"/>
    </row>
    <row r="38" spans="1:33" ht="15.75" customHeight="1">
      <c r="A38" s="651" t="s">
        <v>709</v>
      </c>
      <c r="B38" s="42" t="s">
        <v>116</v>
      </c>
      <c r="C38" s="633" t="s">
        <v>123</v>
      </c>
      <c r="D38" s="633"/>
      <c r="E38" s="42">
        <v>26.18</v>
      </c>
      <c r="F38" s="182">
        <v>3300</v>
      </c>
      <c r="G38" s="175">
        <f t="shared" ref="G38:G45" si="27">E38*F38</f>
        <v>86394</v>
      </c>
      <c r="H38" s="37">
        <v>2</v>
      </c>
      <c r="I38" s="180">
        <v>20</v>
      </c>
      <c r="J38" s="39">
        <v>2400</v>
      </c>
      <c r="K38" s="17">
        <f t="shared" si="1"/>
        <v>120</v>
      </c>
      <c r="L38" s="180">
        <v>20</v>
      </c>
      <c r="M38" s="18">
        <f t="shared" ref="M38:M45" si="28">F38/V38*60</f>
        <v>2302.3255813953492</v>
      </c>
      <c r="N38" s="17">
        <f t="shared" si="3"/>
        <v>115.11627906976746</v>
      </c>
      <c r="O38" s="19">
        <f t="shared" si="4"/>
        <v>0</v>
      </c>
      <c r="P38" s="20">
        <f t="shared" si="5"/>
        <v>-4.8837209302325419</v>
      </c>
      <c r="Q38" s="176">
        <f t="shared" si="6"/>
        <v>0.9593023255813955</v>
      </c>
      <c r="R38" s="637">
        <f>Q46</f>
        <v>0.95530516249202091</v>
      </c>
      <c r="S38" s="40">
        <v>8.3333333333333329E-2</v>
      </c>
      <c r="T38" s="40">
        <v>0.14305555555555555</v>
      </c>
      <c r="U38" s="175"/>
      <c r="V38" s="181">
        <f t="shared" ref="V38:V45" si="29">(T38-S38)*24*60</f>
        <v>85.999999999999986</v>
      </c>
      <c r="W38" s="28">
        <f>T38</f>
        <v>0.14305555555555555</v>
      </c>
      <c r="X38" s="28">
        <f>S39</f>
        <v>0.16250000000000001</v>
      </c>
      <c r="Y38" s="28"/>
      <c r="Z38" s="28"/>
      <c r="AA38" s="632"/>
      <c r="AB38" s="632"/>
      <c r="AC38" s="25">
        <v>8</v>
      </c>
      <c r="AD38" s="25"/>
      <c r="AE38" s="19">
        <f t="shared" si="8"/>
        <v>-97.674418604650782</v>
      </c>
      <c r="AF38" s="176">
        <f t="shared" si="9"/>
        <v>0.9593023255813955</v>
      </c>
      <c r="AG38" s="637">
        <f>AF46</f>
        <v>0.95530516249202102</v>
      </c>
    </row>
    <row r="39" spans="1:33" ht="15.75" customHeight="1">
      <c r="A39" s="651" t="s">
        <v>709</v>
      </c>
      <c r="B39" s="42" t="s">
        <v>116</v>
      </c>
      <c r="C39" s="633" t="s">
        <v>125</v>
      </c>
      <c r="D39" s="633"/>
      <c r="E39" s="42">
        <v>25.98</v>
      </c>
      <c r="F39" s="182">
        <v>4251</v>
      </c>
      <c r="G39" s="175">
        <f t="shared" si="27"/>
        <v>110440.98</v>
      </c>
      <c r="H39" s="37" t="s">
        <v>91</v>
      </c>
      <c r="I39" s="180">
        <v>20</v>
      </c>
      <c r="J39" s="39">
        <v>2400</v>
      </c>
      <c r="K39" s="17">
        <f t="shared" si="1"/>
        <v>120</v>
      </c>
      <c r="L39" s="180">
        <v>20</v>
      </c>
      <c r="M39" s="18">
        <f t="shared" si="28"/>
        <v>2297.8378378378379</v>
      </c>
      <c r="N39" s="17">
        <f t="shared" si="3"/>
        <v>114.8918918918919</v>
      </c>
      <c r="O39" s="19">
        <f t="shared" si="4"/>
        <v>0</v>
      </c>
      <c r="P39" s="20">
        <f t="shared" si="5"/>
        <v>-5.1081081081080981</v>
      </c>
      <c r="Q39" s="176">
        <f t="shared" si="6"/>
        <v>0.95743243243243248</v>
      </c>
      <c r="R39" s="637"/>
      <c r="S39" s="40">
        <v>0.16250000000000001</v>
      </c>
      <c r="T39" s="40">
        <v>0.23958333333333334</v>
      </c>
      <c r="U39" s="175">
        <f t="shared" ref="U39:U45" si="30">(S39-T38)*24*60</f>
        <v>28.000000000000021</v>
      </c>
      <c r="V39" s="181">
        <f t="shared" si="29"/>
        <v>111</v>
      </c>
      <c r="W39" s="175"/>
      <c r="X39" s="175"/>
      <c r="Y39" s="175"/>
      <c r="Z39" s="175"/>
      <c r="AA39" s="632"/>
      <c r="AB39" s="632"/>
      <c r="AC39" s="25"/>
      <c r="AD39" s="25"/>
      <c r="AE39" s="19">
        <f t="shared" si="8"/>
        <v>-102.16216216216208</v>
      </c>
      <c r="AF39" s="176">
        <f t="shared" si="9"/>
        <v>0.95743243243243248</v>
      </c>
      <c r="AG39" s="637"/>
    </row>
    <row r="40" spans="1:33">
      <c r="A40" s="652" t="s">
        <v>709</v>
      </c>
      <c r="B40" s="42" t="s">
        <v>116</v>
      </c>
      <c r="C40" s="633" t="s">
        <v>119</v>
      </c>
      <c r="D40" s="633"/>
      <c r="E40" s="42">
        <v>26.18</v>
      </c>
      <c r="F40" s="182">
        <v>4300</v>
      </c>
      <c r="G40" s="175">
        <f t="shared" si="27"/>
        <v>112574</v>
      </c>
      <c r="H40" s="37">
        <v>2</v>
      </c>
      <c r="I40" s="180">
        <v>18</v>
      </c>
      <c r="J40" s="39">
        <v>2400</v>
      </c>
      <c r="K40" s="17">
        <f t="shared" si="1"/>
        <v>133.33333333333334</v>
      </c>
      <c r="L40" s="180">
        <v>18</v>
      </c>
      <c r="M40" s="18">
        <f t="shared" si="28"/>
        <v>2303.5714285714289</v>
      </c>
      <c r="N40" s="17">
        <f t="shared" si="3"/>
        <v>127.9761904761905</v>
      </c>
      <c r="O40" s="19">
        <f t="shared" si="4"/>
        <v>0</v>
      </c>
      <c r="P40" s="20">
        <f t="shared" si="5"/>
        <v>-5.357142857142847</v>
      </c>
      <c r="Q40" s="176">
        <f t="shared" si="6"/>
        <v>0.9598214285714286</v>
      </c>
      <c r="R40" s="637"/>
      <c r="S40" s="40">
        <v>0.24513888888888891</v>
      </c>
      <c r="T40" s="40">
        <v>0.32291666666666669</v>
      </c>
      <c r="U40" s="175">
        <f t="shared" si="30"/>
        <v>8.0000000000000107</v>
      </c>
      <c r="V40" s="181">
        <f t="shared" si="29"/>
        <v>112</v>
      </c>
      <c r="W40" s="175"/>
      <c r="X40" s="175"/>
      <c r="Y40" s="175"/>
      <c r="Z40" s="175"/>
      <c r="AA40" s="632"/>
      <c r="AB40" s="632"/>
      <c r="AC40" s="25"/>
      <c r="AD40" s="25"/>
      <c r="AE40" s="19">
        <f t="shared" si="8"/>
        <v>-96.428571428571104</v>
      </c>
      <c r="AF40" s="176">
        <f t="shared" si="9"/>
        <v>0.95982142857142871</v>
      </c>
      <c r="AG40" s="637"/>
    </row>
    <row r="41" spans="1:33">
      <c r="A41" s="652" t="s">
        <v>709</v>
      </c>
      <c r="B41" s="42" t="s">
        <v>116</v>
      </c>
      <c r="C41" s="633" t="s">
        <v>121</v>
      </c>
      <c r="D41" s="633"/>
      <c r="E41" s="42">
        <v>25.99</v>
      </c>
      <c r="F41" s="182">
        <v>3770</v>
      </c>
      <c r="G41" s="175">
        <f t="shared" si="27"/>
        <v>97982.299999999988</v>
      </c>
      <c r="H41" s="37" t="s">
        <v>91</v>
      </c>
      <c r="I41" s="180">
        <v>14</v>
      </c>
      <c r="J41" s="39">
        <v>2400</v>
      </c>
      <c r="K41" s="17">
        <f t="shared" si="1"/>
        <v>171.42857142857142</v>
      </c>
      <c r="L41" s="180">
        <v>14</v>
      </c>
      <c r="M41" s="18">
        <f t="shared" si="28"/>
        <v>2284.8484848484854</v>
      </c>
      <c r="N41" s="17">
        <f t="shared" si="3"/>
        <v>163.20346320346326</v>
      </c>
      <c r="O41" s="19">
        <f t="shared" si="4"/>
        <v>0</v>
      </c>
      <c r="P41" s="20">
        <f t="shared" si="5"/>
        <v>-8.2251082251081584</v>
      </c>
      <c r="Q41" s="176">
        <f t="shared" si="6"/>
        <v>0.95202020202020243</v>
      </c>
      <c r="R41" s="637"/>
      <c r="S41" s="40">
        <v>0.32708333333333334</v>
      </c>
      <c r="T41" s="40">
        <v>0.39583333333333331</v>
      </c>
      <c r="U41" s="175">
        <f t="shared" si="30"/>
        <v>5.9999999999999787</v>
      </c>
      <c r="V41" s="181">
        <f t="shared" si="29"/>
        <v>98.999999999999972</v>
      </c>
      <c r="W41" s="23"/>
      <c r="X41" s="23"/>
      <c r="Y41" s="23"/>
      <c r="Z41" s="23"/>
      <c r="AA41" s="632"/>
      <c r="AB41" s="632"/>
      <c r="AC41" s="25"/>
      <c r="AD41" s="25"/>
      <c r="AE41" s="19">
        <f t="shared" si="8"/>
        <v>-115.15151515151456</v>
      </c>
      <c r="AF41" s="176">
        <f t="shared" si="9"/>
        <v>0.95202020202020232</v>
      </c>
      <c r="AG41" s="637"/>
    </row>
    <row r="42" spans="1:33">
      <c r="A42" s="652" t="s">
        <v>709</v>
      </c>
      <c r="B42" s="42" t="s">
        <v>116</v>
      </c>
      <c r="C42" s="633" t="s">
        <v>126</v>
      </c>
      <c r="D42" s="633"/>
      <c r="E42" s="42">
        <v>34.1</v>
      </c>
      <c r="F42" s="182">
        <v>3400</v>
      </c>
      <c r="G42" s="175">
        <f t="shared" si="27"/>
        <v>115940</v>
      </c>
      <c r="H42" s="37">
        <v>2</v>
      </c>
      <c r="I42" s="180">
        <v>17</v>
      </c>
      <c r="J42" s="39">
        <v>1600</v>
      </c>
      <c r="K42" s="17">
        <f t="shared" si="1"/>
        <v>94.117647058823536</v>
      </c>
      <c r="L42" s="180">
        <v>17</v>
      </c>
      <c r="M42" s="18">
        <f t="shared" si="28"/>
        <v>1522.3880597014925</v>
      </c>
      <c r="N42" s="17">
        <f t="shared" si="3"/>
        <v>89.552238805970148</v>
      </c>
      <c r="O42" s="19">
        <f t="shared" si="4"/>
        <v>0</v>
      </c>
      <c r="P42" s="20">
        <f t="shared" si="5"/>
        <v>-4.5654082528533877</v>
      </c>
      <c r="Q42" s="176">
        <f t="shared" si="6"/>
        <v>0.95149253731343275</v>
      </c>
      <c r="R42" s="637"/>
      <c r="S42" s="40">
        <v>0.40069444444444441</v>
      </c>
      <c r="T42" s="40">
        <v>0.49374999999999997</v>
      </c>
      <c r="U42" s="175">
        <f t="shared" si="30"/>
        <v>6.9999999999999751</v>
      </c>
      <c r="V42" s="181">
        <f t="shared" si="29"/>
        <v>134</v>
      </c>
      <c r="W42" s="23">
        <f>T42</f>
        <v>0.49374999999999997</v>
      </c>
      <c r="X42" s="23">
        <f>S43</f>
        <v>0.53472222222222221</v>
      </c>
      <c r="Y42" s="23"/>
      <c r="Z42" s="23"/>
      <c r="AA42" s="632"/>
      <c r="AB42" s="632"/>
      <c r="AC42" s="25"/>
      <c r="AD42" s="25"/>
      <c r="AE42" s="19">
        <f t="shared" si="8"/>
        <v>-77.611940298507534</v>
      </c>
      <c r="AF42" s="176">
        <f t="shared" si="9"/>
        <v>0.95149253731343275</v>
      </c>
      <c r="AG42" s="637"/>
    </row>
    <row r="43" spans="1:33">
      <c r="A43" s="652" t="s">
        <v>622</v>
      </c>
      <c r="B43" s="42" t="s">
        <v>116</v>
      </c>
      <c r="C43" s="633" t="s">
        <v>123</v>
      </c>
      <c r="D43" s="633"/>
      <c r="E43" s="42">
        <v>26.18</v>
      </c>
      <c r="F43" s="182">
        <v>2481</v>
      </c>
      <c r="G43" s="175">
        <f t="shared" si="27"/>
        <v>64952.58</v>
      </c>
      <c r="H43" s="37" t="s">
        <v>91</v>
      </c>
      <c r="I43" s="180">
        <v>20</v>
      </c>
      <c r="J43" s="39">
        <v>2400</v>
      </c>
      <c r="K43" s="17">
        <f t="shared" si="1"/>
        <v>120</v>
      </c>
      <c r="L43" s="180">
        <v>20</v>
      </c>
      <c r="M43" s="18">
        <f t="shared" si="28"/>
        <v>2290.1538461538485</v>
      </c>
      <c r="N43" s="17">
        <f t="shared" si="3"/>
        <v>114.50769230769242</v>
      </c>
      <c r="O43" s="19">
        <f t="shared" si="4"/>
        <v>0</v>
      </c>
      <c r="P43" s="20">
        <f t="shared" si="5"/>
        <v>-5.4923076923075769</v>
      </c>
      <c r="Q43" s="176">
        <f t="shared" si="6"/>
        <v>0.95423076923077021</v>
      </c>
      <c r="R43" s="637"/>
      <c r="S43" s="40">
        <v>0.53472222222222221</v>
      </c>
      <c r="T43" s="40">
        <v>0.57986111111111105</v>
      </c>
      <c r="U43" s="175">
        <f t="shared" si="30"/>
        <v>59.000000000000028</v>
      </c>
      <c r="V43" s="181">
        <f t="shared" si="29"/>
        <v>64.999999999999929</v>
      </c>
      <c r="W43" s="23"/>
      <c r="X43" s="23"/>
      <c r="Y43" s="23"/>
      <c r="Z43" s="23"/>
      <c r="AA43" s="632"/>
      <c r="AB43" s="632"/>
      <c r="AC43" s="25"/>
      <c r="AD43" s="25"/>
      <c r="AE43" s="19">
        <f t="shared" si="8"/>
        <v>-109.84615384615154</v>
      </c>
      <c r="AF43" s="176">
        <f t="shared" si="9"/>
        <v>0.95423076923077021</v>
      </c>
      <c r="AG43" s="637"/>
    </row>
    <row r="44" spans="1:33">
      <c r="A44" s="652" t="s">
        <v>415</v>
      </c>
      <c r="B44" s="42" t="s">
        <v>116</v>
      </c>
      <c r="C44" s="633" t="s">
        <v>119</v>
      </c>
      <c r="D44" s="633"/>
      <c r="E44" s="42">
        <v>26.18</v>
      </c>
      <c r="F44" s="182">
        <v>3359</v>
      </c>
      <c r="G44" s="175">
        <f t="shared" si="27"/>
        <v>87938.62</v>
      </c>
      <c r="H44" s="37" t="s">
        <v>91</v>
      </c>
      <c r="I44" s="180">
        <v>18</v>
      </c>
      <c r="J44" s="39">
        <v>2400</v>
      </c>
      <c r="K44" s="17">
        <f t="shared" si="1"/>
        <v>133.33333333333334</v>
      </c>
      <c r="L44" s="180">
        <v>18</v>
      </c>
      <c r="M44" s="18">
        <f t="shared" si="28"/>
        <v>2290.227272727273</v>
      </c>
      <c r="N44" s="17">
        <f t="shared" si="3"/>
        <v>127.2348484848485</v>
      </c>
      <c r="O44" s="19">
        <f t="shared" si="4"/>
        <v>0</v>
      </c>
      <c r="P44" s="20">
        <f t="shared" si="5"/>
        <v>-6.0984848484848442</v>
      </c>
      <c r="Q44" s="176">
        <f t="shared" si="6"/>
        <v>0.95426136363636371</v>
      </c>
      <c r="R44" s="637"/>
      <c r="S44" s="40">
        <v>0.5840277777777777</v>
      </c>
      <c r="T44" s="40">
        <v>0.64513888888888882</v>
      </c>
      <c r="U44" s="175">
        <f t="shared" si="30"/>
        <v>5.9999999999999787</v>
      </c>
      <c r="V44" s="181">
        <f t="shared" si="29"/>
        <v>88</v>
      </c>
      <c r="W44" s="23"/>
      <c r="X44" s="23"/>
      <c r="Y44" s="26"/>
      <c r="Z44" s="26"/>
      <c r="AA44" s="627"/>
      <c r="AB44" s="628"/>
      <c r="AC44" s="25"/>
      <c r="AD44" s="25"/>
      <c r="AE44" s="19">
        <f t="shared" si="8"/>
        <v>-109.77272727272702</v>
      </c>
      <c r="AF44" s="176">
        <f t="shared" si="9"/>
        <v>0.95426136363636371</v>
      </c>
      <c r="AG44" s="637"/>
    </row>
    <row r="45" spans="1:33">
      <c r="A45" s="652" t="s">
        <v>415</v>
      </c>
      <c r="B45" s="42" t="s">
        <v>116</v>
      </c>
      <c r="C45" s="633" t="s">
        <v>126</v>
      </c>
      <c r="D45" s="633"/>
      <c r="E45" s="42">
        <v>34.1</v>
      </c>
      <c r="F45" s="182">
        <v>2765</v>
      </c>
      <c r="G45" s="175">
        <f t="shared" si="27"/>
        <v>94286.5</v>
      </c>
      <c r="H45" s="37" t="s">
        <v>91</v>
      </c>
      <c r="I45" s="180">
        <v>17</v>
      </c>
      <c r="J45" s="39">
        <v>1600</v>
      </c>
      <c r="K45" s="17">
        <f t="shared" si="1"/>
        <v>94.117647058823536</v>
      </c>
      <c r="L45" s="180">
        <v>17</v>
      </c>
      <c r="M45" s="18">
        <f t="shared" si="28"/>
        <v>1522.0183486238543</v>
      </c>
      <c r="N45" s="17">
        <f t="shared" si="3"/>
        <v>89.530491095520844</v>
      </c>
      <c r="O45" s="19">
        <f t="shared" si="4"/>
        <v>0</v>
      </c>
      <c r="P45" s="20">
        <f t="shared" si="5"/>
        <v>-4.5871559633026919</v>
      </c>
      <c r="Q45" s="176">
        <f t="shared" si="6"/>
        <v>0.95126146788990895</v>
      </c>
      <c r="R45" s="637"/>
      <c r="S45" s="40">
        <v>0.64930555555555547</v>
      </c>
      <c r="T45" s="40">
        <v>0.72499999999999987</v>
      </c>
      <c r="U45" s="175">
        <f t="shared" si="30"/>
        <v>5.9999999999999787</v>
      </c>
      <c r="V45" s="181">
        <f t="shared" si="29"/>
        <v>108.99999999999993</v>
      </c>
      <c r="W45" s="23"/>
      <c r="X45" s="23"/>
      <c r="Y45" s="26"/>
      <c r="Z45" s="26"/>
      <c r="AA45" s="627"/>
      <c r="AB45" s="628"/>
      <c r="AC45" s="25"/>
      <c r="AD45" s="25"/>
      <c r="AE45" s="19">
        <f t="shared" si="8"/>
        <v>-77.981651376145692</v>
      </c>
      <c r="AF45" s="176">
        <f t="shared" si="9"/>
        <v>0.95126146788990895</v>
      </c>
      <c r="AG45" s="637"/>
    </row>
    <row r="46" spans="1:33">
      <c r="A46" s="652" t="s">
        <v>415</v>
      </c>
      <c r="B46" s="44" t="s">
        <v>52</v>
      </c>
      <c r="C46" s="638"/>
      <c r="D46" s="638"/>
      <c r="E46" s="177"/>
      <c r="F46" s="44"/>
      <c r="G46" s="17"/>
      <c r="H46" s="182"/>
      <c r="I46" s="29">
        <v>18</v>
      </c>
      <c r="J46" s="39">
        <v>2200</v>
      </c>
      <c r="K46" s="17">
        <f t="shared" si="1"/>
        <v>122.22222222222223</v>
      </c>
      <c r="L46" s="29">
        <v>18</v>
      </c>
      <c r="M46" s="18">
        <f>AVERAGE(M38:M45)</f>
        <v>2101.6713574824462</v>
      </c>
      <c r="N46" s="17">
        <f t="shared" si="3"/>
        <v>116.7595198601359</v>
      </c>
      <c r="O46" s="19">
        <f t="shared" si="4"/>
        <v>0</v>
      </c>
      <c r="P46" s="20">
        <f t="shared" si="5"/>
        <v>-5.4627023620863326</v>
      </c>
      <c r="Q46" s="176">
        <f t="shared" si="6"/>
        <v>0.95530516249202091</v>
      </c>
      <c r="R46" s="637"/>
      <c r="S46" s="40"/>
      <c r="T46" s="40"/>
      <c r="U46" s="17"/>
      <c r="V46" s="181"/>
      <c r="W46" s="17"/>
      <c r="X46" s="17"/>
      <c r="Y46" s="30">
        <f>SUM(Y38:Y45)</f>
        <v>0</v>
      </c>
      <c r="Z46" s="30">
        <f>SUM(Z38:Z45)</f>
        <v>0</v>
      </c>
      <c r="AA46" s="631"/>
      <c r="AB46" s="631"/>
      <c r="AC46" s="30">
        <v>8</v>
      </c>
      <c r="AD46" s="30">
        <f>SUM(AD38:AD45)</f>
        <v>0</v>
      </c>
      <c r="AE46" s="19">
        <f t="shared" si="8"/>
        <v>-98.328642517553817</v>
      </c>
      <c r="AF46" s="176">
        <f t="shared" si="9"/>
        <v>0.95530516249202102</v>
      </c>
      <c r="AG46" s="637"/>
    </row>
    <row r="47" spans="1:33" ht="15.75" customHeight="1">
      <c r="A47" s="648" t="s">
        <v>710</v>
      </c>
      <c r="B47" s="42" t="s">
        <v>127</v>
      </c>
      <c r="C47" s="625" t="s">
        <v>128</v>
      </c>
      <c r="D47" s="626"/>
      <c r="E47" s="42">
        <v>21.13</v>
      </c>
      <c r="F47" s="182">
        <v>5203</v>
      </c>
      <c r="G47" s="175">
        <f t="shared" ref="G47:G50" si="31">E47*F47</f>
        <v>109939.39</v>
      </c>
      <c r="H47" s="37" t="s">
        <v>91</v>
      </c>
      <c r="I47" s="180">
        <v>10</v>
      </c>
      <c r="J47" s="39">
        <v>3000</v>
      </c>
      <c r="K47" s="17">
        <f t="shared" si="1"/>
        <v>300</v>
      </c>
      <c r="L47" s="180">
        <v>10</v>
      </c>
      <c r="M47" s="18">
        <f t="shared" ref="M47:M50" si="32">F47/V47*60</f>
        <v>2864.0366972477073</v>
      </c>
      <c r="N47" s="18">
        <f t="shared" si="3"/>
        <v>286.40366972477074</v>
      </c>
      <c r="O47" s="19">
        <f t="shared" si="4"/>
        <v>0</v>
      </c>
      <c r="P47" s="20">
        <f t="shared" si="5"/>
        <v>-13.596330275229263</v>
      </c>
      <c r="Q47" s="176">
        <f t="shared" si="6"/>
        <v>0.95467889908256909</v>
      </c>
      <c r="R47" s="643">
        <f>Q51</f>
        <v>0.96369418129238094</v>
      </c>
      <c r="S47" s="40">
        <v>0.20833333333333334</v>
      </c>
      <c r="T47" s="40">
        <v>0.28402777777777777</v>
      </c>
      <c r="U47" s="28"/>
      <c r="V47" s="181">
        <f t="shared" ref="V47:V50" si="33">(T47-S47)*24*60</f>
        <v>108.99999999999997</v>
      </c>
      <c r="W47" s="23"/>
      <c r="X47" s="23"/>
      <c r="Y47" s="26"/>
      <c r="Z47" s="26"/>
      <c r="AA47" s="627"/>
      <c r="AB47" s="628"/>
      <c r="AC47" s="25">
        <v>4</v>
      </c>
      <c r="AD47" s="25"/>
      <c r="AE47" s="19">
        <f t="shared" si="8"/>
        <v>-135.96330275229275</v>
      </c>
      <c r="AF47" s="176">
        <f t="shared" si="9"/>
        <v>0.95467889908256909</v>
      </c>
      <c r="AG47" s="643">
        <f>AF51</f>
        <v>0.96369418129238105</v>
      </c>
    </row>
    <row r="48" spans="1:33" ht="15.75" customHeight="1">
      <c r="A48" s="649" t="s">
        <v>711</v>
      </c>
      <c r="B48" s="42" t="s">
        <v>127</v>
      </c>
      <c r="C48" s="625" t="s">
        <v>129</v>
      </c>
      <c r="D48" s="626"/>
      <c r="E48" s="42">
        <v>27.17</v>
      </c>
      <c r="F48" s="182">
        <v>4390</v>
      </c>
      <c r="G48" s="175">
        <f t="shared" si="31"/>
        <v>119276.3</v>
      </c>
      <c r="H48" s="37" t="s">
        <v>91</v>
      </c>
      <c r="I48" s="180">
        <v>10</v>
      </c>
      <c r="J48" s="39">
        <v>3000</v>
      </c>
      <c r="K48" s="17">
        <f t="shared" si="1"/>
        <v>300</v>
      </c>
      <c r="L48" s="180">
        <v>10</v>
      </c>
      <c r="M48" s="18">
        <f t="shared" si="32"/>
        <v>2863.0434782608695</v>
      </c>
      <c r="N48" s="18">
        <f t="shared" si="3"/>
        <v>286.30434782608694</v>
      </c>
      <c r="O48" s="19">
        <f t="shared" si="4"/>
        <v>0</v>
      </c>
      <c r="P48" s="20">
        <f t="shared" si="5"/>
        <v>-13.695652173913061</v>
      </c>
      <c r="Q48" s="176">
        <f t="shared" si="6"/>
        <v>0.95434782608695645</v>
      </c>
      <c r="R48" s="644"/>
      <c r="S48" s="40">
        <v>0.2895833333333333</v>
      </c>
      <c r="T48" s="40">
        <v>0.35347222222222219</v>
      </c>
      <c r="U48" s="175">
        <f t="shared" ref="U48:U50" si="34">(S48-T47)*24*60</f>
        <v>7.9999999999999716</v>
      </c>
      <c r="V48" s="181">
        <f t="shared" si="33"/>
        <v>92</v>
      </c>
      <c r="W48" s="23"/>
      <c r="X48" s="23"/>
      <c r="Y48" s="26"/>
      <c r="Z48" s="26"/>
      <c r="AA48" s="627"/>
      <c r="AB48" s="628"/>
      <c r="AC48" s="25"/>
      <c r="AD48" s="25"/>
      <c r="AE48" s="19">
        <f t="shared" si="8"/>
        <v>-136.95652173913049</v>
      </c>
      <c r="AF48" s="176">
        <f t="shared" si="9"/>
        <v>0.95434782608695645</v>
      </c>
      <c r="AG48" s="644"/>
    </row>
    <row r="49" spans="1:33" ht="15.75" customHeight="1">
      <c r="A49" s="649" t="s">
        <v>710</v>
      </c>
      <c r="B49" s="42" t="s">
        <v>127</v>
      </c>
      <c r="C49" s="625" t="s">
        <v>130</v>
      </c>
      <c r="D49" s="626"/>
      <c r="E49" s="42">
        <v>35.869999999999997</v>
      </c>
      <c r="F49" s="182">
        <v>1924</v>
      </c>
      <c r="G49" s="175">
        <f t="shared" si="31"/>
        <v>69013.87999999999</v>
      </c>
      <c r="H49" s="37" t="s">
        <v>91</v>
      </c>
      <c r="I49" s="180">
        <v>9</v>
      </c>
      <c r="J49" s="39">
        <v>3000</v>
      </c>
      <c r="K49" s="17">
        <f t="shared" si="1"/>
        <v>333.33333333333331</v>
      </c>
      <c r="L49" s="180">
        <v>9</v>
      </c>
      <c r="M49" s="18">
        <f t="shared" si="32"/>
        <v>2885.9999999999986</v>
      </c>
      <c r="N49" s="18">
        <f t="shared" si="3"/>
        <v>320.66666666666652</v>
      </c>
      <c r="O49" s="19">
        <f t="shared" si="4"/>
        <v>0</v>
      </c>
      <c r="P49" s="20">
        <f t="shared" si="5"/>
        <v>-12.666666666666799</v>
      </c>
      <c r="Q49" s="176">
        <f t="shared" si="6"/>
        <v>0.96199999999999963</v>
      </c>
      <c r="R49" s="644"/>
      <c r="S49" s="40">
        <v>0.35902777777777772</v>
      </c>
      <c r="T49" s="40">
        <v>0.38680555555555551</v>
      </c>
      <c r="U49" s="175">
        <f t="shared" si="34"/>
        <v>7.9999999999999716</v>
      </c>
      <c r="V49" s="181">
        <f t="shared" si="33"/>
        <v>40.000000000000014</v>
      </c>
      <c r="W49" s="23"/>
      <c r="X49" s="23"/>
      <c r="Y49" s="26"/>
      <c r="Z49" s="26"/>
      <c r="AA49" s="627"/>
      <c r="AB49" s="628"/>
      <c r="AC49" s="25"/>
      <c r="AD49" s="25"/>
      <c r="AE49" s="19">
        <f t="shared" si="8"/>
        <v>-114.00000000000136</v>
      </c>
      <c r="AF49" s="176">
        <f t="shared" si="9"/>
        <v>0.96199999999999952</v>
      </c>
      <c r="AG49" s="644"/>
    </row>
    <row r="50" spans="1:33" ht="15.75" customHeight="1">
      <c r="A50" s="649" t="s">
        <v>711</v>
      </c>
      <c r="B50" s="42" t="s">
        <v>127</v>
      </c>
      <c r="C50" s="625" t="s">
        <v>131</v>
      </c>
      <c r="D50" s="626"/>
      <c r="E50" s="42">
        <v>34.35</v>
      </c>
      <c r="F50" s="182">
        <v>787</v>
      </c>
      <c r="G50" s="175">
        <f t="shared" si="31"/>
        <v>27033.45</v>
      </c>
      <c r="H50" s="37" t="s">
        <v>91</v>
      </c>
      <c r="I50" s="180">
        <v>8</v>
      </c>
      <c r="J50" s="39">
        <v>3000</v>
      </c>
      <c r="K50" s="17">
        <f t="shared" si="1"/>
        <v>375</v>
      </c>
      <c r="L50" s="180">
        <v>8</v>
      </c>
      <c r="M50" s="18">
        <f t="shared" si="32"/>
        <v>2951.2499999999964</v>
      </c>
      <c r="N50" s="18">
        <f t="shared" si="3"/>
        <v>368.90624999999955</v>
      </c>
      <c r="O50" s="19">
        <f t="shared" si="4"/>
        <v>0</v>
      </c>
      <c r="P50" s="20">
        <f t="shared" si="5"/>
        <v>-6.0937500000004547</v>
      </c>
      <c r="Q50" s="176">
        <f t="shared" si="6"/>
        <v>0.98374999999999879</v>
      </c>
      <c r="R50" s="644"/>
      <c r="S50" s="40">
        <v>0.39097222222222217</v>
      </c>
      <c r="T50" s="40">
        <v>0.40208333333333329</v>
      </c>
      <c r="U50" s="175">
        <f t="shared" si="34"/>
        <v>5.9999999999999787</v>
      </c>
      <c r="V50" s="181">
        <f t="shared" si="33"/>
        <v>16.000000000000021</v>
      </c>
      <c r="W50" s="23"/>
      <c r="X50" s="23"/>
      <c r="Y50" s="26"/>
      <c r="Z50" s="26"/>
      <c r="AA50" s="627"/>
      <c r="AB50" s="628"/>
      <c r="AC50" s="25"/>
      <c r="AD50" s="25"/>
      <c r="AE50" s="19">
        <f t="shared" si="8"/>
        <v>-48.750000000003638</v>
      </c>
      <c r="AF50" s="176">
        <f t="shared" si="9"/>
        <v>0.98374999999999879</v>
      </c>
      <c r="AG50" s="644"/>
    </row>
    <row r="51" spans="1:33" ht="15.75" customHeight="1">
      <c r="A51" s="650" t="s">
        <v>710</v>
      </c>
      <c r="B51" s="42" t="s">
        <v>712</v>
      </c>
      <c r="C51" s="629"/>
      <c r="D51" s="630"/>
      <c r="E51" s="173"/>
      <c r="F51" s="182"/>
      <c r="G51" s="175"/>
      <c r="H51" s="182"/>
      <c r="I51" s="29">
        <v>9.25</v>
      </c>
      <c r="J51" s="39">
        <v>3000</v>
      </c>
      <c r="K51" s="17">
        <f t="shared" si="1"/>
        <v>324.32432432432432</v>
      </c>
      <c r="L51" s="29">
        <v>9.25</v>
      </c>
      <c r="M51" s="18">
        <f>AVERAGE(M47:M50)</f>
        <v>2891.0825438771431</v>
      </c>
      <c r="N51" s="17">
        <f t="shared" si="3"/>
        <v>312.54946420293436</v>
      </c>
      <c r="O51" s="19">
        <f t="shared" si="4"/>
        <v>0</v>
      </c>
      <c r="P51" s="20">
        <f t="shared" si="5"/>
        <v>-11.774860121389963</v>
      </c>
      <c r="Q51" s="176">
        <f t="shared" si="6"/>
        <v>0.96369418129238094</v>
      </c>
      <c r="R51" s="645"/>
      <c r="S51" s="40"/>
      <c r="T51" s="40"/>
      <c r="U51" s="175"/>
      <c r="V51" s="181"/>
      <c r="W51" s="23"/>
      <c r="X51" s="23"/>
      <c r="Y51" s="30">
        <f>SUM(Y47:Y50)</f>
        <v>0</v>
      </c>
      <c r="Z51" s="30">
        <f>SUM(Z47:Z50)</f>
        <v>0</v>
      </c>
      <c r="AA51" s="646"/>
      <c r="AB51" s="647"/>
      <c r="AC51" s="30">
        <v>4</v>
      </c>
      <c r="AD51" s="30">
        <f>SUM(AD47:AD50)</f>
        <v>0</v>
      </c>
      <c r="AE51" s="19">
        <f t="shared" si="8"/>
        <v>-108.91745612285695</v>
      </c>
      <c r="AF51" s="176">
        <f t="shared" si="9"/>
        <v>0.96369418129238105</v>
      </c>
      <c r="AG51" s="645"/>
    </row>
    <row r="52" spans="1:33" ht="15.75" customHeight="1">
      <c r="A52" s="641" t="s">
        <v>713</v>
      </c>
      <c r="B52" s="42" t="s">
        <v>92</v>
      </c>
      <c r="C52" s="633" t="s">
        <v>133</v>
      </c>
      <c r="D52" s="633"/>
      <c r="E52" s="42">
        <v>59.04</v>
      </c>
      <c r="F52" s="48">
        <v>1590</v>
      </c>
      <c r="G52" s="175">
        <f t="shared" ref="G52:G58" si="35">E52*F52</f>
        <v>93873.600000000006</v>
      </c>
      <c r="H52" s="37" t="s">
        <v>91</v>
      </c>
      <c r="I52" s="180">
        <v>19</v>
      </c>
      <c r="J52" s="39">
        <v>2000</v>
      </c>
      <c r="K52" s="17">
        <f t="shared" si="1"/>
        <v>105.26315789473684</v>
      </c>
      <c r="L52" s="180">
        <v>19</v>
      </c>
      <c r="M52" s="18">
        <f t="shared" ref="M52" si="36">F52/V52*60</f>
        <v>1907.9999999999991</v>
      </c>
      <c r="N52" s="18">
        <f t="shared" si="3"/>
        <v>100.4210526315789</v>
      </c>
      <c r="O52" s="19">
        <f t="shared" si="4"/>
        <v>0</v>
      </c>
      <c r="P52" s="20">
        <f t="shared" si="5"/>
        <v>-4.8421052631579329</v>
      </c>
      <c r="Q52" s="176">
        <f t="shared" si="6"/>
        <v>0.95399999999999963</v>
      </c>
      <c r="R52" s="637">
        <f>Q59</f>
        <v>0.9568885878690826</v>
      </c>
      <c r="S52" s="40">
        <v>0.20833333333333334</v>
      </c>
      <c r="T52" s="40">
        <v>0.24305555555555558</v>
      </c>
      <c r="U52" s="28"/>
      <c r="V52" s="181">
        <f t="shared" ref="V52:V58" si="37">(T52-S52)*24*60</f>
        <v>50.000000000000021</v>
      </c>
      <c r="W52" s="23"/>
      <c r="X52" s="23"/>
      <c r="Y52" s="28"/>
      <c r="Z52" s="28"/>
      <c r="AA52" s="632"/>
      <c r="AB52" s="632"/>
      <c r="AC52" s="25">
        <v>7</v>
      </c>
      <c r="AD52" s="25"/>
      <c r="AE52" s="19">
        <f t="shared" si="8"/>
        <v>-92.000000000000909</v>
      </c>
      <c r="AF52" s="176">
        <f t="shared" si="9"/>
        <v>0.95399999999999952</v>
      </c>
      <c r="AG52" s="637">
        <f>AF59</f>
        <v>0.9568885878690826</v>
      </c>
    </row>
    <row r="53" spans="1:33" ht="15.75" customHeight="1">
      <c r="A53" s="641" t="s">
        <v>713</v>
      </c>
      <c r="B53" s="42" t="s">
        <v>103</v>
      </c>
      <c r="C53" s="633" t="s">
        <v>132</v>
      </c>
      <c r="D53" s="633"/>
      <c r="E53" s="42">
        <v>51.44</v>
      </c>
      <c r="F53" s="48">
        <v>5548</v>
      </c>
      <c r="G53" s="175">
        <f t="shared" si="35"/>
        <v>285389.12</v>
      </c>
      <c r="H53" s="37" t="s">
        <v>91</v>
      </c>
      <c r="I53" s="180">
        <v>18</v>
      </c>
      <c r="J53" s="39">
        <v>2000</v>
      </c>
      <c r="K53" s="17">
        <f t="shared" si="1"/>
        <v>111.11111111111111</v>
      </c>
      <c r="L53" s="180">
        <v>18</v>
      </c>
      <c r="M53" s="18">
        <f>F53/V53*60</f>
        <v>1913.1034482758623</v>
      </c>
      <c r="N53" s="18">
        <f t="shared" si="3"/>
        <v>106.28352490421457</v>
      </c>
      <c r="O53" s="19">
        <f t="shared" si="4"/>
        <v>0</v>
      </c>
      <c r="P53" s="20">
        <f t="shared" si="5"/>
        <v>-4.8275862068965409</v>
      </c>
      <c r="Q53" s="176">
        <f t="shared" si="6"/>
        <v>0.9565517241379311</v>
      </c>
      <c r="R53" s="637"/>
      <c r="S53" s="40">
        <v>0.24722222222222226</v>
      </c>
      <c r="T53" s="40">
        <v>0.36805555555555558</v>
      </c>
      <c r="U53" s="175">
        <f t="shared" ref="U53:U58" si="38">IF(S53=TIME(17,0,0),"",(S53-T52)*24*60)</f>
        <v>6.0000000000000187</v>
      </c>
      <c r="V53" s="181">
        <f t="shared" si="37"/>
        <v>173.99999999999997</v>
      </c>
      <c r="W53" s="23"/>
      <c r="X53" s="23"/>
      <c r="Y53" s="23"/>
      <c r="Z53" s="23"/>
      <c r="AA53" s="632"/>
      <c r="AB53" s="632"/>
      <c r="AC53" s="25"/>
      <c r="AD53" s="25"/>
      <c r="AE53" s="19">
        <f t="shared" si="8"/>
        <v>-86.89655172413768</v>
      </c>
      <c r="AF53" s="176">
        <f t="shared" si="9"/>
        <v>0.95655172413793121</v>
      </c>
      <c r="AG53" s="637"/>
    </row>
    <row r="54" spans="1:33" ht="15.75" customHeight="1">
      <c r="A54" s="641" t="s">
        <v>713</v>
      </c>
      <c r="B54" s="42" t="s">
        <v>92</v>
      </c>
      <c r="C54" s="625" t="s">
        <v>135</v>
      </c>
      <c r="D54" s="626"/>
      <c r="E54" s="42">
        <v>51.44</v>
      </c>
      <c r="F54" s="48">
        <v>1556</v>
      </c>
      <c r="G54" s="175">
        <f t="shared" si="35"/>
        <v>80040.639999999999</v>
      </c>
      <c r="H54" s="37" t="s">
        <v>91</v>
      </c>
      <c r="I54" s="180">
        <v>25</v>
      </c>
      <c r="J54" s="39">
        <v>2000</v>
      </c>
      <c r="K54" s="17">
        <f t="shared" si="1"/>
        <v>80</v>
      </c>
      <c r="L54" s="180">
        <v>25</v>
      </c>
      <c r="M54" s="18">
        <f t="shared" ref="M54:M58" si="39">F54/V54*60</f>
        <v>1905.3061224489802</v>
      </c>
      <c r="N54" s="18">
        <f t="shared" si="3"/>
        <v>76.212244897959209</v>
      </c>
      <c r="O54" s="19">
        <f t="shared" si="4"/>
        <v>0</v>
      </c>
      <c r="P54" s="20">
        <f t="shared" si="5"/>
        <v>-3.7877551020407907</v>
      </c>
      <c r="Q54" s="176">
        <f t="shared" si="6"/>
        <v>0.95265306122449012</v>
      </c>
      <c r="R54" s="637"/>
      <c r="S54" s="40">
        <v>0.37152777777777779</v>
      </c>
      <c r="T54" s="40">
        <v>0.40555555555555556</v>
      </c>
      <c r="U54" s="175">
        <f t="shared" si="38"/>
        <v>4.9999999999999822</v>
      </c>
      <c r="V54" s="181">
        <f t="shared" si="37"/>
        <v>48.999999999999986</v>
      </c>
      <c r="W54" s="23"/>
      <c r="X54" s="23"/>
      <c r="Y54" s="26"/>
      <c r="Z54" s="26"/>
      <c r="AA54" s="632"/>
      <c r="AB54" s="632"/>
      <c r="AC54" s="25"/>
      <c r="AD54" s="25"/>
      <c r="AE54" s="19">
        <f t="shared" si="8"/>
        <v>-94.693877551019796</v>
      </c>
      <c r="AF54" s="176">
        <f t="shared" si="9"/>
        <v>0.95265306122449012</v>
      </c>
      <c r="AG54" s="637"/>
    </row>
    <row r="55" spans="1:33" ht="15.75" customHeight="1">
      <c r="A55" s="641" t="s">
        <v>713</v>
      </c>
      <c r="B55" s="42" t="s">
        <v>96</v>
      </c>
      <c r="C55" s="169" t="s">
        <v>136</v>
      </c>
      <c r="D55" s="170"/>
      <c r="E55" s="42">
        <v>46</v>
      </c>
      <c r="F55" s="48">
        <v>1502</v>
      </c>
      <c r="G55" s="175">
        <f t="shared" si="35"/>
        <v>69092</v>
      </c>
      <c r="H55" s="37" t="s">
        <v>91</v>
      </c>
      <c r="I55" s="180">
        <v>16</v>
      </c>
      <c r="J55" s="39">
        <v>2000</v>
      </c>
      <c r="K55" s="17">
        <f t="shared" si="1"/>
        <v>125</v>
      </c>
      <c r="L55" s="180">
        <v>16</v>
      </c>
      <c r="M55" s="18">
        <f t="shared" si="39"/>
        <v>1917.4468085106384</v>
      </c>
      <c r="N55" s="18">
        <f t="shared" si="3"/>
        <v>119.8404255319149</v>
      </c>
      <c r="O55" s="19">
        <f t="shared" si="4"/>
        <v>0</v>
      </c>
      <c r="P55" s="20">
        <f t="shared" si="5"/>
        <v>-5.159574468085097</v>
      </c>
      <c r="Q55" s="176">
        <f t="shared" si="6"/>
        <v>0.95872340425531921</v>
      </c>
      <c r="R55" s="637"/>
      <c r="S55" s="40">
        <v>0.40972222222222221</v>
      </c>
      <c r="T55" s="40">
        <v>0.44236111111111109</v>
      </c>
      <c r="U55" s="175">
        <f t="shared" si="38"/>
        <v>5.9999999999999787</v>
      </c>
      <c r="V55" s="181">
        <f t="shared" si="37"/>
        <v>46.999999999999993</v>
      </c>
      <c r="W55" s="23"/>
      <c r="X55" s="23"/>
      <c r="Y55" s="26"/>
      <c r="Z55" s="26"/>
      <c r="AA55" s="632"/>
      <c r="AB55" s="632"/>
      <c r="AC55" s="25"/>
      <c r="AD55" s="25"/>
      <c r="AE55" s="19">
        <f t="shared" si="8"/>
        <v>-82.553191489361552</v>
      </c>
      <c r="AF55" s="176">
        <f t="shared" si="9"/>
        <v>0.95872340425531921</v>
      </c>
      <c r="AG55" s="637"/>
    </row>
    <row r="56" spans="1:33" ht="15.75" customHeight="1">
      <c r="A56" s="641" t="s">
        <v>713</v>
      </c>
      <c r="B56" s="42" t="s">
        <v>96</v>
      </c>
      <c r="C56" s="169" t="s">
        <v>137</v>
      </c>
      <c r="D56" s="170"/>
      <c r="E56" s="42">
        <v>46</v>
      </c>
      <c r="F56" s="48">
        <v>1920</v>
      </c>
      <c r="G56" s="175">
        <f t="shared" si="35"/>
        <v>88320</v>
      </c>
      <c r="H56" s="37" t="s">
        <v>91</v>
      </c>
      <c r="I56" s="180">
        <v>17</v>
      </c>
      <c r="J56" s="39">
        <v>2000</v>
      </c>
      <c r="K56" s="17">
        <f t="shared" si="1"/>
        <v>117.64705882352941</v>
      </c>
      <c r="L56" s="180">
        <v>17</v>
      </c>
      <c r="M56" s="18">
        <f t="shared" si="39"/>
        <v>1919.9999999999991</v>
      </c>
      <c r="N56" s="18">
        <f t="shared" si="3"/>
        <v>112.94117647058818</v>
      </c>
      <c r="O56" s="19">
        <f t="shared" si="4"/>
        <v>0</v>
      </c>
      <c r="P56" s="20">
        <f t="shared" si="5"/>
        <v>-4.7058823529412308</v>
      </c>
      <c r="Q56" s="176">
        <f t="shared" si="6"/>
        <v>0.95999999999999952</v>
      </c>
      <c r="R56" s="637"/>
      <c r="S56" s="40">
        <v>0.4458333333333333</v>
      </c>
      <c r="T56" s="40">
        <v>0.48749999999999999</v>
      </c>
      <c r="U56" s="175">
        <f t="shared" si="38"/>
        <v>4.9999999999999822</v>
      </c>
      <c r="V56" s="181">
        <f t="shared" si="37"/>
        <v>60.000000000000028</v>
      </c>
      <c r="W56" s="23"/>
      <c r="X56" s="23"/>
      <c r="Y56" s="26"/>
      <c r="Z56" s="26"/>
      <c r="AA56" s="632"/>
      <c r="AB56" s="632"/>
      <c r="AC56" s="25"/>
      <c r="AD56" s="25"/>
      <c r="AE56" s="19">
        <f t="shared" si="8"/>
        <v>-80.000000000000909</v>
      </c>
      <c r="AF56" s="176">
        <f t="shared" si="9"/>
        <v>0.95999999999999952</v>
      </c>
      <c r="AG56" s="637"/>
    </row>
    <row r="57" spans="1:33" ht="15.75" customHeight="1">
      <c r="A57" s="641" t="s">
        <v>713</v>
      </c>
      <c r="B57" s="42" t="s">
        <v>92</v>
      </c>
      <c r="C57" s="625" t="s">
        <v>138</v>
      </c>
      <c r="D57" s="626"/>
      <c r="E57" s="42">
        <v>55.56</v>
      </c>
      <c r="F57" s="48">
        <v>2242</v>
      </c>
      <c r="G57" s="175">
        <f t="shared" si="35"/>
        <v>124565.52</v>
      </c>
      <c r="H57" s="37" t="s">
        <v>91</v>
      </c>
      <c r="I57" s="180">
        <v>17</v>
      </c>
      <c r="J57" s="39">
        <v>2000</v>
      </c>
      <c r="K57" s="17">
        <f t="shared" si="1"/>
        <v>117.64705882352941</v>
      </c>
      <c r="L57" s="180">
        <v>17</v>
      </c>
      <c r="M57" s="18">
        <f t="shared" si="39"/>
        <v>1921.7142857142837</v>
      </c>
      <c r="N57" s="18">
        <f t="shared" si="3"/>
        <v>113.04201680672257</v>
      </c>
      <c r="O57" s="19">
        <f t="shared" si="4"/>
        <v>0</v>
      </c>
      <c r="P57" s="20">
        <f t="shared" si="5"/>
        <v>-4.6050420168068342</v>
      </c>
      <c r="Q57" s="176">
        <f t="shared" si="6"/>
        <v>0.96085714285714185</v>
      </c>
      <c r="R57" s="637"/>
      <c r="S57" s="40">
        <v>0.70833333333333337</v>
      </c>
      <c r="T57" s="40">
        <v>0.75694444444444453</v>
      </c>
      <c r="U57" s="175" t="str">
        <f t="shared" si="38"/>
        <v/>
      </c>
      <c r="V57" s="181">
        <f t="shared" si="37"/>
        <v>70.000000000000071</v>
      </c>
      <c r="W57" s="23"/>
      <c r="X57" s="23"/>
      <c r="Y57" s="26"/>
      <c r="Z57" s="26"/>
      <c r="AA57" s="627"/>
      <c r="AB57" s="628"/>
      <c r="AC57" s="25"/>
      <c r="AD57" s="25"/>
      <c r="AE57" s="19">
        <f t="shared" si="8"/>
        <v>-78.285714285716267</v>
      </c>
      <c r="AF57" s="176">
        <f t="shared" si="9"/>
        <v>0.96085714285714185</v>
      </c>
      <c r="AG57" s="637"/>
    </row>
    <row r="58" spans="1:33" ht="15.75" customHeight="1">
      <c r="A58" s="641" t="s">
        <v>713</v>
      </c>
      <c r="B58" s="42" t="s">
        <v>92</v>
      </c>
      <c r="C58" s="625" t="s">
        <v>420</v>
      </c>
      <c r="D58" s="626"/>
      <c r="E58" s="42">
        <v>58.17</v>
      </c>
      <c r="F58" s="48">
        <v>2930</v>
      </c>
      <c r="G58" s="175">
        <f t="shared" si="35"/>
        <v>170438.1</v>
      </c>
      <c r="H58" s="37" t="s">
        <v>91</v>
      </c>
      <c r="I58" s="180">
        <v>13</v>
      </c>
      <c r="J58" s="39">
        <v>2000</v>
      </c>
      <c r="K58" s="17">
        <f t="shared" si="1"/>
        <v>153.84615384615384</v>
      </c>
      <c r="L58" s="180">
        <v>13</v>
      </c>
      <c r="M58" s="18">
        <f t="shared" si="39"/>
        <v>1910.8695652173915</v>
      </c>
      <c r="N58" s="18">
        <f t="shared" si="3"/>
        <v>146.98996655518397</v>
      </c>
      <c r="O58" s="19">
        <f t="shared" si="4"/>
        <v>0</v>
      </c>
      <c r="P58" s="20">
        <f t="shared" si="5"/>
        <v>-6.8561872909698707</v>
      </c>
      <c r="Q58" s="176">
        <f t="shared" si="6"/>
        <v>0.95543478260869585</v>
      </c>
      <c r="R58" s="637"/>
      <c r="S58" s="40">
        <v>0.76250000000000007</v>
      </c>
      <c r="T58" s="40">
        <v>0.82638888888888895</v>
      </c>
      <c r="U58" s="175">
        <f t="shared" si="38"/>
        <v>7.9999999999999716</v>
      </c>
      <c r="V58" s="181">
        <f t="shared" si="37"/>
        <v>92</v>
      </c>
      <c r="W58" s="23"/>
      <c r="X58" s="23"/>
      <c r="Y58" s="26"/>
      <c r="Z58" s="26"/>
      <c r="AA58" s="627"/>
      <c r="AB58" s="628"/>
      <c r="AC58" s="25"/>
      <c r="AD58" s="25"/>
      <c r="AE58" s="19">
        <f t="shared" si="8"/>
        <v>-89.130434782608518</v>
      </c>
      <c r="AF58" s="176">
        <f t="shared" si="9"/>
        <v>0.95543478260869574</v>
      </c>
      <c r="AG58" s="637"/>
    </row>
    <row r="59" spans="1:33">
      <c r="A59" s="642" t="s">
        <v>713</v>
      </c>
      <c r="B59" s="42" t="s">
        <v>700</v>
      </c>
      <c r="C59" s="638"/>
      <c r="D59" s="638"/>
      <c r="E59" s="177"/>
      <c r="F59" s="44"/>
      <c r="G59" s="17"/>
      <c r="H59" s="182"/>
      <c r="I59" s="29">
        <v>17.857142857142858</v>
      </c>
      <c r="J59" s="39">
        <v>2000</v>
      </c>
      <c r="K59" s="17">
        <f t="shared" si="1"/>
        <v>112</v>
      </c>
      <c r="L59" s="29">
        <v>17.857142857142858</v>
      </c>
      <c r="M59" s="18">
        <f>AVERAGE(M52:M58)</f>
        <v>1913.7771757381652</v>
      </c>
      <c r="N59" s="17">
        <f t="shared" si="3"/>
        <v>107.17152184133725</v>
      </c>
      <c r="O59" s="19">
        <f t="shared" si="4"/>
        <v>0</v>
      </c>
      <c r="P59" s="20">
        <f t="shared" si="5"/>
        <v>-4.8284781586627474</v>
      </c>
      <c r="Q59" s="176">
        <f t="shared" si="6"/>
        <v>0.9568885878690826</v>
      </c>
      <c r="R59" s="637"/>
      <c r="S59" s="40"/>
      <c r="T59" s="40"/>
      <c r="U59" s="175"/>
      <c r="V59" s="181"/>
      <c r="W59" s="17"/>
      <c r="X59" s="17"/>
      <c r="Y59" s="30">
        <f>SUM(Y52:Y58)</f>
        <v>0</v>
      </c>
      <c r="Z59" s="30">
        <f>SUM(Z52:Z58)</f>
        <v>0</v>
      </c>
      <c r="AA59" s="631"/>
      <c r="AB59" s="631"/>
      <c r="AC59" s="30">
        <v>7</v>
      </c>
      <c r="AD59" s="30">
        <f>SUM(AD52:AD58)</f>
        <v>0</v>
      </c>
      <c r="AE59" s="19">
        <f>M59-J59</f>
        <v>-86.22282426183483</v>
      </c>
      <c r="AF59" s="176">
        <f t="shared" si="9"/>
        <v>0.9568885878690826</v>
      </c>
      <c r="AG59" s="637"/>
    </row>
    <row r="60" spans="1:33" ht="15.75" customHeight="1">
      <c r="A60" s="639" t="s">
        <v>714</v>
      </c>
      <c r="B60" s="182" t="s">
        <v>127</v>
      </c>
      <c r="C60" s="633" t="s">
        <v>141</v>
      </c>
      <c r="D60" s="633"/>
      <c r="E60" s="42">
        <v>35.119999999999997</v>
      </c>
      <c r="F60" s="48">
        <v>4033</v>
      </c>
      <c r="G60" s="175">
        <f t="shared" ref="G60:G63" si="40">E60*F60</f>
        <v>141638.96</v>
      </c>
      <c r="H60" s="37" t="s">
        <v>91</v>
      </c>
      <c r="I60" s="180">
        <v>10</v>
      </c>
      <c r="J60" s="39">
        <v>3000</v>
      </c>
      <c r="K60" s="17">
        <f t="shared" si="1"/>
        <v>300</v>
      </c>
      <c r="L60" s="180">
        <v>10</v>
      </c>
      <c r="M60" s="18">
        <f t="shared" ref="M60:M63" si="41">F60/V60*60</f>
        <v>2880.7142857142862</v>
      </c>
      <c r="N60" s="17">
        <f t="shared" si="3"/>
        <v>288.07142857142861</v>
      </c>
      <c r="O60" s="19">
        <f t="shared" si="4"/>
        <v>0</v>
      </c>
      <c r="P60" s="20">
        <f t="shared" si="5"/>
        <v>-11.928571428571388</v>
      </c>
      <c r="Q60" s="176">
        <f t="shared" si="6"/>
        <v>0.96023809523809533</v>
      </c>
      <c r="R60" s="637">
        <f>Q64</f>
        <v>0.96013994833782623</v>
      </c>
      <c r="S60" s="40">
        <v>0.20833333333333334</v>
      </c>
      <c r="T60" s="40">
        <v>0.26666666666666666</v>
      </c>
      <c r="U60" s="175"/>
      <c r="V60" s="181">
        <f t="shared" ref="V60:V63" si="42">(T60-S60)*24*60</f>
        <v>83.999999999999986</v>
      </c>
      <c r="W60" s="23"/>
      <c r="X60" s="23"/>
      <c r="Y60" s="28"/>
      <c r="Z60" s="28"/>
      <c r="AA60" s="632"/>
      <c r="AB60" s="632"/>
      <c r="AC60" s="25">
        <v>4</v>
      </c>
      <c r="AD60" s="25"/>
      <c r="AE60" s="19">
        <f t="shared" ref="AE60:AE73" si="43">M60-J60</f>
        <v>-119.28571428571377</v>
      </c>
      <c r="AF60" s="176">
        <f t="shared" si="9"/>
        <v>0.96023809523809545</v>
      </c>
      <c r="AG60" s="637">
        <f>AF64</f>
        <v>0.96013994833782623</v>
      </c>
    </row>
    <row r="61" spans="1:33" ht="15.75" customHeight="1">
      <c r="A61" s="639" t="s">
        <v>714</v>
      </c>
      <c r="B61" s="182" t="s">
        <v>127</v>
      </c>
      <c r="C61" s="633" t="s">
        <v>142</v>
      </c>
      <c r="D61" s="633"/>
      <c r="E61" s="42">
        <v>26.78</v>
      </c>
      <c r="F61" s="48">
        <v>2532</v>
      </c>
      <c r="G61" s="175">
        <f t="shared" si="40"/>
        <v>67806.960000000006</v>
      </c>
      <c r="H61" s="37" t="s">
        <v>91</v>
      </c>
      <c r="I61" s="180">
        <v>10</v>
      </c>
      <c r="J61" s="39">
        <v>3000</v>
      </c>
      <c r="K61" s="17">
        <f t="shared" si="1"/>
        <v>300</v>
      </c>
      <c r="L61" s="180">
        <v>10</v>
      </c>
      <c r="M61" s="18">
        <f t="shared" si="41"/>
        <v>2866.4150943396239</v>
      </c>
      <c r="N61" s="17">
        <f t="shared" si="3"/>
        <v>286.64150943396237</v>
      </c>
      <c r="O61" s="19">
        <f t="shared" si="4"/>
        <v>0</v>
      </c>
      <c r="P61" s="20">
        <f t="shared" si="5"/>
        <v>-13.358490566037631</v>
      </c>
      <c r="Q61" s="176">
        <f t="shared" si="6"/>
        <v>0.95547169811320787</v>
      </c>
      <c r="R61" s="637"/>
      <c r="S61" s="40">
        <v>0.27152777777777776</v>
      </c>
      <c r="T61" s="40">
        <v>0.30833333333333329</v>
      </c>
      <c r="U61" s="175">
        <f t="shared" ref="U61:U63" si="44">(S61-T60)*24*60</f>
        <v>6.9999999999999751</v>
      </c>
      <c r="V61" s="181">
        <f t="shared" si="42"/>
        <v>52.999999999999972</v>
      </c>
      <c r="W61" s="175"/>
      <c r="X61" s="175"/>
      <c r="Y61" s="175"/>
      <c r="Z61" s="175"/>
      <c r="AA61" s="632"/>
      <c r="AB61" s="632"/>
      <c r="AC61" s="25"/>
      <c r="AD61" s="25"/>
      <c r="AE61" s="19">
        <f t="shared" si="43"/>
        <v>-133.58490566037608</v>
      </c>
      <c r="AF61" s="176">
        <f t="shared" si="9"/>
        <v>0.95547169811320798</v>
      </c>
      <c r="AG61" s="637"/>
    </row>
    <row r="62" spans="1:33" ht="15.75" customHeight="1">
      <c r="A62" s="639" t="s">
        <v>714</v>
      </c>
      <c r="B62" s="182" t="s">
        <v>127</v>
      </c>
      <c r="C62" s="633" t="s">
        <v>143</v>
      </c>
      <c r="D62" s="633"/>
      <c r="E62" s="42">
        <v>36.14</v>
      </c>
      <c r="F62" s="48">
        <v>1554</v>
      </c>
      <c r="G62" s="175">
        <f t="shared" si="40"/>
        <v>56161.56</v>
      </c>
      <c r="H62" s="37" t="s">
        <v>91</v>
      </c>
      <c r="I62" s="180">
        <v>11</v>
      </c>
      <c r="J62" s="39">
        <v>3000</v>
      </c>
      <c r="K62" s="17">
        <f t="shared" si="1"/>
        <v>272.72727272727275</v>
      </c>
      <c r="L62" s="180">
        <v>11</v>
      </c>
      <c r="M62" s="18">
        <f t="shared" si="41"/>
        <v>2913.7500000000036</v>
      </c>
      <c r="N62" s="17">
        <f t="shared" si="3"/>
        <v>264.88636363636397</v>
      </c>
      <c r="O62" s="19">
        <f t="shared" si="4"/>
        <v>0</v>
      </c>
      <c r="P62" s="20">
        <f t="shared" si="5"/>
        <v>-7.8409090909087809</v>
      </c>
      <c r="Q62" s="176">
        <f t="shared" si="6"/>
        <v>0.97125000000000117</v>
      </c>
      <c r="R62" s="637"/>
      <c r="S62" s="40">
        <v>0.31319444444444439</v>
      </c>
      <c r="T62" s="40">
        <v>0.33541666666666659</v>
      </c>
      <c r="U62" s="175">
        <f t="shared" si="44"/>
        <v>6.9999999999999751</v>
      </c>
      <c r="V62" s="181">
        <f t="shared" si="42"/>
        <v>31.999999999999964</v>
      </c>
      <c r="W62" s="175"/>
      <c r="X62" s="175"/>
      <c r="Y62" s="175"/>
      <c r="Z62" s="175"/>
      <c r="AA62" s="632"/>
      <c r="AB62" s="632"/>
      <c r="AC62" s="25"/>
      <c r="AD62" s="25"/>
      <c r="AE62" s="19">
        <f t="shared" si="43"/>
        <v>-86.249999999996362</v>
      </c>
      <c r="AF62" s="176">
        <f t="shared" si="9"/>
        <v>0.97125000000000117</v>
      </c>
      <c r="AG62" s="637"/>
    </row>
    <row r="63" spans="1:33" ht="15.75" customHeight="1">
      <c r="A63" s="639" t="s">
        <v>714</v>
      </c>
      <c r="B63" s="182" t="s">
        <v>127</v>
      </c>
      <c r="C63" s="633" t="s">
        <v>144</v>
      </c>
      <c r="D63" s="633"/>
      <c r="E63" s="42">
        <v>35.869999999999997</v>
      </c>
      <c r="F63" s="48">
        <v>3576</v>
      </c>
      <c r="G63" s="175">
        <f t="shared" si="40"/>
        <v>128271.12</v>
      </c>
      <c r="H63" s="37" t="s">
        <v>91</v>
      </c>
      <c r="I63" s="180">
        <v>10</v>
      </c>
      <c r="J63" s="39">
        <v>3000</v>
      </c>
      <c r="K63" s="17">
        <f t="shared" si="1"/>
        <v>300</v>
      </c>
      <c r="L63" s="180">
        <v>10</v>
      </c>
      <c r="M63" s="18">
        <f t="shared" si="41"/>
        <v>2860.8000000000011</v>
      </c>
      <c r="N63" s="17">
        <f t="shared" si="3"/>
        <v>286.0800000000001</v>
      </c>
      <c r="O63" s="19">
        <f t="shared" si="4"/>
        <v>0</v>
      </c>
      <c r="P63" s="20">
        <f t="shared" si="5"/>
        <v>-13.919999999999902</v>
      </c>
      <c r="Q63" s="176">
        <f t="shared" si="6"/>
        <v>0.95360000000000034</v>
      </c>
      <c r="R63" s="637"/>
      <c r="S63" s="40">
        <v>0.33958333333333324</v>
      </c>
      <c r="T63" s="40">
        <v>0.39166666666666655</v>
      </c>
      <c r="U63" s="175">
        <f t="shared" si="44"/>
        <v>5.9999999999999787</v>
      </c>
      <c r="V63" s="181">
        <f t="shared" si="42"/>
        <v>74.999999999999972</v>
      </c>
      <c r="W63" s="175"/>
      <c r="X63" s="175"/>
      <c r="Y63" s="175"/>
      <c r="Z63" s="175"/>
      <c r="AA63" s="632"/>
      <c r="AB63" s="632"/>
      <c r="AC63" s="25"/>
      <c r="AD63" s="25"/>
      <c r="AE63" s="19">
        <f t="shared" si="43"/>
        <v>-139.19999999999891</v>
      </c>
      <c r="AF63" s="176">
        <f t="shared" si="9"/>
        <v>0.95360000000000034</v>
      </c>
      <c r="AG63" s="637"/>
    </row>
    <row r="64" spans="1:33">
      <c r="A64" s="640" t="s">
        <v>714</v>
      </c>
      <c r="B64" s="42" t="s">
        <v>700</v>
      </c>
      <c r="C64" s="638"/>
      <c r="D64" s="638"/>
      <c r="E64" s="177"/>
      <c r="F64" s="44"/>
      <c r="G64" s="17"/>
      <c r="H64" s="182"/>
      <c r="I64" s="29">
        <v>10.25</v>
      </c>
      <c r="J64" s="39">
        <v>3000</v>
      </c>
      <c r="K64" s="17">
        <f t="shared" si="1"/>
        <v>292.6829268292683</v>
      </c>
      <c r="L64" s="29">
        <v>10.25</v>
      </c>
      <c r="M64" s="18">
        <f>AVERAGE(M60:M63)</f>
        <v>2880.4198450134786</v>
      </c>
      <c r="N64" s="17">
        <f t="shared" si="3"/>
        <v>281.01657024521745</v>
      </c>
      <c r="O64" s="19">
        <f t="shared" si="4"/>
        <v>0</v>
      </c>
      <c r="P64" s="20">
        <f t="shared" si="5"/>
        <v>-11.666356584050845</v>
      </c>
      <c r="Q64" s="176">
        <f t="shared" si="6"/>
        <v>0.96013994833782623</v>
      </c>
      <c r="R64" s="637"/>
      <c r="S64" s="40"/>
      <c r="T64" s="40"/>
      <c r="U64" s="17"/>
      <c r="V64" s="181"/>
      <c r="W64" s="17"/>
      <c r="X64" s="17"/>
      <c r="Y64" s="30">
        <f>SUM(Y60:Y63)</f>
        <v>0</v>
      </c>
      <c r="Z64" s="30">
        <f>SUM(Z60:Z63)</f>
        <v>0</v>
      </c>
      <c r="AA64" s="631"/>
      <c r="AB64" s="631"/>
      <c r="AC64" s="30">
        <v>4</v>
      </c>
      <c r="AD64" s="30">
        <f>SUM(AD60:AD63)</f>
        <v>0</v>
      </c>
      <c r="AE64" s="19">
        <f t="shared" si="43"/>
        <v>-119.58015498652139</v>
      </c>
      <c r="AF64" s="176">
        <f t="shared" si="9"/>
        <v>0.96013994833782623</v>
      </c>
      <c r="AG64" s="637"/>
    </row>
    <row r="65" spans="1:33" ht="15.75" customHeight="1">
      <c r="A65" s="634" t="s">
        <v>715</v>
      </c>
      <c r="B65" s="182" t="s">
        <v>116</v>
      </c>
      <c r="C65" s="633" t="s">
        <v>145</v>
      </c>
      <c r="D65" s="633"/>
      <c r="E65" s="42">
        <v>19.02</v>
      </c>
      <c r="F65" s="182">
        <v>5100</v>
      </c>
      <c r="G65" s="175">
        <f t="shared" ref="G65:G72" si="45">E65*F65</f>
        <v>97002</v>
      </c>
      <c r="H65" s="37">
        <v>2</v>
      </c>
      <c r="I65" s="180">
        <v>14</v>
      </c>
      <c r="J65" s="39">
        <v>2400</v>
      </c>
      <c r="K65" s="17">
        <f t="shared" si="1"/>
        <v>171.42857142857142</v>
      </c>
      <c r="L65" s="180">
        <v>14</v>
      </c>
      <c r="M65" s="18">
        <f t="shared" ref="M65:M72" si="46">F65/V65*60</f>
        <v>2300.7518796992485</v>
      </c>
      <c r="N65" s="17">
        <f t="shared" si="3"/>
        <v>164.33941997851775</v>
      </c>
      <c r="O65" s="19">
        <f t="shared" si="4"/>
        <v>0</v>
      </c>
      <c r="P65" s="20">
        <f t="shared" si="5"/>
        <v>-7.089151450053663</v>
      </c>
      <c r="Q65" s="176">
        <f t="shared" si="6"/>
        <v>0.95864661654135364</v>
      </c>
      <c r="R65" s="637">
        <f>Q73</f>
        <v>0.95968417562409336</v>
      </c>
      <c r="S65" s="40">
        <v>8.3333333333333329E-2</v>
      </c>
      <c r="T65" s="40">
        <v>0.17569444444444443</v>
      </c>
      <c r="U65" s="28"/>
      <c r="V65" s="181">
        <f t="shared" ref="V65:V72" si="47">(T65-S65)*24*60</f>
        <v>132.99999999999997</v>
      </c>
      <c r="W65" s="23">
        <f>T65</f>
        <v>0.17569444444444443</v>
      </c>
      <c r="X65" s="23">
        <f>S66</f>
        <v>0.19513888888888886</v>
      </c>
      <c r="Y65" s="23"/>
      <c r="Z65" s="23"/>
      <c r="AA65" s="632"/>
      <c r="AB65" s="632"/>
      <c r="AC65" s="25">
        <v>8</v>
      </c>
      <c r="AD65" s="25"/>
      <c r="AE65" s="19">
        <f t="shared" si="43"/>
        <v>-99.248120300751452</v>
      </c>
      <c r="AF65" s="176">
        <f t="shared" si="9"/>
        <v>0.95864661654135352</v>
      </c>
      <c r="AG65" s="637">
        <f>AF73</f>
        <v>0.95968417562409325</v>
      </c>
    </row>
    <row r="66" spans="1:33" ht="15.75" customHeight="1">
      <c r="A66" s="635" t="s">
        <v>715</v>
      </c>
      <c r="B66" s="182" t="s">
        <v>116</v>
      </c>
      <c r="C66" s="633" t="s">
        <v>146</v>
      </c>
      <c r="D66" s="633"/>
      <c r="E66" s="42">
        <v>20.36</v>
      </c>
      <c r="F66" s="182">
        <v>2300</v>
      </c>
      <c r="G66" s="175">
        <f t="shared" si="45"/>
        <v>46828</v>
      </c>
      <c r="H66" s="37">
        <v>2</v>
      </c>
      <c r="I66" s="180">
        <v>17</v>
      </c>
      <c r="J66" s="39">
        <v>2400</v>
      </c>
      <c r="K66" s="17">
        <f t="shared" si="1"/>
        <v>141.1764705882353</v>
      </c>
      <c r="L66" s="180">
        <v>17</v>
      </c>
      <c r="M66" s="18">
        <f t="shared" si="46"/>
        <v>2300.0000000000005</v>
      </c>
      <c r="N66" s="17">
        <f t="shared" si="3"/>
        <v>135.29411764705884</v>
      </c>
      <c r="O66" s="19">
        <f t="shared" si="4"/>
        <v>0</v>
      </c>
      <c r="P66" s="20">
        <f t="shared" si="5"/>
        <v>-5.8823529411764639</v>
      </c>
      <c r="Q66" s="176">
        <f t="shared" si="6"/>
        <v>0.95833333333333337</v>
      </c>
      <c r="R66" s="637"/>
      <c r="S66" s="40">
        <v>0.19513888888888886</v>
      </c>
      <c r="T66" s="40">
        <v>0.23680555555555552</v>
      </c>
      <c r="U66" s="175">
        <f t="shared" ref="U66:U72" si="48">(S66-T65)*24*60</f>
        <v>27.999999999999979</v>
      </c>
      <c r="V66" s="181">
        <f t="shared" si="47"/>
        <v>59.999999999999986</v>
      </c>
      <c r="W66" s="23"/>
      <c r="X66" s="23"/>
      <c r="Y66" s="23"/>
      <c r="Z66" s="23"/>
      <c r="AA66" s="632"/>
      <c r="AB66" s="632"/>
      <c r="AC66" s="25"/>
      <c r="AD66" s="25"/>
      <c r="AE66" s="19">
        <f t="shared" si="43"/>
        <v>-99.999999999999545</v>
      </c>
      <c r="AF66" s="176">
        <f t="shared" si="9"/>
        <v>0.95833333333333348</v>
      </c>
      <c r="AG66" s="637"/>
    </row>
    <row r="67" spans="1:33" ht="15.75" customHeight="1">
      <c r="A67" s="635" t="s">
        <v>715</v>
      </c>
      <c r="B67" s="182" t="s">
        <v>116</v>
      </c>
      <c r="C67" s="633" t="s">
        <v>120</v>
      </c>
      <c r="D67" s="633"/>
      <c r="E67" s="42">
        <v>25.99</v>
      </c>
      <c r="F67" s="182">
        <v>1213</v>
      </c>
      <c r="G67" s="175">
        <f t="shared" si="45"/>
        <v>31525.87</v>
      </c>
      <c r="H67" s="37" t="s">
        <v>91</v>
      </c>
      <c r="I67" s="180">
        <v>18</v>
      </c>
      <c r="J67" s="39">
        <v>2400</v>
      </c>
      <c r="K67" s="17">
        <f t="shared" si="1"/>
        <v>133.33333333333334</v>
      </c>
      <c r="L67" s="180">
        <v>18</v>
      </c>
      <c r="M67" s="18">
        <f t="shared" si="46"/>
        <v>2347.7419354838735</v>
      </c>
      <c r="N67" s="17">
        <f t="shared" si="3"/>
        <v>130.43010752688187</v>
      </c>
      <c r="O67" s="19">
        <f t="shared" si="4"/>
        <v>0</v>
      </c>
      <c r="P67" s="20">
        <f t="shared" si="5"/>
        <v>-2.9032258064514735</v>
      </c>
      <c r="Q67" s="176">
        <f t="shared" si="6"/>
        <v>0.97822580645161394</v>
      </c>
      <c r="R67" s="637"/>
      <c r="S67" s="40">
        <v>0.24166666666666664</v>
      </c>
      <c r="T67" s="40">
        <v>0.2631944444444444</v>
      </c>
      <c r="U67" s="175">
        <f t="shared" si="48"/>
        <v>7.0000000000000151</v>
      </c>
      <c r="V67" s="181">
        <f t="shared" si="47"/>
        <v>30.999999999999972</v>
      </c>
      <c r="W67" s="23"/>
      <c r="X67" s="23"/>
      <c r="Y67" s="23"/>
      <c r="Z67" s="23"/>
      <c r="AA67" s="632"/>
      <c r="AB67" s="632"/>
      <c r="AC67" s="25"/>
      <c r="AD67" s="25"/>
      <c r="AE67" s="19">
        <f t="shared" si="43"/>
        <v>-52.258064516126524</v>
      </c>
      <c r="AF67" s="176">
        <f t="shared" si="9"/>
        <v>0.97822580645161394</v>
      </c>
      <c r="AG67" s="637"/>
    </row>
    <row r="68" spans="1:33" ht="15.75" customHeight="1">
      <c r="A68" s="635" t="s">
        <v>715</v>
      </c>
      <c r="B68" s="182" t="s">
        <v>116</v>
      </c>
      <c r="C68" s="633" t="s">
        <v>148</v>
      </c>
      <c r="D68" s="633"/>
      <c r="E68" s="42">
        <v>28.29</v>
      </c>
      <c r="F68" s="182">
        <v>4045</v>
      </c>
      <c r="G68" s="175">
        <f t="shared" si="45"/>
        <v>114433.05</v>
      </c>
      <c r="H68" s="37" t="s">
        <v>91</v>
      </c>
      <c r="I68" s="180">
        <v>21</v>
      </c>
      <c r="J68" s="39">
        <v>2400</v>
      </c>
      <c r="K68" s="17">
        <f t="shared" si="1"/>
        <v>114.28571428571429</v>
      </c>
      <c r="L68" s="180">
        <v>21</v>
      </c>
      <c r="M68" s="18">
        <f t="shared" si="46"/>
        <v>2289.6226415094334</v>
      </c>
      <c r="N68" s="17">
        <f t="shared" si="3"/>
        <v>109.0296495956873</v>
      </c>
      <c r="O68" s="19">
        <f t="shared" si="4"/>
        <v>0</v>
      </c>
      <c r="P68" s="20">
        <f t="shared" si="5"/>
        <v>-5.2560646900269887</v>
      </c>
      <c r="Q68" s="176">
        <f t="shared" si="6"/>
        <v>0.9540094339622639</v>
      </c>
      <c r="R68" s="637"/>
      <c r="S68" s="40">
        <v>0.26874999999999993</v>
      </c>
      <c r="T68" s="40">
        <v>0.34236111111111106</v>
      </c>
      <c r="U68" s="175">
        <f t="shared" si="48"/>
        <v>7.9999999999999716</v>
      </c>
      <c r="V68" s="181">
        <f t="shared" si="47"/>
        <v>106.00000000000003</v>
      </c>
      <c r="W68" s="23"/>
      <c r="X68" s="23"/>
      <c r="Y68" s="23"/>
      <c r="Z68" s="23"/>
      <c r="AA68" s="632"/>
      <c r="AB68" s="632"/>
      <c r="AC68" s="25"/>
      <c r="AD68" s="25"/>
      <c r="AE68" s="19">
        <f t="shared" si="43"/>
        <v>-110.37735849056662</v>
      </c>
      <c r="AF68" s="176">
        <f t="shared" si="9"/>
        <v>0.9540094339622639</v>
      </c>
      <c r="AG68" s="637"/>
    </row>
    <row r="69" spans="1:33" ht="15.75" customHeight="1">
      <c r="A69" s="635" t="s">
        <v>715</v>
      </c>
      <c r="B69" s="182" t="s">
        <v>116</v>
      </c>
      <c r="C69" s="633" t="s">
        <v>149</v>
      </c>
      <c r="D69" s="633"/>
      <c r="E69" s="42">
        <v>24.25</v>
      </c>
      <c r="F69" s="182">
        <v>4155</v>
      </c>
      <c r="G69" s="175">
        <f t="shared" si="45"/>
        <v>100758.75</v>
      </c>
      <c r="H69" s="37" t="s">
        <v>91</v>
      </c>
      <c r="I69" s="180">
        <v>17</v>
      </c>
      <c r="J69" s="39">
        <v>2400</v>
      </c>
      <c r="K69" s="17">
        <f t="shared" ref="K69:K73" si="49">J69/I69</f>
        <v>141.1764705882353</v>
      </c>
      <c r="L69" s="180">
        <v>17</v>
      </c>
      <c r="M69" s="18">
        <f t="shared" si="46"/>
        <v>2287.1559633027523</v>
      </c>
      <c r="N69" s="17">
        <f t="shared" ref="N69:N73" si="50">M69/L69</f>
        <v>134.5385860766325</v>
      </c>
      <c r="O69" s="19">
        <f t="shared" ref="O69:O73" si="51">L69-I69</f>
        <v>0</v>
      </c>
      <c r="P69" s="20">
        <f t="shared" ref="P69:P73" si="52">N69-K69</f>
        <v>-6.637884511602806</v>
      </c>
      <c r="Q69" s="176">
        <f t="shared" ref="Q69:Q73" si="53">N69/K69</f>
        <v>0.95298165137614677</v>
      </c>
      <c r="R69" s="637"/>
      <c r="S69" s="40">
        <v>0.3479166666666666</v>
      </c>
      <c r="T69" s="40">
        <v>0.42361111111111105</v>
      </c>
      <c r="U69" s="175">
        <f t="shared" si="48"/>
        <v>7.9999999999999716</v>
      </c>
      <c r="V69" s="181">
        <f t="shared" si="47"/>
        <v>109.00000000000001</v>
      </c>
      <c r="W69" s="23"/>
      <c r="X69" s="23"/>
      <c r="Y69" s="23"/>
      <c r="Z69" s="23"/>
      <c r="AA69" s="632"/>
      <c r="AB69" s="632"/>
      <c r="AC69" s="25"/>
      <c r="AD69" s="25"/>
      <c r="AE69" s="19">
        <f t="shared" si="43"/>
        <v>-112.8440366972477</v>
      </c>
      <c r="AF69" s="176">
        <f t="shared" ref="AF69:AF73" si="54">M69/J69</f>
        <v>0.95298165137614677</v>
      </c>
      <c r="AG69" s="637"/>
    </row>
    <row r="70" spans="1:33" ht="15.75" customHeight="1">
      <c r="A70" s="635" t="s">
        <v>716</v>
      </c>
      <c r="B70" s="182" t="s">
        <v>116</v>
      </c>
      <c r="C70" s="633" t="s">
        <v>150</v>
      </c>
      <c r="D70" s="633"/>
      <c r="E70" s="42">
        <v>23.89</v>
      </c>
      <c r="F70" s="182">
        <v>3897</v>
      </c>
      <c r="G70" s="175">
        <f t="shared" si="45"/>
        <v>93099.33</v>
      </c>
      <c r="H70" s="37" t="s">
        <v>91</v>
      </c>
      <c r="I70" s="180">
        <v>13</v>
      </c>
      <c r="J70" s="39">
        <v>2400</v>
      </c>
      <c r="K70" s="17">
        <f t="shared" si="49"/>
        <v>184.61538461538461</v>
      </c>
      <c r="L70" s="180">
        <v>13</v>
      </c>
      <c r="M70" s="18">
        <f t="shared" si="46"/>
        <v>2292.3529411764716</v>
      </c>
      <c r="N70" s="17">
        <f t="shared" si="50"/>
        <v>176.33484162895937</v>
      </c>
      <c r="O70" s="19">
        <f t="shared" si="51"/>
        <v>0</v>
      </c>
      <c r="P70" s="20">
        <f t="shared" si="52"/>
        <v>-8.280542986425246</v>
      </c>
      <c r="Q70" s="176">
        <f t="shared" si="53"/>
        <v>0.9551470588235299</v>
      </c>
      <c r="R70" s="637"/>
      <c r="S70" s="40">
        <v>0.42708333333333326</v>
      </c>
      <c r="T70" s="40">
        <v>0.49791666666666656</v>
      </c>
      <c r="U70" s="175">
        <f t="shared" si="48"/>
        <v>4.9999999999999822</v>
      </c>
      <c r="V70" s="181">
        <f t="shared" si="47"/>
        <v>101.99999999999996</v>
      </c>
      <c r="W70" s="23">
        <f>T70</f>
        <v>0.49791666666666656</v>
      </c>
      <c r="X70" s="23">
        <f>S71</f>
        <v>0.53749999999999987</v>
      </c>
      <c r="Y70" s="23"/>
      <c r="Z70" s="23"/>
      <c r="AA70" s="632"/>
      <c r="AB70" s="632"/>
      <c r="AC70" s="25"/>
      <c r="AD70" s="25"/>
      <c r="AE70" s="19">
        <f t="shared" si="43"/>
        <v>-107.64705882352837</v>
      </c>
      <c r="AF70" s="176">
        <f t="shared" si="54"/>
        <v>0.95514705882352979</v>
      </c>
      <c r="AG70" s="637"/>
    </row>
    <row r="71" spans="1:33" ht="15.75" customHeight="1">
      <c r="A71" s="635" t="s">
        <v>716</v>
      </c>
      <c r="B71" s="182" t="s">
        <v>116</v>
      </c>
      <c r="C71" s="625" t="s">
        <v>145</v>
      </c>
      <c r="D71" s="626"/>
      <c r="E71" s="42">
        <v>19.02</v>
      </c>
      <c r="F71" s="182">
        <v>4238</v>
      </c>
      <c r="G71" s="175">
        <f t="shared" si="45"/>
        <v>80606.759999999995</v>
      </c>
      <c r="H71" s="37" t="s">
        <v>91</v>
      </c>
      <c r="I71" s="180">
        <v>14</v>
      </c>
      <c r="J71" s="39">
        <v>2400</v>
      </c>
      <c r="K71" s="17">
        <f t="shared" si="49"/>
        <v>171.42857142857142</v>
      </c>
      <c r="L71" s="180">
        <v>14</v>
      </c>
      <c r="M71" s="18">
        <f t="shared" si="46"/>
        <v>2290.810810810809</v>
      </c>
      <c r="N71" s="17">
        <f t="shared" si="50"/>
        <v>163.62934362934351</v>
      </c>
      <c r="O71" s="19">
        <f t="shared" si="51"/>
        <v>0</v>
      </c>
      <c r="P71" s="20">
        <f t="shared" si="52"/>
        <v>-7.7992277992279071</v>
      </c>
      <c r="Q71" s="176">
        <f t="shared" si="53"/>
        <v>0.95450450450450386</v>
      </c>
      <c r="R71" s="637"/>
      <c r="S71" s="40">
        <v>0.53749999999999987</v>
      </c>
      <c r="T71" s="40">
        <v>0.61458333333333326</v>
      </c>
      <c r="U71" s="175">
        <f t="shared" si="48"/>
        <v>56.999999999999957</v>
      </c>
      <c r="V71" s="181">
        <f t="shared" si="47"/>
        <v>111.00000000000009</v>
      </c>
      <c r="W71" s="23"/>
      <c r="X71" s="23"/>
      <c r="Y71" s="26"/>
      <c r="Z71" s="26"/>
      <c r="AA71" s="627"/>
      <c r="AB71" s="628"/>
      <c r="AC71" s="25"/>
      <c r="AD71" s="25"/>
      <c r="AE71" s="19">
        <f t="shared" si="43"/>
        <v>-109.18918918919098</v>
      </c>
      <c r="AF71" s="176">
        <f t="shared" si="54"/>
        <v>0.95450450450450375</v>
      </c>
      <c r="AG71" s="637"/>
    </row>
    <row r="72" spans="1:33" ht="15.75" customHeight="1">
      <c r="A72" s="635" t="s">
        <v>716</v>
      </c>
      <c r="B72" s="182" t="s">
        <v>116</v>
      </c>
      <c r="C72" s="625" t="s">
        <v>146</v>
      </c>
      <c r="D72" s="626"/>
      <c r="E72" s="42">
        <v>20.36</v>
      </c>
      <c r="F72" s="182">
        <v>1854</v>
      </c>
      <c r="G72" s="175">
        <f t="shared" si="45"/>
        <v>37747.440000000002</v>
      </c>
      <c r="H72" s="37" t="s">
        <v>91</v>
      </c>
      <c r="I72" s="180">
        <v>17</v>
      </c>
      <c r="J72" s="39">
        <v>2400</v>
      </c>
      <c r="K72" s="17">
        <f t="shared" si="49"/>
        <v>141.1764705882353</v>
      </c>
      <c r="L72" s="180">
        <v>17</v>
      </c>
      <c r="M72" s="18">
        <f t="shared" si="46"/>
        <v>2317.5000000000009</v>
      </c>
      <c r="N72" s="17">
        <f t="shared" si="50"/>
        <v>136.32352941176475</v>
      </c>
      <c r="O72" s="19">
        <f t="shared" si="51"/>
        <v>0</v>
      </c>
      <c r="P72" s="20">
        <f t="shared" si="52"/>
        <v>-4.8529411764705515</v>
      </c>
      <c r="Q72" s="176">
        <f t="shared" si="53"/>
        <v>0.96562500000000029</v>
      </c>
      <c r="R72" s="637"/>
      <c r="S72" s="40">
        <v>0.61874999999999991</v>
      </c>
      <c r="T72" s="40">
        <v>0.65208333333333324</v>
      </c>
      <c r="U72" s="175">
        <f t="shared" si="48"/>
        <v>5.9999999999999787</v>
      </c>
      <c r="V72" s="181">
        <f t="shared" si="47"/>
        <v>47.999999999999986</v>
      </c>
      <c r="W72" s="23"/>
      <c r="X72" s="23"/>
      <c r="Y72" s="26"/>
      <c r="Z72" s="26"/>
      <c r="AA72" s="627"/>
      <c r="AB72" s="628"/>
      <c r="AC72" s="25"/>
      <c r="AD72" s="25"/>
      <c r="AE72" s="19">
        <f t="shared" si="43"/>
        <v>-82.499999999999091</v>
      </c>
      <c r="AF72" s="176">
        <f t="shared" si="54"/>
        <v>0.9656250000000004</v>
      </c>
      <c r="AG72" s="637"/>
    </row>
    <row r="73" spans="1:33" ht="16.5" customHeight="1">
      <c r="A73" s="636" t="s">
        <v>716</v>
      </c>
      <c r="B73" s="42" t="s">
        <v>703</v>
      </c>
      <c r="C73" s="629"/>
      <c r="D73" s="630"/>
      <c r="E73" s="177"/>
      <c r="F73" s="44"/>
      <c r="G73" s="17"/>
      <c r="H73" s="182"/>
      <c r="I73" s="29">
        <v>16.375</v>
      </c>
      <c r="J73" s="39">
        <v>2400</v>
      </c>
      <c r="K73" s="17">
        <f t="shared" si="49"/>
        <v>146.56488549618319</v>
      </c>
      <c r="L73" s="29">
        <v>16.375</v>
      </c>
      <c r="M73" s="18">
        <f>AVERAGE(M65:M72)</f>
        <v>2303.2420214978238</v>
      </c>
      <c r="N73" s="17">
        <f t="shared" si="50"/>
        <v>140.65600131284421</v>
      </c>
      <c r="O73" s="19">
        <f t="shared" si="51"/>
        <v>0</v>
      </c>
      <c r="P73" s="20">
        <f t="shared" si="52"/>
        <v>-5.9088841833389836</v>
      </c>
      <c r="Q73" s="176">
        <f t="shared" si="53"/>
        <v>0.95968417562409336</v>
      </c>
      <c r="R73" s="637"/>
      <c r="S73" s="40"/>
      <c r="T73" s="40"/>
      <c r="U73" s="17"/>
      <c r="V73" s="181"/>
      <c r="W73" s="17"/>
      <c r="X73" s="17"/>
      <c r="Y73" s="30">
        <f>SUM(Y65:Y72)</f>
        <v>0</v>
      </c>
      <c r="Z73" s="30">
        <f>SUM(Z65:Z72)</f>
        <v>0</v>
      </c>
      <c r="AA73" s="631"/>
      <c r="AB73" s="631"/>
      <c r="AC73" s="30">
        <v>8</v>
      </c>
      <c r="AD73" s="30">
        <f>SUM(AD65:AD72)</f>
        <v>0</v>
      </c>
      <c r="AE73" s="19">
        <f t="shared" si="43"/>
        <v>-96.757978502176229</v>
      </c>
      <c r="AF73" s="176">
        <f t="shared" si="54"/>
        <v>0.95968417562409325</v>
      </c>
      <c r="AG73" s="637"/>
    </row>
    <row r="74" spans="1:33">
      <c r="D74" s="33"/>
      <c r="E74" s="33"/>
    </row>
  </sheetData>
  <mergeCells count="193">
    <mergeCell ref="AG65:AG73"/>
    <mergeCell ref="C66:D66"/>
    <mergeCell ref="AA66:AB66"/>
    <mergeCell ref="C67:D67"/>
    <mergeCell ref="AA67:AB67"/>
    <mergeCell ref="C68:D68"/>
    <mergeCell ref="AA68:AB68"/>
    <mergeCell ref="C69:D69"/>
    <mergeCell ref="AA69:AB69"/>
    <mergeCell ref="C70:D70"/>
    <mergeCell ref="A65:A73"/>
    <mergeCell ref="C65:D65"/>
    <mergeCell ref="R65:R73"/>
    <mergeCell ref="AA65:AB65"/>
    <mergeCell ref="AA70:AB70"/>
    <mergeCell ref="C71:D71"/>
    <mergeCell ref="AA71:AB71"/>
    <mergeCell ref="A60:A64"/>
    <mergeCell ref="C60:D60"/>
    <mergeCell ref="R60:R64"/>
    <mergeCell ref="AA60:AB60"/>
    <mergeCell ref="C72:D72"/>
    <mergeCell ref="AA72:AB72"/>
    <mergeCell ref="C73:D73"/>
    <mergeCell ref="AA73:AB73"/>
    <mergeCell ref="AG60:AG64"/>
    <mergeCell ref="C61:D61"/>
    <mergeCell ref="AA61:AB61"/>
    <mergeCell ref="C62:D62"/>
    <mergeCell ref="AA62:AB62"/>
    <mergeCell ref="C63:D63"/>
    <mergeCell ref="AA56:AB56"/>
    <mergeCell ref="C57:D57"/>
    <mergeCell ref="AA57:AB57"/>
    <mergeCell ref="C58:D58"/>
    <mergeCell ref="AA58:AB58"/>
    <mergeCell ref="C59:D59"/>
    <mergeCell ref="AA59:AB59"/>
    <mergeCell ref="AA63:AB63"/>
    <mergeCell ref="C64:D64"/>
    <mergeCell ref="AA64:AB64"/>
    <mergeCell ref="A52:A59"/>
    <mergeCell ref="C52:D52"/>
    <mergeCell ref="R52:R59"/>
    <mergeCell ref="AA52:AB52"/>
    <mergeCell ref="AG52:AG59"/>
    <mergeCell ref="C53:D53"/>
    <mergeCell ref="AA53:AB53"/>
    <mergeCell ref="C54:D54"/>
    <mergeCell ref="AA54:AB54"/>
    <mergeCell ref="AA55:AB55"/>
    <mergeCell ref="AG47:AG51"/>
    <mergeCell ref="C48:D48"/>
    <mergeCell ref="AA48:AB48"/>
    <mergeCell ref="C49:D49"/>
    <mergeCell ref="AA49:AB49"/>
    <mergeCell ref="C50:D50"/>
    <mergeCell ref="AA50:AB50"/>
    <mergeCell ref="C51:D51"/>
    <mergeCell ref="AA51:AB51"/>
    <mergeCell ref="AA45:AB45"/>
    <mergeCell ref="C46:D46"/>
    <mergeCell ref="AA46:AB46"/>
    <mergeCell ref="A47:A51"/>
    <mergeCell ref="C47:D47"/>
    <mergeCell ref="R47:R51"/>
    <mergeCell ref="AA47:AB47"/>
    <mergeCell ref="AA41:AB41"/>
    <mergeCell ref="C42:D42"/>
    <mergeCell ref="AA42:AB42"/>
    <mergeCell ref="C43:D43"/>
    <mergeCell ref="AA43:AB43"/>
    <mergeCell ref="C44:D44"/>
    <mergeCell ref="AA44:AB44"/>
    <mergeCell ref="A38:A46"/>
    <mergeCell ref="C38:D38"/>
    <mergeCell ref="R38:R46"/>
    <mergeCell ref="AA38:AB38"/>
    <mergeCell ref="A31:A37"/>
    <mergeCell ref="C31:D31"/>
    <mergeCell ref="R31:R37"/>
    <mergeCell ref="AA31:AB31"/>
    <mergeCell ref="AA36:AB36"/>
    <mergeCell ref="C37:D37"/>
    <mergeCell ref="AA37:AB37"/>
    <mergeCell ref="AG38:AG46"/>
    <mergeCell ref="C39:D39"/>
    <mergeCell ref="AA39:AB39"/>
    <mergeCell ref="C40:D40"/>
    <mergeCell ref="AA40:AB40"/>
    <mergeCell ref="C41:D41"/>
    <mergeCell ref="AG31:AG37"/>
    <mergeCell ref="C32:D32"/>
    <mergeCell ref="AA32:AB32"/>
    <mergeCell ref="C33:D33"/>
    <mergeCell ref="AA33:AB33"/>
    <mergeCell ref="C34:D34"/>
    <mergeCell ref="AA34:AB34"/>
    <mergeCell ref="C35:D35"/>
    <mergeCell ref="AA35:AB35"/>
    <mergeCell ref="C36:D36"/>
    <mergeCell ref="C45:D45"/>
    <mergeCell ref="AG24:AG30"/>
    <mergeCell ref="C25:D25"/>
    <mergeCell ref="AA25:AB25"/>
    <mergeCell ref="C26:D26"/>
    <mergeCell ref="AA26:AB26"/>
    <mergeCell ref="C27:D27"/>
    <mergeCell ref="AA27:AB27"/>
    <mergeCell ref="C28:D28"/>
    <mergeCell ref="AA28:AB28"/>
    <mergeCell ref="C29:D29"/>
    <mergeCell ref="C30:D30"/>
    <mergeCell ref="AA30:AB30"/>
    <mergeCell ref="AA19:AB19"/>
    <mergeCell ref="C23:D23"/>
    <mergeCell ref="AA23:AB23"/>
    <mergeCell ref="A24:A30"/>
    <mergeCell ref="C24:D24"/>
    <mergeCell ref="R24:R30"/>
    <mergeCell ref="AA24:AB24"/>
    <mergeCell ref="AA29:AB29"/>
    <mergeCell ref="A15:A23"/>
    <mergeCell ref="C15:D15"/>
    <mergeCell ref="R15:R23"/>
    <mergeCell ref="AA15:AB15"/>
    <mergeCell ref="AA8:AB8"/>
    <mergeCell ref="A9:A14"/>
    <mergeCell ref="C9:D9"/>
    <mergeCell ref="R9:R14"/>
    <mergeCell ref="AA9:AB9"/>
    <mergeCell ref="AA14:AB14"/>
    <mergeCell ref="AG15:AG23"/>
    <mergeCell ref="C16:D16"/>
    <mergeCell ref="AA16:AB16"/>
    <mergeCell ref="C17:D17"/>
    <mergeCell ref="AA17:AB17"/>
    <mergeCell ref="C18:D18"/>
    <mergeCell ref="AG9:AG14"/>
    <mergeCell ref="C10:D10"/>
    <mergeCell ref="AA10:AB10"/>
    <mergeCell ref="C11:D11"/>
    <mergeCell ref="AA11:AB11"/>
    <mergeCell ref="C12:D12"/>
    <mergeCell ref="AA12:AB12"/>
    <mergeCell ref="C13:D13"/>
    <mergeCell ref="AA13:AB13"/>
    <mergeCell ref="C14:D14"/>
    <mergeCell ref="AA18:AB18"/>
    <mergeCell ref="C19:D19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7:D7"/>
    <mergeCell ref="AA7:AB7"/>
    <mergeCell ref="C8:D8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63:O70 O59:O60 O73 O5:O9 O14:O16 O23:O57">
    <cfRule type="cellIs" dxfId="568" priority="61" operator="greaterThan">
      <formula>0</formula>
    </cfRule>
  </conditionalFormatting>
  <conditionalFormatting sqref="P5:P7 P63 AE63 P65:P70 P31:P36 P60 P9 P14:P16 P24:P29 P52:P57 P38:P50 AE5:AE60 AE65:AE73">
    <cfRule type="cellIs" dxfId="567" priority="65" operator="lessThan">
      <formula>0</formula>
    </cfRule>
  </conditionalFormatting>
  <conditionalFormatting sqref="AF63 Q63:Q70 Q59:Q60 Q73 Q5:Q9 Q14:Q16 Q23:Q57 AF5:AF60 AF65:AF73">
    <cfRule type="cellIs" dxfId="566" priority="62" operator="greaterThan">
      <formula>1</formula>
    </cfRule>
    <cfRule type="cellIs" dxfId="565" priority="63" operator="lessThan">
      <formula>0.8</formula>
    </cfRule>
  </conditionalFormatting>
  <conditionalFormatting sqref="AG15:AG16 R15:R16 AG63 R63:R70 AG59:AG60 R59:R60 R73 AG5:AG9 R5:R9 AG23:AG57 R23:R57">
    <cfRule type="cellIs" dxfId="564" priority="67" operator="lessThan">
      <formula>0.8</formula>
    </cfRule>
  </conditionalFormatting>
  <conditionalFormatting sqref="AG47">
    <cfRule type="cellIs" dxfId="563" priority="69" operator="lessThan">
      <formula>0.8</formula>
    </cfRule>
  </conditionalFormatting>
  <conditionalFormatting sqref="AG24:AG29">
    <cfRule type="cellIs" dxfId="562" priority="66" operator="lessThan">
      <formula>0.8</formula>
    </cfRule>
  </conditionalFormatting>
  <conditionalFormatting sqref="AG31">
    <cfRule type="cellIs" dxfId="561" priority="68" operator="lessThan">
      <formula>0.8</formula>
    </cfRule>
  </conditionalFormatting>
  <conditionalFormatting sqref="AG38:AG45">
    <cfRule type="cellIs" dxfId="560" priority="64" operator="lessThan">
      <formula>0.8</formula>
    </cfRule>
  </conditionalFormatting>
  <conditionalFormatting sqref="AE64">
    <cfRule type="cellIs" dxfId="559" priority="60" operator="lessThan">
      <formula>0</formula>
    </cfRule>
  </conditionalFormatting>
  <conditionalFormatting sqref="AF64">
    <cfRule type="cellIs" dxfId="558" priority="58" operator="greaterThan">
      <formula>1</formula>
    </cfRule>
    <cfRule type="cellIs" dxfId="557" priority="59" operator="lessThan">
      <formula>0.8</formula>
    </cfRule>
  </conditionalFormatting>
  <conditionalFormatting sqref="O17:O18">
    <cfRule type="cellIs" dxfId="556" priority="53" operator="greaterThan">
      <formula>0</formula>
    </cfRule>
  </conditionalFormatting>
  <conditionalFormatting sqref="P17:P18">
    <cfRule type="cellIs" dxfId="555" priority="56" operator="lessThan">
      <formula>0</formula>
    </cfRule>
  </conditionalFormatting>
  <conditionalFormatting sqref="Q17:Q18">
    <cfRule type="cellIs" dxfId="554" priority="54" operator="greaterThan">
      <formula>1</formula>
    </cfRule>
    <cfRule type="cellIs" dxfId="553" priority="55" operator="lessThan">
      <formula>0.8</formula>
    </cfRule>
  </conditionalFormatting>
  <conditionalFormatting sqref="R17:R18 AG17:AG18">
    <cfRule type="cellIs" dxfId="552" priority="57" operator="lessThan">
      <formula>0.8</formula>
    </cfRule>
  </conditionalFormatting>
  <conditionalFormatting sqref="O10:O13">
    <cfRule type="cellIs" dxfId="551" priority="49" operator="greaterThan">
      <formula>0</formula>
    </cfRule>
  </conditionalFormatting>
  <conditionalFormatting sqref="P10:P13">
    <cfRule type="cellIs" dxfId="550" priority="52" operator="lessThan">
      <formula>0</formula>
    </cfRule>
  </conditionalFormatting>
  <conditionalFormatting sqref="Q10:Q13">
    <cfRule type="cellIs" dxfId="549" priority="50" operator="greaterThan">
      <formula>1</formula>
    </cfRule>
    <cfRule type="cellIs" dxfId="548" priority="51" operator="lessThan">
      <formula>0.8</formula>
    </cfRule>
  </conditionalFormatting>
  <conditionalFormatting sqref="O58">
    <cfRule type="cellIs" dxfId="547" priority="44" operator="greaterThan">
      <formula>0</formula>
    </cfRule>
  </conditionalFormatting>
  <conditionalFormatting sqref="P58">
    <cfRule type="cellIs" dxfId="546" priority="47" operator="lessThan">
      <formula>0</formula>
    </cfRule>
  </conditionalFormatting>
  <conditionalFormatting sqref="Q58">
    <cfRule type="cellIs" dxfId="545" priority="45" operator="greaterThan">
      <formula>1</formula>
    </cfRule>
    <cfRule type="cellIs" dxfId="544" priority="46" operator="lessThan">
      <formula>0.8</formula>
    </cfRule>
  </conditionalFormatting>
  <conditionalFormatting sqref="R58 AG58">
    <cfRule type="cellIs" dxfId="543" priority="48" operator="lessThan">
      <formula>0.8</formula>
    </cfRule>
  </conditionalFormatting>
  <conditionalFormatting sqref="O62">
    <cfRule type="cellIs" dxfId="542" priority="39" operator="greaterThan">
      <formula>0</formula>
    </cfRule>
  </conditionalFormatting>
  <conditionalFormatting sqref="P62 AE62">
    <cfRule type="cellIs" dxfId="541" priority="42" operator="lessThan">
      <formula>0</formula>
    </cfRule>
  </conditionalFormatting>
  <conditionalFormatting sqref="Q62 AF62">
    <cfRule type="cellIs" dxfId="540" priority="40" operator="greaterThan">
      <formula>1</formula>
    </cfRule>
    <cfRule type="cellIs" dxfId="539" priority="41" operator="lessThan">
      <formula>0.8</formula>
    </cfRule>
  </conditionalFormatting>
  <conditionalFormatting sqref="R62 AG62">
    <cfRule type="cellIs" dxfId="538" priority="43" operator="lessThan">
      <formula>0.8</formula>
    </cfRule>
  </conditionalFormatting>
  <conditionalFormatting sqref="O71">
    <cfRule type="cellIs" dxfId="537" priority="34" operator="greaterThan">
      <formula>0</formula>
    </cfRule>
  </conditionalFormatting>
  <conditionalFormatting sqref="P71">
    <cfRule type="cellIs" dxfId="536" priority="37" operator="lessThan">
      <formula>0</formula>
    </cfRule>
  </conditionalFormatting>
  <conditionalFormatting sqref="Q71">
    <cfRule type="cellIs" dxfId="535" priority="35" operator="greaterThan">
      <formula>1</formula>
    </cfRule>
    <cfRule type="cellIs" dxfId="534" priority="36" operator="lessThan">
      <formula>0.8</formula>
    </cfRule>
  </conditionalFormatting>
  <conditionalFormatting sqref="R71">
    <cfRule type="cellIs" dxfId="533" priority="38" operator="lessThan">
      <formula>0.8</formula>
    </cfRule>
  </conditionalFormatting>
  <conditionalFormatting sqref="O19:O20">
    <cfRule type="cellIs" dxfId="532" priority="29" operator="greaterThan">
      <formula>0</formula>
    </cfRule>
  </conditionalFormatting>
  <conditionalFormatting sqref="P19:P20">
    <cfRule type="cellIs" dxfId="531" priority="32" operator="lessThan">
      <formula>0</formula>
    </cfRule>
  </conditionalFormatting>
  <conditionalFormatting sqref="Q19:Q20">
    <cfRule type="cellIs" dxfId="530" priority="30" operator="greaterThan">
      <formula>1</formula>
    </cfRule>
    <cfRule type="cellIs" dxfId="529" priority="31" operator="lessThan">
      <formula>0.8</formula>
    </cfRule>
  </conditionalFormatting>
  <conditionalFormatting sqref="R19:R20 AG19:AG20">
    <cfRule type="cellIs" dxfId="528" priority="33" operator="lessThan">
      <formula>0.8</formula>
    </cfRule>
  </conditionalFormatting>
  <conditionalFormatting sqref="O61">
    <cfRule type="cellIs" dxfId="527" priority="24" operator="greaterThan">
      <formula>0</formula>
    </cfRule>
  </conditionalFormatting>
  <conditionalFormatting sqref="P61 AE61">
    <cfRule type="cellIs" dxfId="526" priority="27" operator="lessThan">
      <formula>0</formula>
    </cfRule>
  </conditionalFormatting>
  <conditionalFormatting sqref="Q61 AF61">
    <cfRule type="cellIs" dxfId="525" priority="25" operator="greaterThan">
      <formula>1</formula>
    </cfRule>
    <cfRule type="cellIs" dxfId="524" priority="26" operator="lessThan">
      <formula>0.8</formula>
    </cfRule>
  </conditionalFormatting>
  <conditionalFormatting sqref="R61 AG61">
    <cfRule type="cellIs" dxfId="523" priority="28" operator="lessThan">
      <formula>0.8</formula>
    </cfRule>
  </conditionalFormatting>
  <conditionalFormatting sqref="O21">
    <cfRule type="cellIs" dxfId="522" priority="19" operator="greaterThan">
      <formula>0</formula>
    </cfRule>
  </conditionalFormatting>
  <conditionalFormatting sqref="P21">
    <cfRule type="cellIs" dxfId="521" priority="22" operator="lessThan">
      <formula>0</formula>
    </cfRule>
  </conditionalFormatting>
  <conditionalFormatting sqref="Q21">
    <cfRule type="cellIs" dxfId="520" priority="20" operator="greaterThan">
      <formula>1</formula>
    </cfRule>
    <cfRule type="cellIs" dxfId="519" priority="21" operator="lessThan">
      <formula>0.8</formula>
    </cfRule>
  </conditionalFormatting>
  <conditionalFormatting sqref="AG21 R21">
    <cfRule type="cellIs" dxfId="518" priority="23" operator="lessThan">
      <formula>0.8</formula>
    </cfRule>
  </conditionalFormatting>
  <conditionalFormatting sqref="O22">
    <cfRule type="cellIs" dxfId="517" priority="14" operator="greaterThan">
      <formula>0</formula>
    </cfRule>
  </conditionalFormatting>
  <conditionalFormatting sqref="P22">
    <cfRule type="cellIs" dxfId="516" priority="17" operator="lessThan">
      <formula>0</formula>
    </cfRule>
  </conditionalFormatting>
  <conditionalFormatting sqref="Q22">
    <cfRule type="cellIs" dxfId="515" priority="15" operator="greaterThan">
      <formula>1</formula>
    </cfRule>
    <cfRule type="cellIs" dxfId="514" priority="16" operator="lessThan">
      <formula>0.8</formula>
    </cfRule>
  </conditionalFormatting>
  <conditionalFormatting sqref="AG22 R22">
    <cfRule type="cellIs" dxfId="513" priority="18" operator="lessThan">
      <formula>0.8</formula>
    </cfRule>
  </conditionalFormatting>
  <conditionalFormatting sqref="P8">
    <cfRule type="cellIs" dxfId="512" priority="13" operator="lessThan">
      <formula>0</formula>
    </cfRule>
  </conditionalFormatting>
  <conditionalFormatting sqref="P23">
    <cfRule type="cellIs" dxfId="511" priority="12" operator="lessThan">
      <formula>0</formula>
    </cfRule>
  </conditionalFormatting>
  <conditionalFormatting sqref="P30">
    <cfRule type="cellIs" dxfId="510" priority="11" operator="lessThan">
      <formula>0</formula>
    </cfRule>
  </conditionalFormatting>
  <conditionalFormatting sqref="P37">
    <cfRule type="cellIs" dxfId="509" priority="10" operator="lessThan">
      <formula>0</formula>
    </cfRule>
  </conditionalFormatting>
  <conditionalFormatting sqref="P51">
    <cfRule type="cellIs" dxfId="508" priority="9" operator="lessThan">
      <formula>0</formula>
    </cfRule>
  </conditionalFormatting>
  <conditionalFormatting sqref="P59">
    <cfRule type="cellIs" dxfId="507" priority="8" operator="lessThan">
      <formula>0</formula>
    </cfRule>
  </conditionalFormatting>
  <conditionalFormatting sqref="P64">
    <cfRule type="cellIs" dxfId="506" priority="7" operator="lessThan">
      <formula>0</formula>
    </cfRule>
  </conditionalFormatting>
  <conditionalFormatting sqref="P73">
    <cfRule type="cellIs" dxfId="505" priority="6" operator="lessThan">
      <formula>0</formula>
    </cfRule>
  </conditionalFormatting>
  <conditionalFormatting sqref="O72">
    <cfRule type="cellIs" dxfId="504" priority="1" operator="greaterThan">
      <formula>0</formula>
    </cfRule>
  </conditionalFormatting>
  <conditionalFormatting sqref="P72">
    <cfRule type="cellIs" dxfId="503" priority="4" operator="lessThan">
      <formula>0</formula>
    </cfRule>
  </conditionalFormatting>
  <conditionalFormatting sqref="Q72">
    <cfRule type="cellIs" dxfId="502" priority="2" operator="greaterThan">
      <formula>1</formula>
    </cfRule>
    <cfRule type="cellIs" dxfId="501" priority="3" operator="lessThan">
      <formula>0.8</formula>
    </cfRule>
  </conditionalFormatting>
  <conditionalFormatting sqref="R72">
    <cfRule type="cellIs" dxfId="500" priority="5" operator="lessThan">
      <formula>0.8</formula>
    </cfRule>
  </conditionalFormatting>
  <dataValidations count="1">
    <dataValidation type="list" allowBlank="1" showInputMessage="1" showErrorMessage="1" sqref="AB8 AA5:AB7 AA8:AA63 AB10:AB60 AA64:AB73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Q12" sqref="Q12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612" t="s">
        <v>522</v>
      </c>
      <c r="C1" s="612"/>
      <c r="D1" s="612"/>
      <c r="E1" s="612"/>
      <c r="F1" s="612"/>
      <c r="G1" s="612"/>
      <c r="H1" s="612"/>
      <c r="I1" s="612"/>
      <c r="J1" s="612"/>
      <c r="K1" s="51"/>
      <c r="L1" s="51"/>
      <c r="M1" s="51"/>
      <c r="N1" s="51"/>
      <c r="O1" s="51"/>
      <c r="P1" s="51"/>
    </row>
    <row r="2" spans="2:17" ht="27.75" customHeight="1">
      <c r="B2" s="613"/>
      <c r="C2" s="613"/>
      <c r="D2" s="613"/>
      <c r="E2" s="613"/>
      <c r="F2" s="613"/>
      <c r="G2" s="613"/>
      <c r="H2" s="613"/>
      <c r="I2" s="613"/>
      <c r="J2" s="613"/>
      <c r="K2" s="53"/>
      <c r="L2" s="53"/>
      <c r="M2" s="53"/>
      <c r="N2" s="51"/>
      <c r="O2" s="51"/>
      <c r="P2" s="51"/>
    </row>
    <row r="3" spans="2:17" ht="46.5" customHeight="1">
      <c r="B3" s="54" t="s">
        <v>523</v>
      </c>
      <c r="C3" s="614" t="str">
        <f>TEXT('0805 4度C'!A2,"yyyy.mm.ddaaaa")</f>
        <v>2026.08.05星期三</v>
      </c>
      <c r="D3" s="615"/>
      <c r="E3" s="54" t="s">
        <v>524</v>
      </c>
      <c r="F3" s="616">
        <f>'0805 4度C'!D1</f>
        <v>181630</v>
      </c>
      <c r="G3" s="617"/>
      <c r="H3" s="54" t="s">
        <v>525</v>
      </c>
      <c r="I3" s="618">
        <f>'0805 4度C'!F1</f>
        <v>6345421.0099999979</v>
      </c>
      <c r="J3" s="619"/>
      <c r="K3" s="55"/>
      <c r="L3" s="56"/>
      <c r="M3" s="57"/>
      <c r="N3" s="57"/>
    </row>
    <row r="4" spans="2:17" ht="28.5" customHeight="1">
      <c r="B4" s="620" t="s">
        <v>526</v>
      </c>
      <c r="C4" s="606" t="s">
        <v>527</v>
      </c>
      <c r="D4" s="607"/>
      <c r="E4" s="623" t="s">
        <v>528</v>
      </c>
      <c r="F4" s="624"/>
      <c r="G4" s="623" t="s">
        <v>529</v>
      </c>
      <c r="H4" s="624"/>
      <c r="I4" s="623" t="s">
        <v>530</v>
      </c>
      <c r="J4" s="624"/>
      <c r="K4" s="604" t="s">
        <v>531</v>
      </c>
      <c r="L4" s="605"/>
      <c r="M4" s="605" t="s">
        <v>532</v>
      </c>
      <c r="N4" s="605"/>
    </row>
    <row r="5" spans="2:17" ht="28.5" customHeight="1">
      <c r="B5" s="621"/>
      <c r="C5" s="606" t="s">
        <v>533</v>
      </c>
      <c r="D5" s="607"/>
      <c r="E5" s="606" t="s">
        <v>534</v>
      </c>
      <c r="F5" s="607"/>
      <c r="G5" s="608" t="s">
        <v>535</v>
      </c>
      <c r="H5" s="609"/>
      <c r="I5" s="610" t="s">
        <v>536</v>
      </c>
      <c r="J5" s="611"/>
      <c r="K5" s="58" t="s">
        <v>537</v>
      </c>
      <c r="L5" s="59" t="s">
        <v>538</v>
      </c>
      <c r="M5" s="58" t="s">
        <v>539</v>
      </c>
      <c r="N5" s="59" t="s">
        <v>540</v>
      </c>
    </row>
    <row r="6" spans="2:17" ht="28.5" customHeight="1">
      <c r="B6" s="621"/>
      <c r="C6" s="606" t="s">
        <v>169</v>
      </c>
      <c r="D6" s="607"/>
      <c r="E6" s="598">
        <f>AVERAGE(D13:M13)</f>
        <v>158.68758621123729</v>
      </c>
      <c r="F6" s="599">
        <f>AVERAGE(D31:O31,D13:J13)</f>
        <v>167.29484232862958</v>
      </c>
      <c r="G6" s="600">
        <f>AVERAGE(D13:J13)</f>
        <v>167.29484232862958</v>
      </c>
      <c r="H6" s="601"/>
      <c r="I6" s="600">
        <f>AVERAGE(K13:M13)</f>
        <v>138.6039886039886</v>
      </c>
      <c r="J6" s="601"/>
      <c r="K6" s="602">
        <f>'0805 4度C'!Y2</f>
        <v>0</v>
      </c>
      <c r="L6" s="587">
        <f>'0805 4度C'!Z2</f>
        <v>0</v>
      </c>
      <c r="M6" s="603">
        <f>'0805 4度C'!AC2</f>
        <v>64</v>
      </c>
      <c r="N6" s="587">
        <f>'0805 4度C'!AD2</f>
        <v>0</v>
      </c>
    </row>
    <row r="7" spans="2:17" ht="28.5" customHeight="1">
      <c r="B7" s="621"/>
      <c r="C7" s="588" t="s">
        <v>170</v>
      </c>
      <c r="D7" s="589"/>
      <c r="E7" s="590">
        <f>AVERAGE(D14:M14)</f>
        <v>152.15665443715196</v>
      </c>
      <c r="F7" s="591">
        <f>AVERAGE(D32:O32,D14:J14)</f>
        <v>160.54354250860254</v>
      </c>
      <c r="G7" s="592">
        <f>AVERAGE(D14:J14)</f>
        <v>160.54354250860254</v>
      </c>
      <c r="H7" s="593"/>
      <c r="I7" s="592">
        <f>AVERAGE(K14:M14)</f>
        <v>132.58724893710053</v>
      </c>
      <c r="J7" s="593"/>
      <c r="K7" s="602"/>
      <c r="L7" s="587"/>
      <c r="M7" s="603"/>
      <c r="N7" s="587"/>
    </row>
    <row r="8" spans="2:17" ht="28.5" customHeight="1">
      <c r="B8" s="622"/>
      <c r="C8" s="588" t="s">
        <v>171</v>
      </c>
      <c r="D8" s="589"/>
      <c r="E8" s="594">
        <f>AVERAGE(D15:M15)</f>
        <v>0.95851995500916731</v>
      </c>
      <c r="F8" s="595">
        <f>AVERAGE(D15:J15,D33:O33)</f>
        <v>0.95934201787974516</v>
      </c>
      <c r="G8" s="596">
        <f>AVERAGE(D15:J15)</f>
        <v>0.95934201787974516</v>
      </c>
      <c r="H8" s="597"/>
      <c r="I8" s="596">
        <f>AVERAGE(K15:M15)</f>
        <v>0.95660180831115238</v>
      </c>
      <c r="J8" s="597"/>
      <c r="K8" s="602"/>
      <c r="L8" s="587"/>
      <c r="M8" s="603"/>
      <c r="N8" s="587"/>
    </row>
    <row r="9" spans="2:17" ht="28.5" customHeight="1" thickBot="1">
      <c r="H9" s="61"/>
      <c r="K9" s="62" t="s">
        <v>541</v>
      </c>
      <c r="N9" s="57"/>
      <c r="O9" s="57"/>
      <c r="P9" s="57"/>
      <c r="Q9" s="57"/>
    </row>
    <row r="10" spans="2:17" ht="30" customHeight="1">
      <c r="B10" s="570" t="s">
        <v>542</v>
      </c>
      <c r="C10" s="571"/>
      <c r="D10" s="572" t="s">
        <v>543</v>
      </c>
      <c r="E10" s="573"/>
      <c r="F10" s="573"/>
      <c r="G10" s="573"/>
      <c r="H10" s="573"/>
      <c r="I10" s="573"/>
      <c r="J10" s="574"/>
      <c r="K10" s="575" t="s">
        <v>544</v>
      </c>
      <c r="L10" s="576"/>
      <c r="M10" s="577"/>
      <c r="P10" s="63"/>
      <c r="Q10" s="63"/>
    </row>
    <row r="11" spans="2:17" ht="17.25" customHeight="1">
      <c r="B11" s="578" t="s">
        <v>545</v>
      </c>
      <c r="C11" s="579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80"/>
      <c r="C12" s="581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582" t="s">
        <v>546</v>
      </c>
      <c r="C13" s="70" t="s">
        <v>547</v>
      </c>
      <c r="D13" s="71">
        <f>SUMIFS('0805 4度C'!$K:$K,'0805 4度C'!$A:$A,"新豐6線",'0805 4度C'!$B:$B,"平均")</f>
        <v>130.43478260869566</v>
      </c>
      <c r="E13" s="72">
        <f>SUMIFS('0805 4度C'!$K:$K,'0805 4度C'!$A:$A,"新豐2線",'0805 4度C'!$B:$B,"平均")</f>
        <v>86.206896551724142</v>
      </c>
      <c r="F13" s="73">
        <f>SUMIFS('0805 4度C'!$K:$K,'0805 4度C'!$A:$A,"新豐5線",'0805 4度C'!$B:$B,"平均")</f>
        <v>95.238095238095241</v>
      </c>
      <c r="G13" s="73">
        <f>SUMIFS('0805 4度C'!$K:$K,'0805 4度C'!$A:$A,"新豐7線",'0805 4度C'!$B:$B,"平均")</f>
        <v>133.33333333333334</v>
      </c>
      <c r="H13" s="73">
        <f>SUMIFS('0805 4度C'!$K:$K,'0805 4度C'!$A:$A,"新豐3線",'0805 4度C'!$B:$B,"平均")</f>
        <v>324.32432432432432</v>
      </c>
      <c r="I13" s="73">
        <f>SUMIFS('0805 4度C'!$K:$K,'0805 4度C'!$A:$A,"新豐1線",'0805 4度C'!$B:$B,"平均")</f>
        <v>108.84353741496598</v>
      </c>
      <c r="J13" s="74">
        <f>SUMIFS('0805 4度C'!$K:$K,'0805 4度C'!$A:$A,"新豐10線",'0805 4度C'!$B:$B,"平均")</f>
        <v>292.6829268292683</v>
      </c>
      <c r="K13" s="75">
        <f>SUMIFS('0805 4度C'!$K:$K,'0805 4度C'!$A:$A,"新豐8線",'0805 4度C'!$B:$B,"平均")</f>
        <v>143.58974358974359</v>
      </c>
      <c r="L13" s="76">
        <f>SUMIFS('0805 4度C'!$K:$K,'0805 4度C'!$A:$A,"新豐9線",'0805 4度C'!$B:$B,"平均")</f>
        <v>122.22222222222223</v>
      </c>
      <c r="M13" s="74">
        <f>SUMIFS('0805 4度C'!$K:$K,'0805 4度C'!$A:$A,"新豐4線",'0805 4度C'!$B:$B,"平均")</f>
        <v>150</v>
      </c>
    </row>
    <row r="14" spans="2:17" ht="39.6" customHeight="1">
      <c r="B14" s="583"/>
      <c r="C14" s="77" t="s">
        <v>548</v>
      </c>
      <c r="D14" s="78">
        <f>SUMIFS('0805 4度C'!$N:$N,'0805 4度C'!$A:$A,"新豐6線",'0805 4度C'!$B:$B,"平均")</f>
        <v>124.83386813688354</v>
      </c>
      <c r="E14" s="79">
        <f>SUMIFS('0805 4度C'!$N:$N,'0805 4度C'!$A:$A,"新豐2線",'0805 4度C'!$B:$B,"平均")</f>
        <v>82.251337813226101</v>
      </c>
      <c r="F14" s="79">
        <f>SUMIFS('0805 4度C'!$N:$N,'0805 4度C'!$A:$A,"新豐5線",'0805 4度C'!$B:$B,"平均")</f>
        <v>91.45911841361908</v>
      </c>
      <c r="G14" s="79">
        <f>SUMIFS('0805 4度C'!$N:$N,'0805 4度C'!$A:$A,"新豐7線",'0805 4度C'!$B:$B,"平均")</f>
        <v>128.36065226484351</v>
      </c>
      <c r="H14" s="79">
        <f>SUMIFS('0805 4度C'!$N:$N,'0805 4度C'!$A:$A,"新豐3線",'0805 4度C'!$B:$B,"平均")</f>
        <v>312.19760229234311</v>
      </c>
      <c r="I14" s="79">
        <f>SUMIFS('0805 4度C'!$N:$N,'0805 4度C'!$A:$A,"新豐1線",'0805 4度C'!$B:$B,"平均")</f>
        <v>104.69628211876116</v>
      </c>
      <c r="J14" s="80">
        <f>SUMIFS('0805 4度C'!$N:$N,'0805 4度C'!$A:$A,"新豐10線",'0805 4度C'!$B:$B,"平均")</f>
        <v>280.00593652054141</v>
      </c>
      <c r="K14" s="81">
        <f>SUMIFS('0805 4度C'!$N:$N,'0805 4度C'!$A:$A,"新豐8線",'0805 4度C'!$B:$B,"平均")</f>
        <v>137.33308230813685</v>
      </c>
      <c r="L14" s="82">
        <f>SUMIFS('0805 4度C'!$N:$N,'0805 4度C'!$A:$A,"新豐9線",'0805 4度C'!$B:$B,"平均")</f>
        <v>116.94375331868514</v>
      </c>
      <c r="M14" s="80">
        <f>SUMIFS('0805 4度C'!$N:$N,'0805 4度C'!$A:$A,"新豐4線",'0805 4度C'!$B:$B,"平均")</f>
        <v>143.48491118447961</v>
      </c>
    </row>
    <row r="15" spans="2:17" ht="40.15" customHeight="1">
      <c r="B15" s="584"/>
      <c r="C15" s="83" t="s">
        <v>549</v>
      </c>
      <c r="D15" s="84">
        <f t="shared" ref="D15:M15" si="0">D14/D13</f>
        <v>0.95705965571610707</v>
      </c>
      <c r="E15" s="85">
        <f t="shared" si="0"/>
        <v>0.9541155186334227</v>
      </c>
      <c r="F15" s="85">
        <f t="shared" si="0"/>
        <v>0.96032074334300033</v>
      </c>
      <c r="G15" s="85">
        <f t="shared" si="0"/>
        <v>0.96270489198632625</v>
      </c>
      <c r="H15" s="85">
        <f t="shared" si="0"/>
        <v>0.9626092737347246</v>
      </c>
      <c r="I15" s="85">
        <f t="shared" si="0"/>
        <v>0.96189709196611828</v>
      </c>
      <c r="J15" s="86">
        <f t="shared" si="0"/>
        <v>0.95668694977851643</v>
      </c>
      <c r="K15" s="84">
        <f t="shared" si="0"/>
        <v>0.95642682321738159</v>
      </c>
      <c r="L15" s="85">
        <f t="shared" si="0"/>
        <v>0.95681252715287834</v>
      </c>
      <c r="M15" s="86">
        <f t="shared" si="0"/>
        <v>0.95656607456319742</v>
      </c>
    </row>
    <row r="16" spans="2:17" ht="17.25" customHeight="1">
      <c r="B16" s="585" t="s">
        <v>550</v>
      </c>
      <c r="C16" s="87" t="s">
        <v>551</v>
      </c>
      <c r="D16" s="88">
        <f>VLOOKUP("新豐6線",'0805 4度C'!$A:$T,19,0)</f>
        <v>0.70833333333333337</v>
      </c>
      <c r="E16" s="89">
        <f>VLOOKUP("新豐2線",'0805 4度C'!$A:$T,19,0)</f>
        <v>8.3333333333333329E-2</v>
      </c>
      <c r="F16" s="89">
        <f>VLOOKUP("新豐5線",'0805 4度C'!$A:$T,19,0)</f>
        <v>0.20833333333333334</v>
      </c>
      <c r="G16" s="89">
        <f>VLOOKUP("新豐7線",'0805 4度C'!$A:$T,19,0)</f>
        <v>0.20833333333333334</v>
      </c>
      <c r="H16" s="89">
        <f>VLOOKUP("新豐3線",'0805 4度C'!$A:$T,19,0)</f>
        <v>0.20833333333333334</v>
      </c>
      <c r="I16" s="89">
        <f>VLOOKUP("新豐1線",'0805 4度C'!$A:$T,19,0)</f>
        <v>0.20833333333333334</v>
      </c>
      <c r="J16" s="90">
        <f>VLOOKUP("新豐10線",'0805 4度C'!$A:$T,19,0)</f>
        <v>0.20833333333333334</v>
      </c>
      <c r="K16" s="91">
        <f>VLOOKUP("新豐8線",'0805 4度C'!$A:$T,19,0)</f>
        <v>8.3333333333333329E-2</v>
      </c>
      <c r="L16" s="92">
        <f>VLOOKUP("新豐9線",'0805 4度C'!$A:$T,19,0)</f>
        <v>8.3333333333333329E-2</v>
      </c>
      <c r="M16" s="93">
        <f>VLOOKUP("新豐4線",'0805 4度C'!$A:$T,19,0)</f>
        <v>8.3333333333333329E-2</v>
      </c>
    </row>
    <row r="17" spans="2:13" ht="17.25" customHeight="1">
      <c r="B17" s="586"/>
      <c r="C17" s="87" t="s">
        <v>552</v>
      </c>
      <c r="D17" s="91">
        <f>LOOKUP(2,1/(('0805 4度C'!$A:$A="新豐6線")*('0805 4度C'!$T:$T&lt;&gt;"")),'0805 4度C'!$T:$T)</f>
        <v>0.85416666666666652</v>
      </c>
      <c r="E17" s="89">
        <f>LOOKUP(2,1/(('0805 4度C'!$A:$A="新豐2線")*('0805 4度C'!$T:$T&lt;&gt;"")),'0805 4度C'!$T:$T)</f>
        <v>0.61111111111111105</v>
      </c>
      <c r="F17" s="89">
        <f>LOOKUP(2,1/(('0805 4度C'!$A:$A="新豐5線")*('0805 4度C'!$T:$T&lt;&gt;"")),'0805 4度C'!$T:$T)</f>
        <v>0.89444444444444449</v>
      </c>
      <c r="G17" s="89">
        <f>LOOKUP(2,1/(('0805 4度C'!$A:$A="新豐7線")*('0805 4度C'!$T:$T&lt;&gt;"")),'0805 4度C'!$T:$T)</f>
        <v>0.92013888888888884</v>
      </c>
      <c r="H17" s="89">
        <f>LOOKUP(2,1/(('0805 4度C'!$A:$A="新豐3線")*('0805 4度C'!$T:$T&lt;&gt;"")),'0805 4度C'!$T:$T)</f>
        <v>0.41250000000000003</v>
      </c>
      <c r="I17" s="89">
        <f>LOOKUP(2,1/(('0805 4度C'!$A:$A="新豐1線")*('0805 4度C'!$T:$T&lt;&gt;"")),'0805 4度C'!$T:$T)</f>
        <v>0.8618055555555556</v>
      </c>
      <c r="J17" s="90">
        <f>LOOKUP(2,1/(('0805 4度C'!$A:$A="新豐10線")*('0805 4度C'!$T:$T&lt;&gt;"")),'0805 4度C'!$T:$T)</f>
        <v>0.3972222222222222</v>
      </c>
      <c r="K17" s="88">
        <f>LOOKUP(2,1/(('0805 4度C'!$A:$A="新豐8線")*('0805 4度C'!$T:$T&lt;&gt;"")),'0805 4度C'!$T:$T)</f>
        <v>0.66597222222222208</v>
      </c>
      <c r="L17" s="89">
        <f>LOOKUP(2,1/(('0805 4度C'!$A:$A="新豐9線")*('0805 4度C'!$T:$T&lt;&gt;"")),'0805 4度C'!$T:$T)</f>
        <v>0.73263888888888884</v>
      </c>
      <c r="M17" s="90">
        <f>LOOKUP(2,1/(('0805 4度C'!$A:$A="新豐4線")*('0805 4度C'!$T:$T&lt;&gt;"")),'0805 4度C'!$T:$T)</f>
        <v>0.69722222222222208</v>
      </c>
    </row>
    <row r="18" spans="2:13" ht="17.25" customHeight="1">
      <c r="B18" s="564" t="s">
        <v>553</v>
      </c>
      <c r="C18" s="94" t="s">
        <v>554</v>
      </c>
      <c r="D18" s="95">
        <f>SUMIFS('0805 4度C'!$Y:$Y,'0805 4度C'!$A:$A,"新豐6線",'0805 4度C'!$B:$B,"平均")</f>
        <v>0</v>
      </c>
      <c r="E18" s="96">
        <f>SUMIFS('0805 4度C'!$Y:$Y,'0805 4度C'!$A:$A,"新豐2線",'0805 4度C'!$B:$B,"平均")</f>
        <v>0</v>
      </c>
      <c r="F18" s="96">
        <f>SUMIFS('0805 4度C'!$Y:$Y,'0805 4度C'!$A:$A,"新豐5線",'0805 4度C'!$B:$B,"平均")</f>
        <v>0</v>
      </c>
      <c r="G18" s="96">
        <f>SUMIFS('0805 4度C'!$Y:$Y,'0805 4度C'!$A:$A,"新豐7線",'0805 4度C'!$B:$B,"平均")</f>
        <v>0</v>
      </c>
      <c r="H18" s="96">
        <f>SUMIFS('0805 4度C'!$Y:$Y,'0805 4度C'!$A:$A,"新豐3線",'0805 4度C'!$B:$B,"平均")</f>
        <v>0</v>
      </c>
      <c r="I18" s="96">
        <f>SUMIFS('0805 4度C'!$Y:$Y,'0805 4度C'!$A:$A,"新豐1線",'0805 4度C'!$B:$B,"平均")</f>
        <v>0</v>
      </c>
      <c r="J18" s="97">
        <f>SUMIFS('0805 4度C'!$Y:$Y,'0805 4度C'!$A:$A,"新豐10線",'0805 4度C'!$B:$B,"平均")</f>
        <v>0</v>
      </c>
      <c r="K18" s="98">
        <f>SUMIFS('0805 4度C'!$Y:$Y,'0805 4度C'!$A:$A,"新豐8線",'0805 4度C'!$B:$B,"平均")</f>
        <v>0</v>
      </c>
      <c r="L18" s="96">
        <f>SUMIFS('0805 4度C'!$Y:$Y,'0805 4度C'!$A:$A,"新豐9線",'0805 4度C'!$B:$B,"平均")</f>
        <v>0</v>
      </c>
      <c r="M18" s="97">
        <f>SUMIFS('0805 4度C'!$Y:$Y,'0805 4度C'!$A:$A,"新豐4線",'0805 4度C'!$B:$B,"平均")</f>
        <v>0</v>
      </c>
    </row>
    <row r="19" spans="2:13" ht="17.25" customHeight="1">
      <c r="B19" s="565"/>
      <c r="C19" s="94" t="s">
        <v>555</v>
      </c>
      <c r="D19" s="95">
        <f>SUMIFS('0805 4度C'!$Z:$Z,'0805 4度C'!$A:$A,"新豐6線",'0805 4度C'!$B:$B,"平均")</f>
        <v>0</v>
      </c>
      <c r="E19" s="96">
        <f>SUMIFS('0805 4度C'!$Z:$Z,'0805 4度C'!$A:$A,"新豐2線",'0805 4度C'!$B:$B,"平均")</f>
        <v>0</v>
      </c>
      <c r="F19" s="96">
        <f>SUMIFS('0805 4度C'!$Z:$Z,'0805 4度C'!$A:$A,"新豐5線",'0805 4度C'!$B:$B,"平均")</f>
        <v>0</v>
      </c>
      <c r="G19" s="96">
        <f>SUMIFS('0805 4度C'!$Z:$Z,'0805 4度C'!$A:$A,"新豐7線",'0805 4度C'!$B:$B,"平均")</f>
        <v>0</v>
      </c>
      <c r="H19" s="96">
        <f>SUMIFS('0805 4度C'!$Z:$Z,'0805 4度C'!$A:$A,"新豐3線",'0805 4度C'!$B:$B,"平均")</f>
        <v>0</v>
      </c>
      <c r="I19" s="96">
        <f>SUMIFS('0805 4度C'!$Z:$Z,'0805 4度C'!$A:$A,"新豐1線",'0805 4度C'!$B:$B,"平均")</f>
        <v>0</v>
      </c>
      <c r="J19" s="97">
        <f>SUMIFS('0805 4度C'!$Z:$Z,'0805 4度C'!$A:$A,"新豐10線",'0805 4度C'!$B:$B,"平均")</f>
        <v>0</v>
      </c>
      <c r="K19" s="98">
        <f>SUMIFS('0805 4度C'!$Z:$Z,'0805 4度C'!$A:$A,"新豐8線",'0805 4度C'!$B:$B,"平均")</f>
        <v>0</v>
      </c>
      <c r="L19" s="96">
        <f>SUMIFS('0805 4度C'!$Z:$Z,'0805 4度C'!$A:$A,"新豐9線",'0805 4度C'!$B:$B,"平均")</f>
        <v>0</v>
      </c>
      <c r="M19" s="97">
        <f>SUMIFS('0805 4度C'!$Z:$Z,'0805 4度C'!$A:$A,"新豐4線",'0805 4度C'!$B:$B,"平均")</f>
        <v>0</v>
      </c>
    </row>
    <row r="20" spans="2:13" ht="17.25" customHeight="1">
      <c r="B20" s="564" t="s">
        <v>556</v>
      </c>
      <c r="C20" s="94" t="s">
        <v>554</v>
      </c>
      <c r="D20" s="95">
        <f>SUMIFS('0805 4度C'!$AC:$AC,'0805 4度C'!$A:$A,"新豐6線",'0805 4度C'!$B:$B,"平均")</f>
        <v>3</v>
      </c>
      <c r="E20" s="96">
        <f>SUMIFS('0805 4度C'!$AC:$AC,'0805 4度C'!$A:$A,"新豐2線",'0805 4度C'!$B:$B,"平均")</f>
        <v>5</v>
      </c>
      <c r="F20" s="96">
        <f>SUMIFS('0805 4度C'!$AC:$AC,'0805 4度C'!$A:$A,"新豐5線",'0805 4度C'!$B:$B,"平均")</f>
        <v>8</v>
      </c>
      <c r="G20" s="96">
        <f>SUMIFS('0805 4度C'!$AC:$AC,'0805 4度C'!$A:$A,"新豐7線",'0805 4度C'!$B:$B,"平均")</f>
        <v>8</v>
      </c>
      <c r="H20" s="96">
        <f>SUMIFS('0805 4度C'!$AC:$AC,'0805 4度C'!$A:$A,"新豐3線",'0805 4度C'!$B:$B,"平均")</f>
        <v>4</v>
      </c>
      <c r="I20" s="96">
        <f>SUMIFS('0805 4度C'!$AC:$AC,'0805 4度C'!$A:$A,"新豐1線",'0805 4度C'!$B:$B,"平均")</f>
        <v>8</v>
      </c>
      <c r="J20" s="97">
        <f>SUMIFS('0805 4度C'!$AC:$AC,'0805 4度C'!$A:$A,"新豐10線",'0805 4度C'!$B:$B,"平均")</f>
        <v>4</v>
      </c>
      <c r="K20" s="98">
        <f>SUMIFS('0805 4度C'!$AC:$AC,'0805 4度C'!$A:$A,"新豐8線",'0805 4度C'!$B:$B,"平均")</f>
        <v>7</v>
      </c>
      <c r="L20" s="96">
        <f>SUMIFS('0805 4度C'!$AC:$AC,'0805 4度C'!$A:$A,"新豐9線",'0805 4度C'!$B:$B,"平均")</f>
        <v>8</v>
      </c>
      <c r="M20" s="97">
        <f>SUMIFS('0805 4度C'!$AC:$AC,'0805 4度C'!$A:$A,"新豐4線",'0805 4度C'!$B:$B,"平均")</f>
        <v>9</v>
      </c>
    </row>
    <row r="21" spans="2:13" ht="17.25" customHeight="1">
      <c r="B21" s="565"/>
      <c r="C21" s="94" t="s">
        <v>557</v>
      </c>
      <c r="D21" s="95">
        <f>SUMIFS('0805 4度C'!$AD:$AD,'0805 4度C'!$A:$A,"新豐6線",'0805 4度C'!$B:$B,"平均")</f>
        <v>0</v>
      </c>
      <c r="E21" s="96">
        <f>SUMIFS('0805 4度C'!$AD:$AD,'0805 4度C'!$A:$A,"新豐2線",'0805 4度C'!$B:$B,"平均")</f>
        <v>0</v>
      </c>
      <c r="F21" s="96">
        <f>SUMIFS('0805 4度C'!$AD:$AD,'0805 4度C'!$A:$A,"新豐5線",'0805 4度C'!$B:$B,"平均")</f>
        <v>0</v>
      </c>
      <c r="G21" s="96">
        <f>SUMIFS('0805 4度C'!$AD:$AD,'0805 4度C'!$A:$A,"新豐7線",'0805 4度C'!$B:$B,"平均")</f>
        <v>0</v>
      </c>
      <c r="H21" s="96">
        <f>SUMIFS('0805 4度C'!$AD:$AD,'0805 4度C'!$A:$A,"新豐3線",'0805 4度C'!$B:$B,"平均")</f>
        <v>0</v>
      </c>
      <c r="I21" s="96">
        <f>SUMIFS('0805 4度C'!$AD:$AD,'0805 4度C'!$A:$A,"新豐1線",'0805 4度C'!$B:$B,"平均")</f>
        <v>0</v>
      </c>
      <c r="J21" s="97">
        <f>SUMIFS('0805 4度C'!$AD:$AD,'0805 4度C'!$A:$A,"新豐10線",'0805 4度C'!$B:$B,"平均")</f>
        <v>0</v>
      </c>
      <c r="K21" s="98">
        <f>SUMIFS('0805 4度C'!$AD:$AD,'0805 4度C'!$A:$A,"新豐8線",'0805 4度C'!$B:$B,"平均")</f>
        <v>0</v>
      </c>
      <c r="L21" s="96">
        <f>SUMIFS('0805 4度C'!$AD:$AD,'0805 4度C'!$A:$A,"新豐9線",'0805 4度C'!$B:$B,"平均")</f>
        <v>0</v>
      </c>
      <c r="M21" s="97">
        <f>SUMIFS('0805 4度C'!$AD:$AD,'0805 4度C'!$A:$A,"新豐4線",'0805 4度C'!$B:$B,"平均")</f>
        <v>0</v>
      </c>
    </row>
    <row r="22" spans="2:13" ht="17.25" customHeight="1">
      <c r="B22" s="566" t="s">
        <v>558</v>
      </c>
      <c r="C22" s="567"/>
      <c r="D22" s="99">
        <f>SUMIFS('0805 4度C'!$I:$I,'0805 4度C'!$A:$A,"新豐6線",'0805 4度C'!$B:$B,"平均")</f>
        <v>15.333333333333334</v>
      </c>
      <c r="E22" s="100">
        <f>SUMIFS('0805 4度C'!$I:$I,'0805 4度C'!$A:$A,"新豐2線",'0805 4度C'!$B:$B,"平均")</f>
        <v>17.399999999999999</v>
      </c>
      <c r="F22" s="100">
        <f>SUMIFS('0805 4度C'!$I:$I,'0805 4度C'!$A:$A,"新豐5線",'0805 4度C'!$B:$B,"平均")</f>
        <v>18.375</v>
      </c>
      <c r="G22" s="100">
        <f>SUMIFS('0805 4度C'!$I:$I,'0805 4度C'!$A:$A,"新豐7線",'0805 4度C'!$B:$B,"平均")</f>
        <v>15</v>
      </c>
      <c r="H22" s="100">
        <f>SUMIFS('0805 4度C'!$I:$I,'0805 4度C'!$A:$A,"新豐3線",'0805 4度C'!$B:$B,"平均")</f>
        <v>9.25</v>
      </c>
      <c r="I22" s="100">
        <f>SUMIFS('0805 4度C'!$I:$I,'0805 4度C'!$A:$A,"新豐1線",'0805 4度C'!$B:$B,"平均")</f>
        <v>18.375</v>
      </c>
      <c r="J22" s="101">
        <f>SUMIFS('0805 4度C'!$I:$I,'0805 4度C'!$A:$A,"新豐10線",'0805 4度C'!$B:$B,"平均")</f>
        <v>10.25</v>
      </c>
      <c r="K22" s="99">
        <f>SUMIFS('0805 4度C'!$I:$I,'0805 4度C'!$A:$A,"新豐8線",'0805 4度C'!$B:$B,"平均")</f>
        <v>16.714285714285715</v>
      </c>
      <c r="L22" s="100">
        <f>SUMIFS('0805 4度C'!$I:$I,'0805 4度C'!$A:$A,"新豐9線",'0805 4度C'!$B:$B,"平均")</f>
        <v>18</v>
      </c>
      <c r="M22" s="101">
        <f>SUMIFS('0805 4度C'!$I:$I,'0805 4度C'!$A:$A,"新豐4線",'0805 4度C'!$B:$B,"平均")</f>
        <v>16</v>
      </c>
    </row>
    <row r="23" spans="2:13" ht="17.25" customHeight="1">
      <c r="B23" s="566" t="s">
        <v>559</v>
      </c>
      <c r="C23" s="567"/>
      <c r="D23" s="102" t="s">
        <v>202</v>
      </c>
      <c r="E23" s="103" t="s">
        <v>203</v>
      </c>
      <c r="F23" s="103" t="s">
        <v>560</v>
      </c>
      <c r="G23" s="103" t="s">
        <v>561</v>
      </c>
      <c r="H23" s="103" t="s">
        <v>205</v>
      </c>
      <c r="I23" s="103" t="s">
        <v>202</v>
      </c>
      <c r="J23" s="104" t="s">
        <v>205</v>
      </c>
      <c r="K23" s="102" t="s">
        <v>562</v>
      </c>
      <c r="L23" s="103" t="s">
        <v>562</v>
      </c>
      <c r="M23" s="104" t="s">
        <v>562</v>
      </c>
    </row>
    <row r="24" spans="2:13" ht="17.25" customHeight="1">
      <c r="B24" s="566" t="s">
        <v>563</v>
      </c>
      <c r="C24" s="567"/>
      <c r="D24" s="102"/>
      <c r="E24" s="103"/>
      <c r="F24" s="103" t="s">
        <v>564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68" t="s">
        <v>565</v>
      </c>
      <c r="C25" s="569"/>
      <c r="D25" s="105"/>
      <c r="E25" s="106" t="s">
        <v>566</v>
      </c>
      <c r="F25" s="562" t="s">
        <v>567</v>
      </c>
      <c r="G25" s="563"/>
      <c r="H25" s="106" t="s">
        <v>568</v>
      </c>
      <c r="I25" s="106" t="s">
        <v>569</v>
      </c>
      <c r="J25" s="107" t="s">
        <v>568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49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9"/>
  <sheetViews>
    <sheetView zoomScale="80" zoomScaleNormal="80" workbookViewId="0">
      <pane ySplit="4" topLeftCell="A47" activePane="bottomLeft" state="frozen"/>
      <selection activeCell="A7" sqref="A7"/>
      <selection pane="bottomLeft" activeCell="A5" sqref="A5:A8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41" customWidth="1"/>
    <col min="20" max="20" width="7.625" style="41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570</v>
      </c>
      <c r="B1" s="1"/>
      <c r="C1" s="2" t="s">
        <v>571</v>
      </c>
      <c r="D1" s="3">
        <f>SUM(F5:F78)</f>
        <v>181630</v>
      </c>
      <c r="E1" s="160" t="s">
        <v>572</v>
      </c>
      <c r="F1" s="1">
        <f>SUM(G5:G78)</f>
        <v>6345421.0099999979</v>
      </c>
      <c r="G1" s="1" t="s">
        <v>573</v>
      </c>
      <c r="H1" s="5">
        <f>L8+L14+L54+L63+L23+L68+L40+L49+L32+L78</f>
        <v>154.69761904761904</v>
      </c>
      <c r="I1" s="676" t="s">
        <v>574</v>
      </c>
      <c r="J1" s="676"/>
      <c r="K1" s="676"/>
      <c r="L1" s="676" t="s">
        <v>575</v>
      </c>
      <c r="M1" s="676"/>
      <c r="N1" s="676"/>
      <c r="O1" s="676" t="s">
        <v>576</v>
      </c>
      <c r="P1" s="676"/>
      <c r="Q1" s="676"/>
      <c r="R1" s="676"/>
      <c r="S1" s="676" t="s">
        <v>577</v>
      </c>
      <c r="T1" s="676"/>
      <c r="U1" s="676"/>
      <c r="V1" s="676"/>
      <c r="W1" s="676"/>
      <c r="X1" s="676"/>
      <c r="Y1" s="6" t="s">
        <v>578</v>
      </c>
      <c r="Z1" s="7" t="s">
        <v>579</v>
      </c>
      <c r="AA1" s="677" t="s">
        <v>580</v>
      </c>
      <c r="AB1" s="677"/>
      <c r="AC1" s="8" t="s">
        <v>578</v>
      </c>
      <c r="AD1" s="7" t="s">
        <v>581</v>
      </c>
      <c r="AE1" s="676" t="s">
        <v>582</v>
      </c>
      <c r="AF1" s="678"/>
      <c r="AG1" s="678"/>
    </row>
    <row r="2" spans="1:33" ht="26.25" customHeight="1">
      <c r="A2" s="35">
        <v>46239</v>
      </c>
      <c r="B2" s="36" t="s">
        <v>583</v>
      </c>
      <c r="C2" s="2" t="s">
        <v>546</v>
      </c>
      <c r="D2" s="10">
        <f>AVERAGE(N8,N14,N54,N63,N23,N68,N32,N40,N49,N78)</f>
        <v>152.15665443715199</v>
      </c>
      <c r="E2" s="11" t="s">
        <v>14</v>
      </c>
      <c r="F2" s="12">
        <f>F1/D1</f>
        <v>34.935974288388472</v>
      </c>
      <c r="G2" s="1" t="s">
        <v>584</v>
      </c>
      <c r="H2" s="167">
        <f>COUNT(H5:H78)</f>
        <v>11</v>
      </c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14">
        <f>SUM(Y8+Y14+Y23+Y32+Y40+Y49+Y54+Y63+Y68+Y78)</f>
        <v>0</v>
      </c>
      <c r="Z2" s="14">
        <f>SUM(Z8+Z14+Z23+Z32+Z40+Z49+Z54+Z63+Z68+Z78)</f>
        <v>0</v>
      </c>
      <c r="AA2" s="677"/>
      <c r="AB2" s="677"/>
      <c r="AC2" s="14">
        <v>64</v>
      </c>
      <c r="AD2" s="14">
        <f>SUM(AD8+AD14+AD23+AD32+AD40+AD49+AD54+AD63+AD68+AD78)</f>
        <v>0</v>
      </c>
      <c r="AE2" s="678"/>
      <c r="AF2" s="678"/>
      <c r="AG2" s="678"/>
    </row>
    <row r="3" spans="1:33" ht="40.5" customHeight="1">
      <c r="A3" s="632" t="s">
        <v>585</v>
      </c>
      <c r="B3" s="632" t="s">
        <v>586</v>
      </c>
      <c r="C3" s="632" t="s">
        <v>587</v>
      </c>
      <c r="D3" s="632"/>
      <c r="E3" s="674" t="s">
        <v>588</v>
      </c>
      <c r="F3" s="632" t="s">
        <v>589</v>
      </c>
      <c r="G3" s="674" t="s">
        <v>590</v>
      </c>
      <c r="H3" s="667" t="s">
        <v>591</v>
      </c>
      <c r="I3" s="665" t="s">
        <v>592</v>
      </c>
      <c r="J3" s="662" t="s">
        <v>593</v>
      </c>
      <c r="K3" s="672" t="s">
        <v>546</v>
      </c>
      <c r="L3" s="665" t="s">
        <v>592</v>
      </c>
      <c r="M3" s="662" t="s">
        <v>593</v>
      </c>
      <c r="N3" s="672" t="s">
        <v>546</v>
      </c>
      <c r="O3" s="665" t="s">
        <v>592</v>
      </c>
      <c r="P3" s="672" t="s">
        <v>546</v>
      </c>
      <c r="Q3" s="663" t="s">
        <v>594</v>
      </c>
      <c r="R3" s="641" t="s">
        <v>595</v>
      </c>
      <c r="S3" s="673" t="s">
        <v>29</v>
      </c>
      <c r="T3" s="673"/>
      <c r="U3" s="667" t="s">
        <v>30</v>
      </c>
      <c r="V3" s="667" t="s">
        <v>596</v>
      </c>
      <c r="W3" s="632" t="s">
        <v>597</v>
      </c>
      <c r="X3" s="632"/>
      <c r="Y3" s="668" t="s">
        <v>598</v>
      </c>
      <c r="Z3" s="631"/>
      <c r="AA3" s="669" t="s">
        <v>599</v>
      </c>
      <c r="AB3" s="670"/>
      <c r="AC3" s="668" t="s">
        <v>600</v>
      </c>
      <c r="AD3" s="631"/>
      <c r="AE3" s="662" t="s">
        <v>601</v>
      </c>
      <c r="AF3" s="663" t="s">
        <v>594</v>
      </c>
      <c r="AG3" s="641" t="s">
        <v>595</v>
      </c>
    </row>
    <row r="4" spans="1:33" ht="15.75" customHeight="1">
      <c r="A4" s="632"/>
      <c r="B4" s="632"/>
      <c r="C4" s="632"/>
      <c r="D4" s="632"/>
      <c r="E4" s="675"/>
      <c r="F4" s="632"/>
      <c r="G4" s="675"/>
      <c r="H4" s="667"/>
      <c r="I4" s="665"/>
      <c r="J4" s="662"/>
      <c r="K4" s="672"/>
      <c r="L4" s="665"/>
      <c r="M4" s="662"/>
      <c r="N4" s="672"/>
      <c r="O4" s="665"/>
      <c r="P4" s="672"/>
      <c r="Q4" s="663"/>
      <c r="R4" s="641"/>
      <c r="S4" s="168" t="s">
        <v>39</v>
      </c>
      <c r="T4" s="168" t="s">
        <v>40</v>
      </c>
      <c r="U4" s="667"/>
      <c r="V4" s="667"/>
      <c r="W4" s="160" t="s">
        <v>602</v>
      </c>
      <c r="X4" s="160" t="s">
        <v>603</v>
      </c>
      <c r="Y4" s="159" t="s">
        <v>604</v>
      </c>
      <c r="Z4" s="159" t="s">
        <v>555</v>
      </c>
      <c r="AA4" s="671"/>
      <c r="AB4" s="670"/>
      <c r="AC4" s="159" t="s">
        <v>605</v>
      </c>
      <c r="AD4" s="159" t="s">
        <v>606</v>
      </c>
      <c r="AE4" s="662"/>
      <c r="AF4" s="663"/>
      <c r="AG4" s="641"/>
    </row>
    <row r="5" spans="1:33">
      <c r="A5" s="664" t="s">
        <v>607</v>
      </c>
      <c r="B5" s="42" t="s">
        <v>92</v>
      </c>
      <c r="C5" s="666" t="s">
        <v>93</v>
      </c>
      <c r="D5" s="666"/>
      <c r="E5" s="42">
        <v>50.92</v>
      </c>
      <c r="F5" s="168">
        <v>2097</v>
      </c>
      <c r="G5" s="160">
        <f t="shared" ref="G5:G7" si="0">E5*F5</f>
        <v>106779.24</v>
      </c>
      <c r="H5" s="37" t="s">
        <v>91</v>
      </c>
      <c r="I5" s="165">
        <v>15</v>
      </c>
      <c r="J5" s="39">
        <v>2000</v>
      </c>
      <c r="K5" s="17">
        <f t="shared" ref="K5:K68" si="1">J5/I5</f>
        <v>133.33333333333334</v>
      </c>
      <c r="L5" s="165">
        <v>15</v>
      </c>
      <c r="M5" s="18">
        <f t="shared" ref="M5:M7" si="2">F5/V5*60</f>
        <v>1906.3636363636383</v>
      </c>
      <c r="N5" s="17">
        <f t="shared" ref="N5:N68" si="3">M5/L5</f>
        <v>127.09090909090922</v>
      </c>
      <c r="O5" s="19">
        <f t="shared" ref="O5:O68" si="4">L5-I5</f>
        <v>0</v>
      </c>
      <c r="P5" s="20">
        <f t="shared" ref="P5:P68" si="5">N5-K5</f>
        <v>-6.2424242424241214</v>
      </c>
      <c r="Q5" s="161">
        <f t="shared" ref="Q5:Q68" si="6">N5/K5</f>
        <v>0.95318181818181913</v>
      </c>
      <c r="R5" s="637">
        <f>Q8</f>
        <v>0.95705965571610707</v>
      </c>
      <c r="S5" s="40">
        <v>0.70833333333333337</v>
      </c>
      <c r="T5" s="40">
        <v>0.75416666666666665</v>
      </c>
      <c r="U5" s="160"/>
      <c r="V5" s="166">
        <f t="shared" ref="V5:V7" si="7">(T5-S5)*24*60</f>
        <v>65.999999999999929</v>
      </c>
      <c r="W5" s="23"/>
      <c r="X5" s="23"/>
      <c r="Y5" s="24"/>
      <c r="Z5" s="24"/>
      <c r="AA5" s="632"/>
      <c r="AB5" s="632"/>
      <c r="AC5" s="25">
        <v>3</v>
      </c>
      <c r="AD5" s="25"/>
      <c r="AE5" s="19">
        <f t="shared" ref="AE5:AE62" si="8">M5-J5</f>
        <v>-93.636363636361693</v>
      </c>
      <c r="AF5" s="161">
        <f t="shared" ref="AF5:AF68" si="9">M5/J5</f>
        <v>0.95318181818181913</v>
      </c>
      <c r="AG5" s="637">
        <f>AF8</f>
        <v>0.95705965571610718</v>
      </c>
    </row>
    <row r="6" spans="1:33">
      <c r="A6" s="665" t="s">
        <v>608</v>
      </c>
      <c r="B6" s="42" t="s">
        <v>92</v>
      </c>
      <c r="C6" s="666" t="s">
        <v>94</v>
      </c>
      <c r="D6" s="666"/>
      <c r="E6" s="42">
        <v>50.98</v>
      </c>
      <c r="F6" s="168">
        <v>2200</v>
      </c>
      <c r="G6" s="160">
        <f t="shared" si="0"/>
        <v>112156</v>
      </c>
      <c r="H6" s="37" t="s">
        <v>91</v>
      </c>
      <c r="I6" s="165">
        <v>16</v>
      </c>
      <c r="J6" s="39">
        <v>2000</v>
      </c>
      <c r="K6" s="17">
        <f t="shared" si="1"/>
        <v>125</v>
      </c>
      <c r="L6" s="165">
        <v>16</v>
      </c>
      <c r="M6" s="18">
        <f t="shared" si="2"/>
        <v>1913.0434782608718</v>
      </c>
      <c r="N6" s="17">
        <f t="shared" si="3"/>
        <v>119.56521739130449</v>
      </c>
      <c r="O6" s="19">
        <f t="shared" si="4"/>
        <v>0</v>
      </c>
      <c r="P6" s="20">
        <f t="shared" si="5"/>
        <v>-5.4347826086955138</v>
      </c>
      <c r="Q6" s="161">
        <f t="shared" si="6"/>
        <v>0.95652173913043592</v>
      </c>
      <c r="R6" s="637"/>
      <c r="S6" s="40">
        <v>0.75972222222222219</v>
      </c>
      <c r="T6" s="40">
        <v>0.8076388888888888</v>
      </c>
      <c r="U6" s="160">
        <f t="shared" ref="U6:U7" si="10">IF(S6=TIME(17,0,0),"",(S6-T5)*24*60)</f>
        <v>7.9999999999999716</v>
      </c>
      <c r="V6" s="166">
        <f t="shared" si="7"/>
        <v>68.999999999999915</v>
      </c>
      <c r="W6" s="23"/>
      <c r="X6" s="23"/>
      <c r="Y6" s="23"/>
      <c r="Z6" s="23"/>
      <c r="AA6" s="632"/>
      <c r="AB6" s="632"/>
      <c r="AC6" s="25"/>
      <c r="AD6" s="25"/>
      <c r="AE6" s="19">
        <f t="shared" si="8"/>
        <v>-86.95652173912822</v>
      </c>
      <c r="AF6" s="161">
        <f t="shared" si="9"/>
        <v>0.95652173913043592</v>
      </c>
      <c r="AG6" s="637"/>
    </row>
    <row r="7" spans="1:33">
      <c r="A7" s="665" t="s">
        <v>608</v>
      </c>
      <c r="B7" s="42" t="s">
        <v>92</v>
      </c>
      <c r="C7" s="660" t="s">
        <v>109</v>
      </c>
      <c r="D7" s="661"/>
      <c r="E7" s="42">
        <v>50.49</v>
      </c>
      <c r="F7" s="168">
        <v>1955</v>
      </c>
      <c r="G7" s="160">
        <f t="shared" si="0"/>
        <v>98707.95</v>
      </c>
      <c r="H7" s="37" t="s">
        <v>91</v>
      </c>
      <c r="I7" s="165">
        <v>15</v>
      </c>
      <c r="J7" s="39">
        <v>2000</v>
      </c>
      <c r="K7" s="17">
        <f t="shared" si="1"/>
        <v>133.33333333333334</v>
      </c>
      <c r="L7" s="165">
        <v>15</v>
      </c>
      <c r="M7" s="18">
        <f t="shared" si="2"/>
        <v>1922.9508196721329</v>
      </c>
      <c r="N7" s="17">
        <f t="shared" si="3"/>
        <v>128.19672131147553</v>
      </c>
      <c r="O7" s="19">
        <f t="shared" si="4"/>
        <v>0</v>
      </c>
      <c r="P7" s="20">
        <f t="shared" si="5"/>
        <v>-5.1366120218578146</v>
      </c>
      <c r="Q7" s="161">
        <f t="shared" si="6"/>
        <v>0.96147540983606639</v>
      </c>
      <c r="R7" s="637"/>
      <c r="S7" s="40">
        <v>0.81180555555555545</v>
      </c>
      <c r="T7" s="40">
        <v>0.85416666666666652</v>
      </c>
      <c r="U7" s="160">
        <f t="shared" si="10"/>
        <v>5.9999999999999787</v>
      </c>
      <c r="V7" s="166">
        <f t="shared" si="7"/>
        <v>60.999999999999943</v>
      </c>
      <c r="W7" s="23"/>
      <c r="X7" s="23"/>
      <c r="Y7" s="26"/>
      <c r="Z7" s="26"/>
      <c r="AA7" s="627"/>
      <c r="AB7" s="628"/>
      <c r="AC7" s="27"/>
      <c r="AD7" s="27"/>
      <c r="AE7" s="19">
        <f t="shared" si="8"/>
        <v>-77.049180327867134</v>
      </c>
      <c r="AF7" s="161">
        <f t="shared" si="9"/>
        <v>0.96147540983606639</v>
      </c>
      <c r="AG7" s="637"/>
    </row>
    <row r="8" spans="1:33">
      <c r="A8" s="665" t="s">
        <v>608</v>
      </c>
      <c r="B8" s="42" t="s">
        <v>609</v>
      </c>
      <c r="C8" s="638"/>
      <c r="D8" s="638"/>
      <c r="E8" s="162"/>
      <c r="F8" s="44"/>
      <c r="G8" s="17"/>
      <c r="H8" s="168"/>
      <c r="I8" s="29">
        <v>15.333333333333334</v>
      </c>
      <c r="J8" s="39">
        <v>2000</v>
      </c>
      <c r="K8" s="17">
        <f t="shared" si="1"/>
        <v>130.43478260869566</v>
      </c>
      <c r="L8" s="29">
        <v>15.333333333333334</v>
      </c>
      <c r="M8" s="18">
        <f>AVERAGE(M5:M7)</f>
        <v>1914.1193114322143</v>
      </c>
      <c r="N8" s="17">
        <f t="shared" si="3"/>
        <v>124.83386813688354</v>
      </c>
      <c r="O8" s="19">
        <f t="shared" si="4"/>
        <v>0</v>
      </c>
      <c r="P8" s="20">
        <f t="shared" si="5"/>
        <v>-5.6009144718121178</v>
      </c>
      <c r="Q8" s="161">
        <f t="shared" si="6"/>
        <v>0.95705965571610707</v>
      </c>
      <c r="R8" s="637"/>
      <c r="S8" s="40"/>
      <c r="T8" s="40"/>
      <c r="U8" s="160"/>
      <c r="V8" s="166"/>
      <c r="W8" s="17"/>
      <c r="X8" s="17"/>
      <c r="Y8" s="30">
        <f>SUM(Y5:Y7)</f>
        <v>0</v>
      </c>
      <c r="Z8" s="30">
        <f>SUM(Z5:Z7)</f>
        <v>0</v>
      </c>
      <c r="AA8" s="631"/>
      <c r="AB8" s="631"/>
      <c r="AC8" s="30">
        <v>3</v>
      </c>
      <c r="AD8" s="30">
        <f>SUM(AD5:AD7)</f>
        <v>0</v>
      </c>
      <c r="AE8" s="19">
        <f t="shared" si="8"/>
        <v>-85.880688567785683</v>
      </c>
      <c r="AF8" s="161">
        <f t="shared" si="9"/>
        <v>0.95705965571610718</v>
      </c>
      <c r="AG8" s="637"/>
    </row>
    <row r="9" spans="1:33" ht="15.75" customHeight="1">
      <c r="A9" s="659" t="s">
        <v>610</v>
      </c>
      <c r="B9" s="42" t="s">
        <v>96</v>
      </c>
      <c r="C9" s="660" t="s">
        <v>97</v>
      </c>
      <c r="D9" s="661"/>
      <c r="E9" s="42">
        <v>39.799999999999997</v>
      </c>
      <c r="F9" s="168">
        <v>3600</v>
      </c>
      <c r="G9" s="160">
        <f t="shared" ref="G9:G13" si="11">E9*F9</f>
        <v>143280</v>
      </c>
      <c r="H9" s="37">
        <v>2</v>
      </c>
      <c r="I9" s="165">
        <v>17</v>
      </c>
      <c r="J9" s="39">
        <v>1500</v>
      </c>
      <c r="K9" s="17">
        <f t="shared" si="1"/>
        <v>88.235294117647058</v>
      </c>
      <c r="L9" s="165">
        <v>17</v>
      </c>
      <c r="M9" s="18">
        <f t="shared" ref="M9:M13" si="12">F9/V9*60</f>
        <v>1430.4635761589404</v>
      </c>
      <c r="N9" s="17">
        <f t="shared" si="3"/>
        <v>84.144916244643554</v>
      </c>
      <c r="O9" s="19">
        <f t="shared" si="4"/>
        <v>0</v>
      </c>
      <c r="P9" s="20">
        <f t="shared" si="5"/>
        <v>-4.0903778730035043</v>
      </c>
      <c r="Q9" s="161">
        <f t="shared" si="6"/>
        <v>0.95364238410596025</v>
      </c>
      <c r="R9" s="637">
        <f>Q14</f>
        <v>0.9541155186334227</v>
      </c>
      <c r="S9" s="40">
        <v>8.3333333333333329E-2</v>
      </c>
      <c r="T9" s="40">
        <v>0.18819444444444444</v>
      </c>
      <c r="U9" s="160"/>
      <c r="V9" s="166">
        <f t="shared" ref="V9:V13" si="13">(T9-S9)*24*60</f>
        <v>151</v>
      </c>
      <c r="W9" s="23">
        <f>T9</f>
        <v>0.18819444444444444</v>
      </c>
      <c r="X9" s="23">
        <f>S10</f>
        <v>0.20694444444444446</v>
      </c>
      <c r="Y9" s="23"/>
      <c r="Z9" s="23"/>
      <c r="AA9" s="632"/>
      <c r="AB9" s="632"/>
      <c r="AC9" s="25">
        <v>5</v>
      </c>
      <c r="AD9" s="25"/>
      <c r="AE9" s="19">
        <f t="shared" si="8"/>
        <v>-69.536423841059559</v>
      </c>
      <c r="AF9" s="161">
        <f t="shared" si="9"/>
        <v>0.95364238410596025</v>
      </c>
      <c r="AG9" s="637">
        <f>AF14</f>
        <v>0.9541155186334227</v>
      </c>
    </row>
    <row r="10" spans="1:33" ht="15.75" customHeight="1">
      <c r="A10" s="659" t="s">
        <v>610</v>
      </c>
      <c r="B10" s="42" t="s">
        <v>96</v>
      </c>
      <c r="C10" s="660" t="s">
        <v>98</v>
      </c>
      <c r="D10" s="661"/>
      <c r="E10" s="42">
        <v>39.46</v>
      </c>
      <c r="F10" s="168">
        <v>2546</v>
      </c>
      <c r="G10" s="160">
        <f t="shared" si="11"/>
        <v>100465.16</v>
      </c>
      <c r="H10" s="37" t="s">
        <v>91</v>
      </c>
      <c r="I10" s="165">
        <v>15</v>
      </c>
      <c r="J10" s="39">
        <v>1500</v>
      </c>
      <c r="K10" s="17">
        <f t="shared" si="1"/>
        <v>100</v>
      </c>
      <c r="L10" s="165">
        <v>15</v>
      </c>
      <c r="M10" s="18">
        <f t="shared" si="12"/>
        <v>1427.6635514018694</v>
      </c>
      <c r="N10" s="17">
        <f t="shared" si="3"/>
        <v>95.177570093457959</v>
      </c>
      <c r="O10" s="19">
        <f t="shared" si="4"/>
        <v>0</v>
      </c>
      <c r="P10" s="20">
        <f t="shared" si="5"/>
        <v>-4.8224299065420411</v>
      </c>
      <c r="Q10" s="161">
        <f t="shared" si="6"/>
        <v>0.95177570093457964</v>
      </c>
      <c r="R10" s="637"/>
      <c r="S10" s="40">
        <v>0.20694444444444446</v>
      </c>
      <c r="T10" s="40">
        <v>0.28125</v>
      </c>
      <c r="U10" s="160">
        <f t="shared" ref="U10:U13" si="14">IF(S10=TIME(17,0,0),"",(S10-T9)*24*60)</f>
        <v>27.000000000000025</v>
      </c>
      <c r="V10" s="166">
        <f t="shared" si="13"/>
        <v>106.99999999999999</v>
      </c>
      <c r="W10" s="23"/>
      <c r="X10" s="23"/>
      <c r="Y10" s="23"/>
      <c r="Z10" s="23"/>
      <c r="AA10" s="632"/>
      <c r="AB10" s="632"/>
      <c r="AC10" s="25"/>
      <c r="AD10" s="25"/>
      <c r="AE10" s="19">
        <f t="shared" si="8"/>
        <v>-72.336448598130573</v>
      </c>
      <c r="AF10" s="161">
        <f t="shared" si="9"/>
        <v>0.95177570093457964</v>
      </c>
      <c r="AG10" s="637"/>
    </row>
    <row r="11" spans="1:33" ht="15.75" customHeight="1">
      <c r="A11" s="659" t="s">
        <v>610</v>
      </c>
      <c r="B11" s="42" t="s">
        <v>96</v>
      </c>
      <c r="C11" s="660" t="s">
        <v>99</v>
      </c>
      <c r="D11" s="661"/>
      <c r="E11" s="42">
        <v>39.520000000000003</v>
      </c>
      <c r="F11" s="168">
        <v>2266</v>
      </c>
      <c r="G11" s="160">
        <f t="shared" si="11"/>
        <v>89552.320000000007</v>
      </c>
      <c r="H11" s="37" t="s">
        <v>91</v>
      </c>
      <c r="I11" s="165">
        <v>19</v>
      </c>
      <c r="J11" s="39">
        <v>1500</v>
      </c>
      <c r="K11" s="17">
        <f t="shared" si="1"/>
        <v>78.94736842105263</v>
      </c>
      <c r="L11" s="165">
        <v>19</v>
      </c>
      <c r="M11" s="18">
        <f t="shared" si="12"/>
        <v>1431.1578947368423</v>
      </c>
      <c r="N11" s="17">
        <f t="shared" si="3"/>
        <v>75.324099722991704</v>
      </c>
      <c r="O11" s="19">
        <f t="shared" si="4"/>
        <v>0</v>
      </c>
      <c r="P11" s="20">
        <f t="shared" si="5"/>
        <v>-3.6232686980609259</v>
      </c>
      <c r="Q11" s="161">
        <f t="shared" si="6"/>
        <v>0.9541052631578949</v>
      </c>
      <c r="R11" s="637"/>
      <c r="S11" s="40">
        <v>0.28541666666666665</v>
      </c>
      <c r="T11" s="40">
        <v>0.35138888888888886</v>
      </c>
      <c r="U11" s="160">
        <f t="shared" si="14"/>
        <v>5.9999999999999787</v>
      </c>
      <c r="V11" s="166">
        <f t="shared" si="13"/>
        <v>94.999999999999986</v>
      </c>
      <c r="W11" s="23"/>
      <c r="X11" s="23"/>
      <c r="Y11" s="23"/>
      <c r="Z11" s="23"/>
      <c r="AA11" s="632"/>
      <c r="AB11" s="632"/>
      <c r="AC11" s="25"/>
      <c r="AD11" s="25"/>
      <c r="AE11" s="19">
        <f t="shared" si="8"/>
        <v>-68.842105263157691</v>
      </c>
      <c r="AF11" s="161">
        <f t="shared" si="9"/>
        <v>0.9541052631578949</v>
      </c>
      <c r="AG11" s="637"/>
    </row>
    <row r="12" spans="1:33" ht="15.75" customHeight="1">
      <c r="A12" s="659" t="s">
        <v>610</v>
      </c>
      <c r="B12" s="42" t="s">
        <v>96</v>
      </c>
      <c r="C12" s="660" t="s">
        <v>100</v>
      </c>
      <c r="D12" s="661"/>
      <c r="E12" s="42">
        <v>39.619999999999997</v>
      </c>
      <c r="F12" s="168">
        <v>4360</v>
      </c>
      <c r="G12" s="160">
        <f t="shared" si="11"/>
        <v>172743.19999999998</v>
      </c>
      <c r="H12" s="37" t="s">
        <v>91</v>
      </c>
      <c r="I12" s="165">
        <v>19</v>
      </c>
      <c r="J12" s="39">
        <v>1500</v>
      </c>
      <c r="K12" s="17">
        <f t="shared" si="1"/>
        <v>78.94736842105263</v>
      </c>
      <c r="L12" s="165">
        <v>19</v>
      </c>
      <c r="M12" s="18">
        <f t="shared" si="12"/>
        <v>1429.5081967213114</v>
      </c>
      <c r="N12" s="17">
        <f t="shared" si="3"/>
        <v>75.23727351164797</v>
      </c>
      <c r="O12" s="19">
        <f t="shared" si="4"/>
        <v>0</v>
      </c>
      <c r="P12" s="20">
        <f t="shared" si="5"/>
        <v>-3.7100949094046598</v>
      </c>
      <c r="Q12" s="161">
        <f t="shared" si="6"/>
        <v>0.95300546448087431</v>
      </c>
      <c r="R12" s="637"/>
      <c r="S12" s="40">
        <v>0.3569444444444444</v>
      </c>
      <c r="T12" s="40">
        <v>0.48402777777777772</v>
      </c>
      <c r="U12" s="160">
        <f t="shared" si="14"/>
        <v>7.9999999999999716</v>
      </c>
      <c r="V12" s="166">
        <f t="shared" si="13"/>
        <v>183</v>
      </c>
      <c r="W12" s="23">
        <f>T12</f>
        <v>0.48402777777777772</v>
      </c>
      <c r="X12" s="23">
        <f>S13</f>
        <v>0.52569444444444435</v>
      </c>
      <c r="Y12" s="23"/>
      <c r="Z12" s="23"/>
      <c r="AA12" s="627"/>
      <c r="AB12" s="628"/>
      <c r="AC12" s="25"/>
      <c r="AD12" s="25"/>
      <c r="AE12" s="19">
        <f t="shared" si="8"/>
        <v>-70.491803278688622</v>
      </c>
      <c r="AF12" s="161">
        <f t="shared" si="9"/>
        <v>0.9530054644808742</v>
      </c>
      <c r="AG12" s="637"/>
    </row>
    <row r="13" spans="1:33" ht="15.75" customHeight="1">
      <c r="A13" s="659" t="s">
        <v>610</v>
      </c>
      <c r="B13" s="42" t="s">
        <v>96</v>
      </c>
      <c r="C13" s="660" t="s">
        <v>97</v>
      </c>
      <c r="D13" s="661"/>
      <c r="E13" s="42">
        <v>39.799999999999997</v>
      </c>
      <c r="F13" s="168">
        <v>2946</v>
      </c>
      <c r="G13" s="160">
        <f t="shared" si="11"/>
        <v>117250.79999999999</v>
      </c>
      <c r="H13" s="37" t="s">
        <v>91</v>
      </c>
      <c r="I13" s="165">
        <v>17</v>
      </c>
      <c r="J13" s="39">
        <v>1500</v>
      </c>
      <c r="K13" s="17">
        <f t="shared" si="1"/>
        <v>88.235294117647058</v>
      </c>
      <c r="L13" s="165">
        <v>17</v>
      </c>
      <c r="M13" s="18">
        <f t="shared" si="12"/>
        <v>1437.0731707317068</v>
      </c>
      <c r="N13" s="17">
        <f t="shared" si="3"/>
        <v>84.533715925394517</v>
      </c>
      <c r="O13" s="19">
        <f t="shared" si="4"/>
        <v>0</v>
      </c>
      <c r="P13" s="20">
        <f t="shared" si="5"/>
        <v>-3.7015781922525406</v>
      </c>
      <c r="Q13" s="161">
        <f t="shared" si="6"/>
        <v>0.95804878048780451</v>
      </c>
      <c r="R13" s="637"/>
      <c r="S13" s="40">
        <v>0.52569444444444435</v>
      </c>
      <c r="T13" s="40">
        <v>0.61111111111111105</v>
      </c>
      <c r="U13" s="160">
        <f t="shared" si="14"/>
        <v>59.999999999999943</v>
      </c>
      <c r="V13" s="166">
        <f t="shared" si="13"/>
        <v>123.00000000000004</v>
      </c>
      <c r="W13" s="23"/>
      <c r="X13" s="23"/>
      <c r="Y13" s="26"/>
      <c r="Z13" s="26"/>
      <c r="AA13" s="627"/>
      <c r="AB13" s="628"/>
      <c r="AC13" s="25"/>
      <c r="AD13" s="25"/>
      <c r="AE13" s="19">
        <f t="shared" si="8"/>
        <v>-62.926829268293204</v>
      </c>
      <c r="AF13" s="161">
        <f t="shared" si="9"/>
        <v>0.95804878048780451</v>
      </c>
      <c r="AG13" s="637"/>
    </row>
    <row r="14" spans="1:33" ht="16.5" customHeight="1">
      <c r="A14" s="659" t="s">
        <v>610</v>
      </c>
      <c r="B14" s="42" t="s">
        <v>609</v>
      </c>
      <c r="C14" s="638"/>
      <c r="D14" s="638"/>
      <c r="E14" s="162"/>
      <c r="F14" s="39"/>
      <c r="G14" s="18"/>
      <c r="H14" s="168"/>
      <c r="I14" s="29">
        <v>17.399999999999999</v>
      </c>
      <c r="J14" s="39">
        <v>1500</v>
      </c>
      <c r="K14" s="17">
        <f t="shared" si="1"/>
        <v>86.206896551724142</v>
      </c>
      <c r="L14" s="29">
        <v>17.399999999999999</v>
      </c>
      <c r="M14" s="18">
        <f>AVERAGE(M9:M13)</f>
        <v>1431.173277950134</v>
      </c>
      <c r="N14" s="17">
        <f t="shared" si="3"/>
        <v>82.251337813226101</v>
      </c>
      <c r="O14" s="19">
        <f t="shared" si="4"/>
        <v>0</v>
      </c>
      <c r="P14" s="20">
        <f t="shared" si="5"/>
        <v>-3.9555587384980413</v>
      </c>
      <c r="Q14" s="161">
        <f t="shared" si="6"/>
        <v>0.9541155186334227</v>
      </c>
      <c r="R14" s="637"/>
      <c r="S14" s="40"/>
      <c r="T14" s="40"/>
      <c r="U14" s="17"/>
      <c r="V14" s="166"/>
      <c r="W14" s="17"/>
      <c r="X14" s="17"/>
      <c r="Y14" s="30">
        <f>SUM(Y9:Y13)</f>
        <v>0</v>
      </c>
      <c r="Z14" s="30">
        <f>SUM(Z9:Z13)</f>
        <v>0</v>
      </c>
      <c r="AA14" s="631"/>
      <c r="AB14" s="631"/>
      <c r="AC14" s="30">
        <v>5</v>
      </c>
      <c r="AD14" s="30">
        <f>SUM(AD9:AD13)</f>
        <v>0</v>
      </c>
      <c r="AE14" s="19">
        <f t="shared" si="8"/>
        <v>-68.826722049866021</v>
      </c>
      <c r="AF14" s="161">
        <f t="shared" si="9"/>
        <v>0.9541155186334227</v>
      </c>
      <c r="AG14" s="637"/>
    </row>
    <row r="15" spans="1:33" ht="16.5" customHeight="1">
      <c r="A15" s="657" t="s">
        <v>611</v>
      </c>
      <c r="B15" s="168" t="s">
        <v>101</v>
      </c>
      <c r="C15" s="653" t="s">
        <v>102</v>
      </c>
      <c r="D15" s="653"/>
      <c r="E15" s="42">
        <v>31.11</v>
      </c>
      <c r="F15" s="168">
        <v>3689</v>
      </c>
      <c r="G15" s="160">
        <f t="shared" ref="G15:G22" si="15">E15*F15</f>
        <v>114764.79</v>
      </c>
      <c r="H15" s="37" t="s">
        <v>91</v>
      </c>
      <c r="I15" s="165">
        <v>14</v>
      </c>
      <c r="J15" s="39">
        <v>2000</v>
      </c>
      <c r="K15" s="17">
        <f t="shared" si="1"/>
        <v>142.85714285714286</v>
      </c>
      <c r="L15" s="165">
        <v>14</v>
      </c>
      <c r="M15" s="18">
        <f t="shared" ref="M15:M22" si="16">F15/V15*60</f>
        <v>1908.1034482758614</v>
      </c>
      <c r="N15" s="17">
        <f t="shared" si="3"/>
        <v>136.29310344827582</v>
      </c>
      <c r="O15" s="19">
        <f t="shared" si="4"/>
        <v>0</v>
      </c>
      <c r="P15" s="20">
        <f t="shared" si="5"/>
        <v>-6.5640394088670462</v>
      </c>
      <c r="Q15" s="161">
        <f t="shared" si="6"/>
        <v>0.95405172413793071</v>
      </c>
      <c r="R15" s="637">
        <f>Q23</f>
        <v>0.96032074334300033</v>
      </c>
      <c r="S15" s="40">
        <v>0.20833333333333334</v>
      </c>
      <c r="T15" s="40">
        <v>0.28888888888888892</v>
      </c>
      <c r="U15" s="160"/>
      <c r="V15" s="166">
        <f t="shared" ref="V15:V22" si="17">(T15-S15)*24*60</f>
        <v>116.00000000000003</v>
      </c>
      <c r="W15" s="23"/>
      <c r="X15" s="23"/>
      <c r="Y15" s="28"/>
      <c r="Z15" s="28"/>
      <c r="AA15" s="632"/>
      <c r="AB15" s="632"/>
      <c r="AC15" s="25">
        <v>8</v>
      </c>
      <c r="AD15" s="25"/>
      <c r="AE15" s="19">
        <f t="shared" si="8"/>
        <v>-91.89655172413859</v>
      </c>
      <c r="AF15" s="161">
        <f t="shared" si="9"/>
        <v>0.95405172413793071</v>
      </c>
      <c r="AG15" s="637">
        <f>AF23</f>
        <v>0.96032074334300033</v>
      </c>
    </row>
    <row r="16" spans="1:33" ht="16.5" customHeight="1">
      <c r="A16" s="658" t="s">
        <v>611</v>
      </c>
      <c r="B16" s="168" t="s">
        <v>103</v>
      </c>
      <c r="C16" s="653" t="s">
        <v>104</v>
      </c>
      <c r="D16" s="653"/>
      <c r="E16" s="42">
        <v>38.619999999999997</v>
      </c>
      <c r="F16" s="168">
        <v>2157</v>
      </c>
      <c r="G16" s="160">
        <f t="shared" si="15"/>
        <v>83303.34</v>
      </c>
      <c r="H16" s="37" t="s">
        <v>91</v>
      </c>
      <c r="I16" s="165">
        <v>24</v>
      </c>
      <c r="J16" s="39">
        <v>1500</v>
      </c>
      <c r="K16" s="17">
        <f t="shared" si="1"/>
        <v>62.5</v>
      </c>
      <c r="L16" s="165">
        <v>24</v>
      </c>
      <c r="M16" s="18">
        <f t="shared" si="16"/>
        <v>1438</v>
      </c>
      <c r="N16" s="17">
        <f t="shared" si="3"/>
        <v>59.916666666666664</v>
      </c>
      <c r="O16" s="19">
        <f t="shared" si="4"/>
        <v>0</v>
      </c>
      <c r="P16" s="20">
        <f t="shared" si="5"/>
        <v>-2.5833333333333357</v>
      </c>
      <c r="Q16" s="161">
        <f t="shared" si="6"/>
        <v>0.95866666666666667</v>
      </c>
      <c r="R16" s="637"/>
      <c r="S16" s="40">
        <v>0.29444444444444445</v>
      </c>
      <c r="T16" s="40">
        <v>0.35694444444444445</v>
      </c>
      <c r="U16" s="160">
        <f t="shared" ref="U16:U22" si="18">IF(S16=TIME(17,0,0),"",(S16-T15)*24*60)</f>
        <v>7.9999999999999716</v>
      </c>
      <c r="V16" s="166">
        <f t="shared" si="17"/>
        <v>90</v>
      </c>
      <c r="W16" s="23"/>
      <c r="X16" s="23"/>
      <c r="Y16" s="23"/>
      <c r="Z16" s="23"/>
      <c r="AA16" s="632"/>
      <c r="AB16" s="632"/>
      <c r="AC16" s="25"/>
      <c r="AD16" s="25"/>
      <c r="AE16" s="19">
        <f t="shared" si="8"/>
        <v>-62</v>
      </c>
      <c r="AF16" s="161">
        <f t="shared" si="9"/>
        <v>0.95866666666666667</v>
      </c>
      <c r="AG16" s="637"/>
    </row>
    <row r="17" spans="1:33" ht="16.5" customHeight="1">
      <c r="A17" s="658" t="s">
        <v>612</v>
      </c>
      <c r="B17" s="168" t="s">
        <v>103</v>
      </c>
      <c r="C17" s="653" t="s">
        <v>105</v>
      </c>
      <c r="D17" s="653"/>
      <c r="E17" s="42">
        <v>41</v>
      </c>
      <c r="F17" s="168">
        <v>1846</v>
      </c>
      <c r="G17" s="160">
        <f t="shared" si="15"/>
        <v>75686</v>
      </c>
      <c r="H17" s="37" t="s">
        <v>91</v>
      </c>
      <c r="I17" s="165">
        <v>26</v>
      </c>
      <c r="J17" s="39">
        <v>1500</v>
      </c>
      <c r="K17" s="17">
        <f t="shared" si="1"/>
        <v>57.692307692307693</v>
      </c>
      <c r="L17" s="165">
        <v>26</v>
      </c>
      <c r="M17" s="18">
        <f t="shared" si="16"/>
        <v>1438.441558441559</v>
      </c>
      <c r="N17" s="17">
        <f t="shared" si="3"/>
        <v>55.324675324675347</v>
      </c>
      <c r="O17" s="19">
        <f t="shared" si="4"/>
        <v>0</v>
      </c>
      <c r="P17" s="20">
        <f t="shared" si="5"/>
        <v>-2.3676323676323463</v>
      </c>
      <c r="Q17" s="161">
        <f t="shared" si="6"/>
        <v>0.95896103896103935</v>
      </c>
      <c r="R17" s="637"/>
      <c r="S17" s="40">
        <v>0.36249999999999999</v>
      </c>
      <c r="T17" s="40">
        <v>0.41597222222222219</v>
      </c>
      <c r="U17" s="160">
        <f t="shared" si="18"/>
        <v>7.9999999999999716</v>
      </c>
      <c r="V17" s="166">
        <f t="shared" si="17"/>
        <v>76.999999999999972</v>
      </c>
      <c r="W17" s="23"/>
      <c r="X17" s="23"/>
      <c r="Y17" s="23"/>
      <c r="Z17" s="23"/>
      <c r="AA17" s="632"/>
      <c r="AB17" s="632"/>
      <c r="AC17" s="25"/>
      <c r="AD17" s="25"/>
      <c r="AE17" s="19">
        <f t="shared" si="8"/>
        <v>-61.558441558441018</v>
      </c>
      <c r="AF17" s="161">
        <f t="shared" si="9"/>
        <v>0.95896103896103935</v>
      </c>
      <c r="AG17" s="637"/>
    </row>
    <row r="18" spans="1:33" ht="16.5" customHeight="1">
      <c r="A18" s="658" t="s">
        <v>611</v>
      </c>
      <c r="B18" s="168" t="s">
        <v>92</v>
      </c>
      <c r="C18" s="653" t="s">
        <v>106</v>
      </c>
      <c r="D18" s="653"/>
      <c r="E18" s="42">
        <v>37.03</v>
      </c>
      <c r="F18" s="168">
        <v>3423</v>
      </c>
      <c r="G18" s="160">
        <f t="shared" si="15"/>
        <v>126753.69</v>
      </c>
      <c r="H18" s="37" t="s">
        <v>91</v>
      </c>
      <c r="I18" s="165">
        <v>13</v>
      </c>
      <c r="J18" s="39">
        <v>1500</v>
      </c>
      <c r="K18" s="17">
        <f t="shared" si="1"/>
        <v>115.38461538461539</v>
      </c>
      <c r="L18" s="165">
        <v>13</v>
      </c>
      <c r="M18" s="18">
        <f t="shared" si="16"/>
        <v>1436.2237762237764</v>
      </c>
      <c r="N18" s="17">
        <f t="shared" si="3"/>
        <v>110.47875201721357</v>
      </c>
      <c r="O18" s="19">
        <f t="shared" si="4"/>
        <v>0</v>
      </c>
      <c r="P18" s="20">
        <f t="shared" si="5"/>
        <v>-4.9058633674018211</v>
      </c>
      <c r="Q18" s="161">
        <f t="shared" si="6"/>
        <v>0.95748251748251756</v>
      </c>
      <c r="R18" s="637"/>
      <c r="S18" s="40">
        <v>0.42083333333333328</v>
      </c>
      <c r="T18" s="40">
        <v>0.52013888888888882</v>
      </c>
      <c r="U18" s="160">
        <f t="shared" si="18"/>
        <v>6.9999999999999751</v>
      </c>
      <c r="V18" s="166">
        <f t="shared" si="17"/>
        <v>142.99999999999997</v>
      </c>
      <c r="W18" s="23"/>
      <c r="X18" s="23"/>
      <c r="Y18" s="23"/>
      <c r="Z18" s="23"/>
      <c r="AA18" s="632"/>
      <c r="AB18" s="632"/>
      <c r="AC18" s="25"/>
      <c r="AD18" s="25"/>
      <c r="AE18" s="19">
        <f t="shared" si="8"/>
        <v>-63.77622377622356</v>
      </c>
      <c r="AF18" s="161">
        <f t="shared" si="9"/>
        <v>0.95748251748251767</v>
      </c>
      <c r="AG18" s="637"/>
    </row>
    <row r="19" spans="1:33" ht="16.5" customHeight="1">
      <c r="A19" s="658" t="s">
        <v>611</v>
      </c>
      <c r="B19" s="168" t="s">
        <v>92</v>
      </c>
      <c r="C19" s="653" t="s">
        <v>108</v>
      </c>
      <c r="D19" s="653"/>
      <c r="E19" s="42">
        <v>54.5</v>
      </c>
      <c r="F19" s="168">
        <v>1702</v>
      </c>
      <c r="G19" s="160">
        <f t="shared" si="15"/>
        <v>92759</v>
      </c>
      <c r="H19" s="37" t="s">
        <v>91</v>
      </c>
      <c r="I19" s="165">
        <v>20</v>
      </c>
      <c r="J19" s="39">
        <v>1500</v>
      </c>
      <c r="K19" s="17">
        <f t="shared" si="1"/>
        <v>75</v>
      </c>
      <c r="L19" s="165">
        <v>20</v>
      </c>
      <c r="M19" s="18">
        <f t="shared" si="16"/>
        <v>1438.3098591549281</v>
      </c>
      <c r="N19" s="17">
        <f t="shared" si="3"/>
        <v>71.915492957746409</v>
      </c>
      <c r="O19" s="19">
        <f t="shared" si="4"/>
        <v>0</v>
      </c>
      <c r="P19" s="20">
        <f t="shared" si="5"/>
        <v>-3.0845070422535912</v>
      </c>
      <c r="Q19" s="161">
        <f t="shared" si="6"/>
        <v>0.95887323943661873</v>
      </c>
      <c r="R19" s="637"/>
      <c r="S19" s="40">
        <v>0.70833333333333337</v>
      </c>
      <c r="T19" s="40">
        <v>0.75763888888888897</v>
      </c>
      <c r="U19" s="160" t="str">
        <f t="shared" si="18"/>
        <v/>
      </c>
      <c r="V19" s="166">
        <f t="shared" si="17"/>
        <v>71.000000000000071</v>
      </c>
      <c r="W19" s="23"/>
      <c r="X19" s="23"/>
      <c r="Y19" s="23"/>
      <c r="Z19" s="23"/>
      <c r="AA19" s="632"/>
      <c r="AB19" s="632"/>
      <c r="AC19" s="25"/>
      <c r="AD19" s="25"/>
      <c r="AE19" s="19">
        <f t="shared" si="8"/>
        <v>-61.690140845071937</v>
      </c>
      <c r="AF19" s="161">
        <f t="shared" si="9"/>
        <v>0.95887323943661873</v>
      </c>
      <c r="AG19" s="637"/>
    </row>
    <row r="20" spans="1:33" ht="16.5" customHeight="1">
      <c r="A20" s="658" t="s">
        <v>611</v>
      </c>
      <c r="B20" s="168" t="s">
        <v>92</v>
      </c>
      <c r="C20" s="163" t="s">
        <v>107</v>
      </c>
      <c r="D20" s="164"/>
      <c r="E20" s="42">
        <v>50.67</v>
      </c>
      <c r="F20" s="168">
        <v>1451</v>
      </c>
      <c r="G20" s="160">
        <f t="shared" si="15"/>
        <v>73522.17</v>
      </c>
      <c r="H20" s="37" t="s">
        <v>91</v>
      </c>
      <c r="I20" s="165">
        <v>17</v>
      </c>
      <c r="J20" s="39">
        <v>2000</v>
      </c>
      <c r="K20" s="17">
        <f t="shared" si="1"/>
        <v>117.64705882352941</v>
      </c>
      <c r="L20" s="165">
        <v>17</v>
      </c>
      <c r="M20" s="18">
        <f t="shared" si="16"/>
        <v>1934.6666666666667</v>
      </c>
      <c r="N20" s="17">
        <f t="shared" si="3"/>
        <v>113.80392156862746</v>
      </c>
      <c r="O20" s="19">
        <f t="shared" si="4"/>
        <v>0</v>
      </c>
      <c r="P20" s="20">
        <f t="shared" si="5"/>
        <v>-3.8431372549019471</v>
      </c>
      <c r="Q20" s="161">
        <f t="shared" si="6"/>
        <v>0.96733333333333349</v>
      </c>
      <c r="R20" s="637"/>
      <c r="S20" s="40">
        <v>0.76111111111111118</v>
      </c>
      <c r="T20" s="40">
        <v>0.79236111111111118</v>
      </c>
      <c r="U20" s="160">
        <f t="shared" si="18"/>
        <v>4.9999999999999822</v>
      </c>
      <c r="V20" s="166">
        <f t="shared" si="17"/>
        <v>45</v>
      </c>
      <c r="W20" s="23"/>
      <c r="X20" s="23"/>
      <c r="Y20" s="26"/>
      <c r="Z20" s="26"/>
      <c r="AA20" s="156"/>
      <c r="AB20" s="157"/>
      <c r="AC20" s="25"/>
      <c r="AD20" s="25"/>
      <c r="AE20" s="19">
        <f t="shared" si="8"/>
        <v>-65.333333333333258</v>
      </c>
      <c r="AF20" s="161">
        <f t="shared" si="9"/>
        <v>0.96733333333333338</v>
      </c>
      <c r="AG20" s="637"/>
    </row>
    <row r="21" spans="1:33" ht="16.5" customHeight="1">
      <c r="A21" s="658" t="s">
        <v>611</v>
      </c>
      <c r="B21" s="168" t="s">
        <v>92</v>
      </c>
      <c r="C21" s="163" t="s">
        <v>95</v>
      </c>
      <c r="D21" s="164"/>
      <c r="E21" s="42">
        <v>50.67</v>
      </c>
      <c r="F21" s="168">
        <v>1456</v>
      </c>
      <c r="G21" s="160">
        <f t="shared" si="15"/>
        <v>73775.520000000004</v>
      </c>
      <c r="H21" s="37" t="s">
        <v>91</v>
      </c>
      <c r="I21" s="165">
        <v>15</v>
      </c>
      <c r="J21" s="39">
        <v>2000</v>
      </c>
      <c r="K21" s="17">
        <f t="shared" si="1"/>
        <v>133.33333333333334</v>
      </c>
      <c r="L21" s="165">
        <v>15</v>
      </c>
      <c r="M21" s="18">
        <f t="shared" si="16"/>
        <v>1941.3333333333333</v>
      </c>
      <c r="N21" s="17">
        <f t="shared" si="3"/>
        <v>129.42222222222222</v>
      </c>
      <c r="O21" s="19">
        <f t="shared" si="4"/>
        <v>0</v>
      </c>
      <c r="P21" s="20">
        <f t="shared" si="5"/>
        <v>-3.9111111111111256</v>
      </c>
      <c r="Q21" s="161">
        <f t="shared" si="6"/>
        <v>0.97066666666666657</v>
      </c>
      <c r="R21" s="637"/>
      <c r="S21" s="40">
        <v>0.79791666666666672</v>
      </c>
      <c r="T21" s="40">
        <v>0.82916666666666672</v>
      </c>
      <c r="U21" s="160">
        <f t="shared" si="18"/>
        <v>7.9999999999999716</v>
      </c>
      <c r="V21" s="166">
        <f t="shared" si="17"/>
        <v>45</v>
      </c>
      <c r="W21" s="23">
        <f>T21</f>
        <v>0.82916666666666672</v>
      </c>
      <c r="X21" s="23">
        <f>S22</f>
        <v>0.87083333333333335</v>
      </c>
      <c r="Y21" s="26"/>
      <c r="Z21" s="26"/>
      <c r="AA21" s="156"/>
      <c r="AB21" s="157"/>
      <c r="AC21" s="25"/>
      <c r="AD21" s="25"/>
      <c r="AE21" s="19">
        <f t="shared" si="8"/>
        <v>-58.666666666666742</v>
      </c>
      <c r="AF21" s="161">
        <f t="shared" si="9"/>
        <v>0.97066666666666668</v>
      </c>
      <c r="AG21" s="637"/>
    </row>
    <row r="22" spans="1:33" ht="16.5" customHeight="1">
      <c r="A22" s="658" t="s">
        <v>611</v>
      </c>
      <c r="B22" s="168" t="s">
        <v>92</v>
      </c>
      <c r="C22" s="163" t="s">
        <v>114</v>
      </c>
      <c r="D22" s="164"/>
      <c r="E22" s="42">
        <v>54.09</v>
      </c>
      <c r="F22" s="168">
        <v>1082</v>
      </c>
      <c r="G22" s="160">
        <f t="shared" si="15"/>
        <v>58525.380000000005</v>
      </c>
      <c r="H22" s="37" t="s">
        <v>91</v>
      </c>
      <c r="I22" s="165">
        <v>18</v>
      </c>
      <c r="J22" s="39">
        <v>2000</v>
      </c>
      <c r="K22" s="17">
        <f t="shared" si="1"/>
        <v>111.11111111111111</v>
      </c>
      <c r="L22" s="165">
        <v>18</v>
      </c>
      <c r="M22" s="18">
        <f t="shared" si="16"/>
        <v>1909.4117647058802</v>
      </c>
      <c r="N22" s="17">
        <f t="shared" si="3"/>
        <v>106.07843137254889</v>
      </c>
      <c r="O22" s="19">
        <f t="shared" si="4"/>
        <v>0</v>
      </c>
      <c r="P22" s="20">
        <f t="shared" si="5"/>
        <v>-5.0326797385622228</v>
      </c>
      <c r="Q22" s="161">
        <f t="shared" si="6"/>
        <v>0.95470588235293996</v>
      </c>
      <c r="R22" s="637"/>
      <c r="S22" s="40">
        <v>0.87083333333333335</v>
      </c>
      <c r="T22" s="40">
        <v>0.89444444444444449</v>
      </c>
      <c r="U22" s="160">
        <f t="shared" si="18"/>
        <v>59.999999999999943</v>
      </c>
      <c r="V22" s="166">
        <f t="shared" si="17"/>
        <v>34.000000000000043</v>
      </c>
      <c r="W22" s="23"/>
      <c r="X22" s="23"/>
      <c r="Y22" s="26"/>
      <c r="Z22" s="26"/>
      <c r="AA22" s="156"/>
      <c r="AB22" s="157"/>
      <c r="AC22" s="25"/>
      <c r="AD22" s="25"/>
      <c r="AE22" s="19">
        <f t="shared" si="8"/>
        <v>-90.588235294119841</v>
      </c>
      <c r="AF22" s="161">
        <f t="shared" si="9"/>
        <v>0.95470588235294007</v>
      </c>
      <c r="AG22" s="637"/>
    </row>
    <row r="23" spans="1:33" ht="16.5" customHeight="1">
      <c r="A23" s="658" t="s">
        <v>611</v>
      </c>
      <c r="B23" s="42" t="s">
        <v>609</v>
      </c>
      <c r="C23" s="638"/>
      <c r="D23" s="638"/>
      <c r="E23" s="162"/>
      <c r="F23" s="44"/>
      <c r="G23" s="17"/>
      <c r="H23" s="168"/>
      <c r="I23" s="29">
        <v>18.375</v>
      </c>
      <c r="J23" s="39">
        <v>1750</v>
      </c>
      <c r="K23" s="17">
        <f t="shared" si="1"/>
        <v>95.238095238095241</v>
      </c>
      <c r="L23" s="29">
        <v>18.375</v>
      </c>
      <c r="M23" s="18">
        <f>AVERAGE(M15:M22)</f>
        <v>1680.5613008502505</v>
      </c>
      <c r="N23" s="17">
        <f t="shared" si="3"/>
        <v>91.45911841361908</v>
      </c>
      <c r="O23" s="19">
        <f t="shared" si="4"/>
        <v>0</v>
      </c>
      <c r="P23" s="20">
        <f t="shared" si="5"/>
        <v>-3.7789768244761603</v>
      </c>
      <c r="Q23" s="161">
        <f t="shared" si="6"/>
        <v>0.96032074334300033</v>
      </c>
      <c r="R23" s="637"/>
      <c r="S23" s="40"/>
      <c r="T23" s="40"/>
      <c r="U23" s="160"/>
      <c r="V23" s="166"/>
      <c r="W23" s="17"/>
      <c r="X23" s="17"/>
      <c r="Y23" s="30">
        <f>SUM(Y15:Y22)</f>
        <v>0</v>
      </c>
      <c r="Z23" s="30">
        <f>SUM(Z15:Z22)</f>
        <v>0</v>
      </c>
      <c r="AA23" s="631"/>
      <c r="AB23" s="631"/>
      <c r="AC23" s="30">
        <v>8</v>
      </c>
      <c r="AD23" s="30">
        <f>SUM(AD15:AD22)</f>
        <v>0</v>
      </c>
      <c r="AE23" s="19">
        <f t="shared" si="8"/>
        <v>-69.438699149749482</v>
      </c>
      <c r="AF23" s="161">
        <f t="shared" si="9"/>
        <v>0.96032074334300033</v>
      </c>
      <c r="AG23" s="637"/>
    </row>
    <row r="24" spans="1:33" ht="15.75" customHeight="1">
      <c r="A24" s="655" t="s">
        <v>613</v>
      </c>
      <c r="B24" s="42" t="s">
        <v>92</v>
      </c>
      <c r="C24" s="653" t="s">
        <v>110</v>
      </c>
      <c r="D24" s="653"/>
      <c r="E24" s="42">
        <v>50.67</v>
      </c>
      <c r="F24" s="168">
        <v>1719</v>
      </c>
      <c r="G24" s="160">
        <f t="shared" ref="G24:G31" si="19">E24*F24</f>
        <v>87101.73</v>
      </c>
      <c r="H24" s="37" t="s">
        <v>91</v>
      </c>
      <c r="I24" s="165">
        <v>17</v>
      </c>
      <c r="J24" s="39">
        <v>2000</v>
      </c>
      <c r="K24" s="17">
        <f t="shared" si="1"/>
        <v>117.64705882352941</v>
      </c>
      <c r="L24" s="165">
        <v>17</v>
      </c>
      <c r="M24" s="18">
        <f t="shared" ref="M24:M31" si="20">F24/V24*60</f>
        <v>1909.9999999999998</v>
      </c>
      <c r="N24" s="17">
        <f t="shared" si="3"/>
        <v>112.35294117647058</v>
      </c>
      <c r="O24" s="19">
        <f t="shared" si="4"/>
        <v>0</v>
      </c>
      <c r="P24" s="20">
        <f t="shared" si="5"/>
        <v>-5.294117647058826</v>
      </c>
      <c r="Q24" s="161">
        <f t="shared" si="6"/>
        <v>0.95499999999999996</v>
      </c>
      <c r="R24" s="637">
        <f>Q32</f>
        <v>0.96270489198632625</v>
      </c>
      <c r="S24" s="40">
        <v>0.20833333333333334</v>
      </c>
      <c r="T24" s="40">
        <v>0.24583333333333335</v>
      </c>
      <c r="U24" s="160"/>
      <c r="V24" s="166">
        <f t="shared" ref="V24:V31" si="21">(T24-S24)*24*60</f>
        <v>54.000000000000007</v>
      </c>
      <c r="W24" s="23"/>
      <c r="X24" s="23"/>
      <c r="Y24" s="28"/>
      <c r="Z24" s="28"/>
      <c r="AA24" s="632"/>
      <c r="AB24" s="632"/>
      <c r="AC24" s="25">
        <v>8</v>
      </c>
      <c r="AD24" s="25"/>
      <c r="AE24" s="19">
        <f t="shared" si="8"/>
        <v>-90.000000000000227</v>
      </c>
      <c r="AF24" s="161">
        <f t="shared" si="9"/>
        <v>0.95499999999999985</v>
      </c>
      <c r="AG24" s="637">
        <f>AF32</f>
        <v>0.96270489198632636</v>
      </c>
    </row>
    <row r="25" spans="1:33" ht="15.75" customHeight="1">
      <c r="A25" s="656" t="s">
        <v>613</v>
      </c>
      <c r="B25" s="42" t="s">
        <v>92</v>
      </c>
      <c r="C25" s="653" t="s">
        <v>111</v>
      </c>
      <c r="D25" s="653"/>
      <c r="E25" s="42">
        <v>57.73</v>
      </c>
      <c r="F25" s="168">
        <v>2266</v>
      </c>
      <c r="G25" s="160">
        <f t="shared" si="19"/>
        <v>130816.18</v>
      </c>
      <c r="H25" s="37" t="s">
        <v>91</v>
      </c>
      <c r="I25" s="165">
        <v>14</v>
      </c>
      <c r="J25" s="39">
        <v>2000</v>
      </c>
      <c r="K25" s="17">
        <f t="shared" si="1"/>
        <v>142.85714285714286</v>
      </c>
      <c r="L25" s="165">
        <v>14</v>
      </c>
      <c r="M25" s="18">
        <f t="shared" si="20"/>
        <v>1914.9295774647892</v>
      </c>
      <c r="N25" s="17">
        <f t="shared" si="3"/>
        <v>136.7806841046278</v>
      </c>
      <c r="O25" s="19">
        <f t="shared" si="4"/>
        <v>0</v>
      </c>
      <c r="P25" s="20">
        <f t="shared" si="5"/>
        <v>-6.076458752515066</v>
      </c>
      <c r="Q25" s="161">
        <f t="shared" si="6"/>
        <v>0.95746478873239449</v>
      </c>
      <c r="R25" s="637"/>
      <c r="S25" s="40">
        <v>0.24930555555555556</v>
      </c>
      <c r="T25" s="40">
        <v>0.2986111111111111</v>
      </c>
      <c r="U25" s="160">
        <f t="shared" ref="U25:U31" si="22">IF(S25=TIME(17,0,0),"",(S25-T24)*24*60)</f>
        <v>4.9999999999999822</v>
      </c>
      <c r="V25" s="166">
        <f t="shared" si="21"/>
        <v>70.999999999999986</v>
      </c>
      <c r="W25" s="23"/>
      <c r="X25" s="160"/>
      <c r="Y25" s="160"/>
      <c r="Z25" s="160"/>
      <c r="AA25" s="632"/>
      <c r="AB25" s="632"/>
      <c r="AC25" s="25"/>
      <c r="AD25" s="25"/>
      <c r="AE25" s="19">
        <f t="shared" si="8"/>
        <v>-85.07042253521081</v>
      </c>
      <c r="AF25" s="161">
        <f t="shared" si="9"/>
        <v>0.9574647887323946</v>
      </c>
      <c r="AG25" s="637"/>
    </row>
    <row r="26" spans="1:33" ht="15.75" customHeight="1">
      <c r="A26" s="656" t="s">
        <v>613</v>
      </c>
      <c r="B26" s="42" t="s">
        <v>92</v>
      </c>
      <c r="C26" s="653" t="s">
        <v>112</v>
      </c>
      <c r="D26" s="653"/>
      <c r="E26" s="42">
        <v>53.27</v>
      </c>
      <c r="F26" s="168">
        <v>1449</v>
      </c>
      <c r="G26" s="160">
        <f t="shared" si="19"/>
        <v>77188.23000000001</v>
      </c>
      <c r="H26" s="37" t="s">
        <v>91</v>
      </c>
      <c r="I26" s="165">
        <v>16</v>
      </c>
      <c r="J26" s="39">
        <v>2000</v>
      </c>
      <c r="K26" s="17">
        <f t="shared" si="1"/>
        <v>125</v>
      </c>
      <c r="L26" s="165">
        <v>16</v>
      </c>
      <c r="M26" s="18">
        <f t="shared" si="20"/>
        <v>1932.0000000000002</v>
      </c>
      <c r="N26" s="17">
        <f t="shared" si="3"/>
        <v>120.75000000000001</v>
      </c>
      <c r="O26" s="19">
        <f t="shared" si="4"/>
        <v>0</v>
      </c>
      <c r="P26" s="20">
        <f t="shared" si="5"/>
        <v>-4.2499999999999858</v>
      </c>
      <c r="Q26" s="161">
        <f t="shared" si="6"/>
        <v>0.96600000000000008</v>
      </c>
      <c r="R26" s="637"/>
      <c r="S26" s="40">
        <v>0.30277777777777776</v>
      </c>
      <c r="T26" s="40">
        <v>0.33402777777777776</v>
      </c>
      <c r="U26" s="160">
        <f t="shared" si="22"/>
        <v>5.9999999999999787</v>
      </c>
      <c r="V26" s="166">
        <f t="shared" si="21"/>
        <v>45</v>
      </c>
      <c r="W26" s="23"/>
      <c r="X26" s="160"/>
      <c r="Y26" s="160"/>
      <c r="Z26" s="160"/>
      <c r="AA26" s="632"/>
      <c r="AB26" s="632"/>
      <c r="AC26" s="25"/>
      <c r="AD26" s="25"/>
      <c r="AE26" s="19">
        <f t="shared" si="8"/>
        <v>-67.999999999999773</v>
      </c>
      <c r="AF26" s="161">
        <f t="shared" si="9"/>
        <v>0.96600000000000008</v>
      </c>
      <c r="AG26" s="637"/>
    </row>
    <row r="27" spans="1:33" ht="15.75" customHeight="1">
      <c r="A27" s="656" t="s">
        <v>613</v>
      </c>
      <c r="B27" s="42" t="s">
        <v>92</v>
      </c>
      <c r="C27" s="653" t="s">
        <v>113</v>
      </c>
      <c r="D27" s="653"/>
      <c r="E27" s="42">
        <v>56.43</v>
      </c>
      <c r="F27" s="168">
        <v>1454</v>
      </c>
      <c r="G27" s="160">
        <f t="shared" si="19"/>
        <v>82049.22</v>
      </c>
      <c r="H27" s="37" t="s">
        <v>91</v>
      </c>
      <c r="I27" s="165">
        <v>13</v>
      </c>
      <c r="J27" s="39">
        <v>2000</v>
      </c>
      <c r="K27" s="17">
        <f t="shared" si="1"/>
        <v>153.84615384615384</v>
      </c>
      <c r="L27" s="165">
        <v>13</v>
      </c>
      <c r="M27" s="18">
        <f t="shared" si="20"/>
        <v>1938.6666666666665</v>
      </c>
      <c r="N27" s="17">
        <f t="shared" si="3"/>
        <v>149.12820512820511</v>
      </c>
      <c r="O27" s="19">
        <f t="shared" si="4"/>
        <v>0</v>
      </c>
      <c r="P27" s="20">
        <f t="shared" si="5"/>
        <v>-4.7179487179487296</v>
      </c>
      <c r="Q27" s="161">
        <f t="shared" si="6"/>
        <v>0.96933333333333327</v>
      </c>
      <c r="R27" s="637"/>
      <c r="S27" s="40">
        <v>0.70833333333333337</v>
      </c>
      <c r="T27" s="40">
        <v>0.73958333333333337</v>
      </c>
      <c r="U27" s="160" t="str">
        <f t="shared" si="22"/>
        <v/>
      </c>
      <c r="V27" s="166">
        <f t="shared" si="21"/>
        <v>45</v>
      </c>
      <c r="W27" s="23"/>
      <c r="X27" s="160"/>
      <c r="Y27" s="160"/>
      <c r="Z27" s="160"/>
      <c r="AA27" s="632"/>
      <c r="AB27" s="632"/>
      <c r="AC27" s="25"/>
      <c r="AD27" s="25"/>
      <c r="AE27" s="19">
        <f t="shared" si="8"/>
        <v>-61.333333333333485</v>
      </c>
      <c r="AF27" s="161">
        <f t="shared" si="9"/>
        <v>0.96933333333333327</v>
      </c>
      <c r="AG27" s="637"/>
    </row>
    <row r="28" spans="1:33" ht="15.75" customHeight="1">
      <c r="A28" s="656" t="s">
        <v>613</v>
      </c>
      <c r="B28" s="42" t="s">
        <v>92</v>
      </c>
      <c r="C28" s="653" t="s">
        <v>114</v>
      </c>
      <c r="D28" s="653"/>
      <c r="E28" s="42">
        <v>54.09</v>
      </c>
      <c r="F28" s="168">
        <v>1000</v>
      </c>
      <c r="G28" s="160">
        <f t="shared" si="19"/>
        <v>54090</v>
      </c>
      <c r="H28" s="37">
        <v>2</v>
      </c>
      <c r="I28" s="165">
        <v>18</v>
      </c>
      <c r="J28" s="39">
        <v>2000</v>
      </c>
      <c r="K28" s="17">
        <f t="shared" si="1"/>
        <v>111.11111111111111</v>
      </c>
      <c r="L28" s="165">
        <v>18</v>
      </c>
      <c r="M28" s="18">
        <f t="shared" si="20"/>
        <v>1935.483870967739</v>
      </c>
      <c r="N28" s="17">
        <f t="shared" si="3"/>
        <v>107.52688172042994</v>
      </c>
      <c r="O28" s="19">
        <f t="shared" si="4"/>
        <v>0</v>
      </c>
      <c r="P28" s="20">
        <f t="shared" si="5"/>
        <v>-3.5842293906811733</v>
      </c>
      <c r="Q28" s="161">
        <f t="shared" si="6"/>
        <v>0.96774193548386944</v>
      </c>
      <c r="R28" s="637"/>
      <c r="S28" s="40">
        <v>0.74305555555555558</v>
      </c>
      <c r="T28" s="40">
        <v>0.76458333333333339</v>
      </c>
      <c r="U28" s="160">
        <f t="shared" si="22"/>
        <v>4.9999999999999822</v>
      </c>
      <c r="V28" s="166">
        <f t="shared" si="21"/>
        <v>31.00000000000005</v>
      </c>
      <c r="W28" s="23"/>
      <c r="X28" s="23"/>
      <c r="Y28" s="160"/>
      <c r="Z28" s="160"/>
      <c r="AA28" s="632"/>
      <c r="AB28" s="632"/>
      <c r="AC28" s="25"/>
      <c r="AD28" s="25"/>
      <c r="AE28" s="19">
        <f t="shared" si="8"/>
        <v>-64.516129032261006</v>
      </c>
      <c r="AF28" s="161">
        <f t="shared" si="9"/>
        <v>0.96774193548386944</v>
      </c>
      <c r="AG28" s="637"/>
    </row>
    <row r="29" spans="1:33" ht="15.75" customHeight="1">
      <c r="A29" s="656" t="s">
        <v>613</v>
      </c>
      <c r="B29" s="42" t="s">
        <v>92</v>
      </c>
      <c r="C29" s="653" t="s">
        <v>115</v>
      </c>
      <c r="D29" s="653"/>
      <c r="E29" s="42">
        <v>57.3</v>
      </c>
      <c r="F29" s="168">
        <v>1911</v>
      </c>
      <c r="G29" s="160">
        <f t="shared" si="19"/>
        <v>109500.29999999999</v>
      </c>
      <c r="H29" s="37" t="s">
        <v>91</v>
      </c>
      <c r="I29" s="165">
        <v>16</v>
      </c>
      <c r="J29" s="39">
        <v>2000</v>
      </c>
      <c r="K29" s="17">
        <f t="shared" si="1"/>
        <v>125</v>
      </c>
      <c r="L29" s="165">
        <v>16</v>
      </c>
      <c r="M29" s="18">
        <f t="shared" si="20"/>
        <v>1911.0000000000018</v>
      </c>
      <c r="N29" s="17">
        <f t="shared" si="3"/>
        <v>119.43750000000011</v>
      </c>
      <c r="O29" s="19">
        <f t="shared" si="4"/>
        <v>0</v>
      </c>
      <c r="P29" s="20">
        <f t="shared" si="5"/>
        <v>-5.5624999999998863</v>
      </c>
      <c r="Q29" s="161">
        <f t="shared" si="6"/>
        <v>0.9555000000000009</v>
      </c>
      <c r="R29" s="637"/>
      <c r="S29" s="40">
        <v>0.7680555555555556</v>
      </c>
      <c r="T29" s="40">
        <v>0.80972222222222223</v>
      </c>
      <c r="U29" s="160">
        <f t="shared" si="22"/>
        <v>4.9999999999999822</v>
      </c>
      <c r="V29" s="166">
        <f t="shared" si="21"/>
        <v>59.999999999999943</v>
      </c>
      <c r="W29" s="23"/>
      <c r="X29" s="28"/>
      <c r="Y29" s="28"/>
      <c r="Z29" s="28"/>
      <c r="AA29" s="632"/>
      <c r="AB29" s="632"/>
      <c r="AC29" s="25"/>
      <c r="AD29" s="25"/>
      <c r="AE29" s="19">
        <f t="shared" si="8"/>
        <v>-88.999999999998181</v>
      </c>
      <c r="AF29" s="161">
        <f t="shared" si="9"/>
        <v>0.9555000000000009</v>
      </c>
      <c r="AG29" s="637"/>
    </row>
    <row r="30" spans="1:33" ht="15.75" customHeight="1">
      <c r="A30" s="656" t="s">
        <v>613</v>
      </c>
      <c r="B30" s="42" t="s">
        <v>92</v>
      </c>
      <c r="C30" s="679" t="s">
        <v>140</v>
      </c>
      <c r="D30" s="680"/>
      <c r="E30" s="42">
        <v>51.06</v>
      </c>
      <c r="F30" s="168">
        <v>1000</v>
      </c>
      <c r="G30" s="160">
        <f t="shared" si="19"/>
        <v>51060</v>
      </c>
      <c r="H30" s="37">
        <v>2</v>
      </c>
      <c r="I30" s="165">
        <v>13</v>
      </c>
      <c r="J30" s="39">
        <v>2000</v>
      </c>
      <c r="K30" s="17">
        <f t="shared" si="1"/>
        <v>153.84615384615384</v>
      </c>
      <c r="L30" s="165">
        <v>13</v>
      </c>
      <c r="M30" s="18">
        <f t="shared" si="20"/>
        <v>1935.483870967739</v>
      </c>
      <c r="N30" s="17">
        <f t="shared" si="3"/>
        <v>148.88337468982607</v>
      </c>
      <c r="O30" s="19">
        <f t="shared" si="4"/>
        <v>0</v>
      </c>
      <c r="P30" s="20">
        <f t="shared" si="5"/>
        <v>-4.9627791563277697</v>
      </c>
      <c r="Q30" s="161">
        <f t="shared" si="6"/>
        <v>0.96774193548386944</v>
      </c>
      <c r="R30" s="637"/>
      <c r="S30" s="40">
        <v>0.81319444444444444</v>
      </c>
      <c r="T30" s="40">
        <v>0.83472222222222225</v>
      </c>
      <c r="U30" s="160">
        <f t="shared" si="22"/>
        <v>4.9999999999999822</v>
      </c>
      <c r="V30" s="166">
        <f t="shared" si="21"/>
        <v>31.00000000000005</v>
      </c>
      <c r="W30" s="23">
        <f>T30</f>
        <v>0.83472222222222225</v>
      </c>
      <c r="X30" s="23">
        <f>S31</f>
        <v>0.87638888888888888</v>
      </c>
      <c r="Y30" s="136"/>
      <c r="Z30" s="136"/>
      <c r="AA30" s="627"/>
      <c r="AB30" s="628"/>
      <c r="AC30" s="25"/>
      <c r="AD30" s="25"/>
      <c r="AE30" s="19">
        <f t="shared" si="8"/>
        <v>-64.516129032261006</v>
      </c>
      <c r="AF30" s="161">
        <f t="shared" si="9"/>
        <v>0.96774193548386944</v>
      </c>
      <c r="AG30" s="637"/>
    </row>
    <row r="31" spans="1:33" ht="15.75" customHeight="1">
      <c r="A31" s="656" t="s">
        <v>613</v>
      </c>
      <c r="B31" s="42" t="s">
        <v>92</v>
      </c>
      <c r="C31" s="163" t="s">
        <v>140</v>
      </c>
      <c r="D31" s="164"/>
      <c r="E31" s="42">
        <v>51.06</v>
      </c>
      <c r="F31" s="168">
        <v>2022</v>
      </c>
      <c r="G31" s="160">
        <f t="shared" si="19"/>
        <v>103243.32</v>
      </c>
      <c r="H31" s="37" t="s">
        <v>91</v>
      </c>
      <c r="I31" s="165">
        <v>13</v>
      </c>
      <c r="J31" s="39">
        <v>2000</v>
      </c>
      <c r="K31" s="17">
        <f t="shared" si="1"/>
        <v>153.84615384615384</v>
      </c>
      <c r="L31" s="165">
        <v>13</v>
      </c>
      <c r="M31" s="18">
        <f t="shared" si="20"/>
        <v>1925.7142857142878</v>
      </c>
      <c r="N31" s="17">
        <f t="shared" si="3"/>
        <v>148.13186813186829</v>
      </c>
      <c r="O31" s="19">
        <f t="shared" si="4"/>
        <v>0</v>
      </c>
      <c r="P31" s="20">
        <f t="shared" si="5"/>
        <v>-5.7142857142855519</v>
      </c>
      <c r="Q31" s="161">
        <f t="shared" si="6"/>
        <v>0.96285714285714397</v>
      </c>
      <c r="R31" s="637"/>
      <c r="S31" s="40">
        <v>0.87638888888888888</v>
      </c>
      <c r="T31" s="40">
        <v>0.92013888888888884</v>
      </c>
      <c r="U31" s="160">
        <f t="shared" si="22"/>
        <v>59.999999999999943</v>
      </c>
      <c r="V31" s="166">
        <f t="shared" si="21"/>
        <v>62.999999999999936</v>
      </c>
      <c r="W31" s="23"/>
      <c r="X31" s="23"/>
      <c r="Y31" s="26"/>
      <c r="Z31" s="26"/>
      <c r="AA31" s="156"/>
      <c r="AB31" s="157"/>
      <c r="AC31" s="25"/>
      <c r="AD31" s="25"/>
      <c r="AE31" s="19">
        <f t="shared" si="8"/>
        <v>-74.285714285712174</v>
      </c>
      <c r="AF31" s="161">
        <f t="shared" si="9"/>
        <v>0.96285714285714397</v>
      </c>
      <c r="AG31" s="637"/>
    </row>
    <row r="32" spans="1:33" ht="15.75" customHeight="1">
      <c r="A32" s="656" t="s">
        <v>613</v>
      </c>
      <c r="B32" s="42" t="s">
        <v>609</v>
      </c>
      <c r="C32" s="638"/>
      <c r="D32" s="638"/>
      <c r="E32" s="162"/>
      <c r="F32" s="168"/>
      <c r="G32" s="160"/>
      <c r="H32" s="168"/>
      <c r="I32" s="29">
        <v>15</v>
      </c>
      <c r="J32" s="39">
        <v>2000</v>
      </c>
      <c r="K32" s="17">
        <f t="shared" si="1"/>
        <v>133.33333333333334</v>
      </c>
      <c r="L32" s="29">
        <v>15</v>
      </c>
      <c r="M32" s="18">
        <f>AVERAGE(M24:M31)</f>
        <v>1925.4097839726528</v>
      </c>
      <c r="N32" s="17">
        <f t="shared" si="3"/>
        <v>128.36065226484351</v>
      </c>
      <c r="O32" s="19">
        <f t="shared" si="4"/>
        <v>0</v>
      </c>
      <c r="P32" s="20">
        <f t="shared" si="5"/>
        <v>-4.9726810684898339</v>
      </c>
      <c r="Q32" s="161">
        <f t="shared" si="6"/>
        <v>0.96270489198632625</v>
      </c>
      <c r="R32" s="637"/>
      <c r="S32" s="40"/>
      <c r="T32" s="40"/>
      <c r="U32" s="17"/>
      <c r="V32" s="166"/>
      <c r="W32" s="17"/>
      <c r="X32" s="17"/>
      <c r="Y32" s="30">
        <f>SUM(Y24:Y31)</f>
        <v>0</v>
      </c>
      <c r="Z32" s="30">
        <f>SUM(Z24:Z31)</f>
        <v>0</v>
      </c>
      <c r="AA32" s="631"/>
      <c r="AB32" s="631"/>
      <c r="AC32" s="30">
        <v>8</v>
      </c>
      <c r="AD32" s="30">
        <f>SUM(AD24:AD31)</f>
        <v>0</v>
      </c>
      <c r="AE32" s="19">
        <f t="shared" si="8"/>
        <v>-74.590216027347196</v>
      </c>
      <c r="AF32" s="161">
        <f t="shared" si="9"/>
        <v>0.96270489198632636</v>
      </c>
      <c r="AG32" s="637"/>
    </row>
    <row r="33" spans="1:33" ht="15.75" customHeight="1">
      <c r="A33" s="654" t="s">
        <v>614</v>
      </c>
      <c r="B33" s="42" t="s">
        <v>116</v>
      </c>
      <c r="C33" s="653" t="s">
        <v>117</v>
      </c>
      <c r="D33" s="653"/>
      <c r="E33" s="42">
        <v>31.29</v>
      </c>
      <c r="F33" s="168">
        <v>5300</v>
      </c>
      <c r="G33" s="160">
        <f t="shared" ref="G33:G39" si="23">E33*F33</f>
        <v>165837</v>
      </c>
      <c r="H33" s="37">
        <v>2</v>
      </c>
      <c r="I33" s="165">
        <v>18</v>
      </c>
      <c r="J33" s="39">
        <v>2400</v>
      </c>
      <c r="K33" s="17">
        <f t="shared" si="1"/>
        <v>133.33333333333334</v>
      </c>
      <c r="L33" s="165">
        <v>18</v>
      </c>
      <c r="M33" s="18">
        <f t="shared" ref="M33:M39" si="24">F33/V33*60</f>
        <v>2287.7697841726617</v>
      </c>
      <c r="N33" s="17">
        <f t="shared" si="3"/>
        <v>127.09832134292566</v>
      </c>
      <c r="O33" s="19">
        <f t="shared" si="4"/>
        <v>0</v>
      </c>
      <c r="P33" s="20">
        <f t="shared" si="5"/>
        <v>-6.2350119904076848</v>
      </c>
      <c r="Q33" s="161">
        <f t="shared" si="6"/>
        <v>0.9532374100719424</v>
      </c>
      <c r="R33" s="637">
        <f>Q40</f>
        <v>0.95642682321738159</v>
      </c>
      <c r="S33" s="40">
        <v>8.3333333333333329E-2</v>
      </c>
      <c r="T33" s="40">
        <v>0.17986111111111111</v>
      </c>
      <c r="U33" s="160"/>
      <c r="V33" s="166">
        <f t="shared" ref="V33:V39" si="25">(T33-S33)*24*60</f>
        <v>139</v>
      </c>
      <c r="W33" s="23">
        <f>T33</f>
        <v>0.17986111111111111</v>
      </c>
      <c r="X33" s="23">
        <f>S34</f>
        <v>0.19791666666666666</v>
      </c>
      <c r="Y33" s="23"/>
      <c r="Z33" s="23"/>
      <c r="AA33" s="632"/>
      <c r="AB33" s="632"/>
      <c r="AC33" s="25">
        <v>7</v>
      </c>
      <c r="AD33" s="25"/>
      <c r="AE33" s="19">
        <f t="shared" si="8"/>
        <v>-112.23021582733827</v>
      </c>
      <c r="AF33" s="161">
        <f t="shared" si="9"/>
        <v>0.9532374100719424</v>
      </c>
      <c r="AG33" s="637">
        <f>AF40</f>
        <v>0.95642682321738159</v>
      </c>
    </row>
    <row r="34" spans="1:33" ht="15.75" customHeight="1">
      <c r="A34" s="654" t="s">
        <v>614</v>
      </c>
      <c r="B34" s="42" t="s">
        <v>116</v>
      </c>
      <c r="C34" s="653" t="s">
        <v>118</v>
      </c>
      <c r="D34" s="653"/>
      <c r="E34" s="42">
        <v>26.37</v>
      </c>
      <c r="F34" s="168">
        <v>6522</v>
      </c>
      <c r="G34" s="160">
        <f t="shared" si="23"/>
        <v>171985.14</v>
      </c>
      <c r="H34" s="37" t="s">
        <v>91</v>
      </c>
      <c r="I34" s="165">
        <v>18</v>
      </c>
      <c r="J34" s="39">
        <v>2400</v>
      </c>
      <c r="K34" s="17">
        <f t="shared" si="1"/>
        <v>133.33333333333334</v>
      </c>
      <c r="L34" s="165">
        <v>18</v>
      </c>
      <c r="M34" s="18">
        <f t="shared" si="24"/>
        <v>2288.4210526315792</v>
      </c>
      <c r="N34" s="17">
        <f t="shared" si="3"/>
        <v>127.13450292397663</v>
      </c>
      <c r="O34" s="19">
        <f t="shared" si="4"/>
        <v>0</v>
      </c>
      <c r="P34" s="20">
        <f t="shared" si="5"/>
        <v>-6.1988304093567166</v>
      </c>
      <c r="Q34" s="161">
        <f t="shared" si="6"/>
        <v>0.95350877192982464</v>
      </c>
      <c r="R34" s="637"/>
      <c r="S34" s="40">
        <v>0.19791666666666666</v>
      </c>
      <c r="T34" s="40">
        <v>0.31666666666666665</v>
      </c>
      <c r="U34" s="160">
        <f t="shared" ref="U34:U39" si="26">(S34-T33)*24*60</f>
        <v>25.999999999999986</v>
      </c>
      <c r="V34" s="166">
        <f t="shared" si="25"/>
        <v>170.99999999999997</v>
      </c>
      <c r="W34" s="23"/>
      <c r="X34" s="23"/>
      <c r="Y34" s="23"/>
      <c r="Z34" s="23"/>
      <c r="AA34" s="632"/>
      <c r="AB34" s="632"/>
      <c r="AC34" s="25"/>
      <c r="AD34" s="25"/>
      <c r="AE34" s="19">
        <f t="shared" si="8"/>
        <v>-111.57894736842081</v>
      </c>
      <c r="AF34" s="161">
        <f t="shared" si="9"/>
        <v>0.95350877192982464</v>
      </c>
      <c r="AG34" s="637"/>
    </row>
    <row r="35" spans="1:33" ht="15.75" customHeight="1">
      <c r="A35" s="654" t="s">
        <v>614</v>
      </c>
      <c r="B35" s="42" t="s">
        <v>116</v>
      </c>
      <c r="C35" s="653" t="s">
        <v>124</v>
      </c>
      <c r="D35" s="653"/>
      <c r="E35" s="42">
        <v>24.43</v>
      </c>
      <c r="F35" s="168">
        <v>3900</v>
      </c>
      <c r="G35" s="160">
        <f t="shared" si="23"/>
        <v>95277</v>
      </c>
      <c r="H35" s="37">
        <v>2</v>
      </c>
      <c r="I35" s="165">
        <v>14</v>
      </c>
      <c r="J35" s="39">
        <v>2400</v>
      </c>
      <c r="K35" s="17">
        <f t="shared" si="1"/>
        <v>171.42857142857142</v>
      </c>
      <c r="L35" s="165">
        <v>14</v>
      </c>
      <c r="M35" s="18">
        <f t="shared" si="24"/>
        <v>2294.1176470588243</v>
      </c>
      <c r="N35" s="17">
        <f t="shared" si="3"/>
        <v>163.86554621848745</v>
      </c>
      <c r="O35" s="19">
        <f t="shared" si="4"/>
        <v>0</v>
      </c>
      <c r="P35" s="20">
        <f t="shared" si="5"/>
        <v>-7.5630252100839641</v>
      </c>
      <c r="Q35" s="161">
        <f t="shared" si="6"/>
        <v>0.95588235294117685</v>
      </c>
      <c r="R35" s="637"/>
      <c r="S35" s="40">
        <v>0.32013888888888886</v>
      </c>
      <c r="T35" s="40">
        <v>0.39097222222222217</v>
      </c>
      <c r="U35" s="160">
        <f t="shared" si="26"/>
        <v>4.9999999999999822</v>
      </c>
      <c r="V35" s="166">
        <f t="shared" si="25"/>
        <v>101.99999999999996</v>
      </c>
      <c r="W35" s="23"/>
      <c r="X35" s="23"/>
      <c r="Y35" s="23"/>
      <c r="Z35" s="23"/>
      <c r="AA35" s="632"/>
      <c r="AB35" s="632"/>
      <c r="AC35" s="25"/>
      <c r="AD35" s="25"/>
      <c r="AE35" s="19">
        <f t="shared" si="8"/>
        <v>-105.88235294117567</v>
      </c>
      <c r="AF35" s="161">
        <f t="shared" si="9"/>
        <v>0.95588235294117685</v>
      </c>
      <c r="AG35" s="637"/>
    </row>
    <row r="36" spans="1:33" ht="15.75" customHeight="1">
      <c r="A36" s="654" t="s">
        <v>614</v>
      </c>
      <c r="B36" s="42" t="s">
        <v>116</v>
      </c>
      <c r="C36" s="653" t="s">
        <v>147</v>
      </c>
      <c r="D36" s="653"/>
      <c r="E36" s="42">
        <v>25.98</v>
      </c>
      <c r="F36" s="168">
        <v>2906</v>
      </c>
      <c r="G36" s="160">
        <f t="shared" si="23"/>
        <v>75497.88</v>
      </c>
      <c r="H36" s="37" t="s">
        <v>91</v>
      </c>
      <c r="I36" s="165">
        <v>17</v>
      </c>
      <c r="J36" s="39">
        <v>2400</v>
      </c>
      <c r="K36" s="17">
        <f t="shared" si="1"/>
        <v>141.1764705882353</v>
      </c>
      <c r="L36" s="165">
        <v>17</v>
      </c>
      <c r="M36" s="18">
        <f t="shared" si="24"/>
        <v>2294.2105263157905</v>
      </c>
      <c r="N36" s="17">
        <f t="shared" si="3"/>
        <v>134.95356037151709</v>
      </c>
      <c r="O36" s="19">
        <f t="shared" si="4"/>
        <v>0</v>
      </c>
      <c r="P36" s="20">
        <f t="shared" si="5"/>
        <v>-6.2229102167182191</v>
      </c>
      <c r="Q36" s="161">
        <f t="shared" si="6"/>
        <v>0.95592105263157934</v>
      </c>
      <c r="R36" s="637"/>
      <c r="S36" s="40">
        <v>0.3965277777777777</v>
      </c>
      <c r="T36" s="40">
        <v>0.44930555555555546</v>
      </c>
      <c r="U36" s="160">
        <f t="shared" si="26"/>
        <v>7.9999999999999716</v>
      </c>
      <c r="V36" s="166">
        <f t="shared" si="25"/>
        <v>75.999999999999972</v>
      </c>
      <c r="W36" s="23"/>
      <c r="X36" s="23"/>
      <c r="Y36" s="23"/>
      <c r="Z36" s="23"/>
      <c r="AA36" s="632"/>
      <c r="AB36" s="632"/>
      <c r="AC36" s="25"/>
      <c r="AD36" s="25"/>
      <c r="AE36" s="19">
        <f t="shared" si="8"/>
        <v>-105.7894736842095</v>
      </c>
      <c r="AF36" s="161">
        <f t="shared" si="9"/>
        <v>0.95592105263157934</v>
      </c>
      <c r="AG36" s="637"/>
    </row>
    <row r="37" spans="1:33" ht="15.75" customHeight="1">
      <c r="A37" s="654" t="s">
        <v>614</v>
      </c>
      <c r="B37" s="42" t="s">
        <v>116</v>
      </c>
      <c r="C37" s="653" t="s">
        <v>122</v>
      </c>
      <c r="D37" s="653"/>
      <c r="E37" s="42">
        <v>20.21</v>
      </c>
      <c r="F37" s="168">
        <v>2201</v>
      </c>
      <c r="G37" s="160">
        <f t="shared" si="23"/>
        <v>44482.21</v>
      </c>
      <c r="H37" s="37" t="s">
        <v>91</v>
      </c>
      <c r="I37" s="165">
        <v>18</v>
      </c>
      <c r="J37" s="39">
        <v>2400</v>
      </c>
      <c r="K37" s="17">
        <f t="shared" si="1"/>
        <v>133.33333333333334</v>
      </c>
      <c r="L37" s="165">
        <v>18</v>
      </c>
      <c r="M37" s="18">
        <f t="shared" si="24"/>
        <v>2316.8421052631566</v>
      </c>
      <c r="N37" s="17">
        <f t="shared" si="3"/>
        <v>128.7134502923976</v>
      </c>
      <c r="O37" s="19">
        <f t="shared" si="4"/>
        <v>0</v>
      </c>
      <c r="P37" s="20">
        <f t="shared" si="5"/>
        <v>-4.619883040935747</v>
      </c>
      <c r="Q37" s="161">
        <f t="shared" si="6"/>
        <v>0.96535087719298185</v>
      </c>
      <c r="R37" s="637"/>
      <c r="S37" s="40">
        <v>0.45347222222222211</v>
      </c>
      <c r="T37" s="40">
        <v>0.49305555555555547</v>
      </c>
      <c r="U37" s="160">
        <f t="shared" si="26"/>
        <v>5.9999999999999787</v>
      </c>
      <c r="V37" s="166">
        <f t="shared" si="25"/>
        <v>57.000000000000036</v>
      </c>
      <c r="W37" s="23">
        <f>T37</f>
        <v>0.49305555555555547</v>
      </c>
      <c r="X37" s="23">
        <f>S38</f>
        <v>0.5347222222222221</v>
      </c>
      <c r="Y37" s="23"/>
      <c r="Z37" s="23"/>
      <c r="AA37" s="632"/>
      <c r="AB37" s="632"/>
      <c r="AC37" s="25"/>
      <c r="AD37" s="25"/>
      <c r="AE37" s="19">
        <f t="shared" si="8"/>
        <v>-83.157894736843446</v>
      </c>
      <c r="AF37" s="161">
        <f t="shared" si="9"/>
        <v>0.96535087719298185</v>
      </c>
      <c r="AG37" s="637"/>
    </row>
    <row r="38" spans="1:33" ht="15.75" customHeight="1">
      <c r="A38" s="654" t="s">
        <v>614</v>
      </c>
      <c r="B38" s="42" t="s">
        <v>116</v>
      </c>
      <c r="C38" s="653" t="s">
        <v>117</v>
      </c>
      <c r="D38" s="653"/>
      <c r="E38" s="42">
        <v>31.29</v>
      </c>
      <c r="F38" s="168">
        <v>3852</v>
      </c>
      <c r="G38" s="160">
        <f t="shared" si="23"/>
        <v>120529.08</v>
      </c>
      <c r="H38" s="37" t="s">
        <v>91</v>
      </c>
      <c r="I38" s="165">
        <v>18</v>
      </c>
      <c r="J38" s="39">
        <v>2400</v>
      </c>
      <c r="K38" s="17">
        <f t="shared" si="1"/>
        <v>133.33333333333334</v>
      </c>
      <c r="L38" s="165">
        <v>18</v>
      </c>
      <c r="M38" s="18">
        <f t="shared" si="24"/>
        <v>2288.3168316831693</v>
      </c>
      <c r="N38" s="17">
        <f t="shared" si="3"/>
        <v>127.12871287128718</v>
      </c>
      <c r="O38" s="19">
        <f t="shared" si="4"/>
        <v>0</v>
      </c>
      <c r="P38" s="20">
        <f t="shared" si="5"/>
        <v>-6.2046204620461651</v>
      </c>
      <c r="Q38" s="161">
        <f t="shared" si="6"/>
        <v>0.95346534653465376</v>
      </c>
      <c r="R38" s="637"/>
      <c r="S38" s="40">
        <v>0.5347222222222221</v>
      </c>
      <c r="T38" s="40">
        <v>0.60486111111111096</v>
      </c>
      <c r="U38" s="160">
        <f t="shared" si="26"/>
        <v>59.999999999999943</v>
      </c>
      <c r="V38" s="166">
        <f t="shared" si="25"/>
        <v>100.99999999999996</v>
      </c>
      <c r="W38" s="23"/>
      <c r="X38" s="23"/>
      <c r="Y38" s="23"/>
      <c r="Z38" s="23"/>
      <c r="AA38" s="632"/>
      <c r="AB38" s="632"/>
      <c r="AC38" s="25"/>
      <c r="AD38" s="25"/>
      <c r="AE38" s="19">
        <f t="shared" si="8"/>
        <v>-111.68316831683069</v>
      </c>
      <c r="AF38" s="161">
        <f t="shared" si="9"/>
        <v>0.95346534653465387</v>
      </c>
      <c r="AG38" s="637"/>
    </row>
    <row r="39" spans="1:33" ht="15.75" customHeight="1">
      <c r="A39" s="654" t="s">
        <v>614</v>
      </c>
      <c r="B39" s="42" t="s">
        <v>116</v>
      </c>
      <c r="C39" s="653" t="s">
        <v>124</v>
      </c>
      <c r="D39" s="653"/>
      <c r="E39" s="42">
        <v>24.43</v>
      </c>
      <c r="F39" s="168">
        <v>3141</v>
      </c>
      <c r="G39" s="160">
        <f t="shared" si="23"/>
        <v>76734.63</v>
      </c>
      <c r="H39" s="37" t="s">
        <v>91</v>
      </c>
      <c r="I39" s="165">
        <v>14</v>
      </c>
      <c r="J39" s="39">
        <v>2400</v>
      </c>
      <c r="K39" s="17">
        <f t="shared" si="1"/>
        <v>171.42857142857142</v>
      </c>
      <c r="L39" s="165">
        <v>14</v>
      </c>
      <c r="M39" s="18">
        <f t="shared" si="24"/>
        <v>2298.2926829268285</v>
      </c>
      <c r="N39" s="17">
        <f t="shared" si="3"/>
        <v>164.16376306620205</v>
      </c>
      <c r="O39" s="19">
        <f t="shared" si="4"/>
        <v>0</v>
      </c>
      <c r="P39" s="20">
        <f t="shared" si="5"/>
        <v>-7.2648083623693651</v>
      </c>
      <c r="Q39" s="161">
        <f t="shared" si="6"/>
        <v>0.95762195121951199</v>
      </c>
      <c r="R39" s="637"/>
      <c r="S39" s="40">
        <v>0.60902777777777761</v>
      </c>
      <c r="T39" s="40">
        <v>0.66597222222222208</v>
      </c>
      <c r="U39" s="160">
        <f t="shared" si="26"/>
        <v>5.9999999999999787</v>
      </c>
      <c r="V39" s="166">
        <f t="shared" si="25"/>
        <v>82.000000000000028</v>
      </c>
      <c r="W39" s="23"/>
      <c r="X39" s="23"/>
      <c r="Y39" s="23"/>
      <c r="Z39" s="23"/>
      <c r="AA39" s="632"/>
      <c r="AB39" s="632"/>
      <c r="AC39" s="25"/>
      <c r="AD39" s="25"/>
      <c r="AE39" s="19">
        <f t="shared" si="8"/>
        <v>-101.70731707317145</v>
      </c>
      <c r="AF39" s="161">
        <f t="shared" si="9"/>
        <v>0.95762195121951188</v>
      </c>
      <c r="AG39" s="637"/>
    </row>
    <row r="40" spans="1:33" ht="15.75" customHeight="1">
      <c r="A40" s="654" t="s">
        <v>614</v>
      </c>
      <c r="B40" s="42" t="s">
        <v>609</v>
      </c>
      <c r="C40" s="638"/>
      <c r="D40" s="638"/>
      <c r="E40" s="162"/>
      <c r="F40" s="168"/>
      <c r="G40" s="160"/>
      <c r="H40" s="168"/>
      <c r="I40" s="29">
        <v>16.714285714285715</v>
      </c>
      <c r="J40" s="39">
        <v>2400</v>
      </c>
      <c r="K40" s="17">
        <f t="shared" si="1"/>
        <v>143.58974358974359</v>
      </c>
      <c r="L40" s="29">
        <v>16.714285714285715</v>
      </c>
      <c r="M40" s="18">
        <f>AVERAGE(M33:M39)</f>
        <v>2295.4243757217159</v>
      </c>
      <c r="N40" s="17">
        <f t="shared" si="3"/>
        <v>137.33308230813685</v>
      </c>
      <c r="O40" s="19">
        <f t="shared" si="4"/>
        <v>0</v>
      </c>
      <c r="P40" s="20">
        <f t="shared" si="5"/>
        <v>-6.2566612816067391</v>
      </c>
      <c r="Q40" s="161">
        <f t="shared" si="6"/>
        <v>0.95642682321738159</v>
      </c>
      <c r="R40" s="637"/>
      <c r="S40" s="40"/>
      <c r="T40" s="40"/>
      <c r="U40" s="160"/>
      <c r="V40" s="166"/>
      <c r="W40" s="160"/>
      <c r="X40" s="160"/>
      <c r="Y40" s="30">
        <f>SUM(Y33:Y39)</f>
        <v>0</v>
      </c>
      <c r="Z40" s="30">
        <f>SUM(Z33:Z39)</f>
        <v>0</v>
      </c>
      <c r="AA40" s="631"/>
      <c r="AB40" s="631"/>
      <c r="AC40" s="30">
        <v>7</v>
      </c>
      <c r="AD40" s="30">
        <f>SUM(AD33:AD39)</f>
        <v>0</v>
      </c>
      <c r="AE40" s="19">
        <f t="shared" si="8"/>
        <v>-104.57562427828407</v>
      </c>
      <c r="AF40" s="161">
        <f t="shared" si="9"/>
        <v>0.95642682321738159</v>
      </c>
      <c r="AG40" s="637"/>
    </row>
    <row r="41" spans="1:33" ht="15.75" customHeight="1">
      <c r="A41" s="651" t="s">
        <v>615</v>
      </c>
      <c r="B41" s="42" t="s">
        <v>116</v>
      </c>
      <c r="C41" s="633" t="s">
        <v>123</v>
      </c>
      <c r="D41" s="633"/>
      <c r="E41" s="42">
        <v>26.18</v>
      </c>
      <c r="F41" s="168">
        <v>3400</v>
      </c>
      <c r="G41" s="160">
        <f t="shared" ref="G41:G48" si="27">E41*F41</f>
        <v>89012</v>
      </c>
      <c r="H41" s="37">
        <v>2</v>
      </c>
      <c r="I41" s="165">
        <v>20</v>
      </c>
      <c r="J41" s="39">
        <v>2400</v>
      </c>
      <c r="K41" s="17">
        <f t="shared" si="1"/>
        <v>120</v>
      </c>
      <c r="L41" s="165">
        <v>20</v>
      </c>
      <c r="M41" s="18">
        <f t="shared" ref="M41:M48" si="28">F41/V41*60</f>
        <v>2292.1348314606748</v>
      </c>
      <c r="N41" s="17">
        <f t="shared" si="3"/>
        <v>114.60674157303374</v>
      </c>
      <c r="O41" s="19">
        <f t="shared" si="4"/>
        <v>0</v>
      </c>
      <c r="P41" s="20">
        <f t="shared" si="5"/>
        <v>-5.3932584269662556</v>
      </c>
      <c r="Q41" s="161">
        <f t="shared" si="6"/>
        <v>0.95505617977528123</v>
      </c>
      <c r="R41" s="637">
        <f>Q49</f>
        <v>0.95681252715287834</v>
      </c>
      <c r="S41" s="40">
        <v>8.3333333333333329E-2</v>
      </c>
      <c r="T41" s="40">
        <v>0.14513888888888887</v>
      </c>
      <c r="U41" s="160"/>
      <c r="V41" s="166">
        <f t="shared" ref="V41:V48" si="29">(T41-S41)*24*60</f>
        <v>88.999999999999972</v>
      </c>
      <c r="W41" s="28">
        <f>T41</f>
        <v>0.14513888888888887</v>
      </c>
      <c r="X41" s="28">
        <f>S42</f>
        <v>0.16319444444444442</v>
      </c>
      <c r="Y41" s="28"/>
      <c r="Z41" s="28"/>
      <c r="AA41" s="632"/>
      <c r="AB41" s="632"/>
      <c r="AC41" s="25">
        <v>8</v>
      </c>
      <c r="AD41" s="25"/>
      <c r="AE41" s="19">
        <f t="shared" si="8"/>
        <v>-107.86516853932517</v>
      </c>
      <c r="AF41" s="161">
        <f t="shared" si="9"/>
        <v>0.95505617977528123</v>
      </c>
      <c r="AG41" s="637">
        <f>AF49</f>
        <v>0.95681252715287846</v>
      </c>
    </row>
    <row r="42" spans="1:33" ht="15.75" customHeight="1">
      <c r="A42" s="651" t="s">
        <v>615</v>
      </c>
      <c r="B42" s="42" t="s">
        <v>116</v>
      </c>
      <c r="C42" s="633" t="s">
        <v>125</v>
      </c>
      <c r="D42" s="633"/>
      <c r="E42" s="42">
        <v>25.98</v>
      </c>
      <c r="F42" s="168">
        <v>3494</v>
      </c>
      <c r="G42" s="160">
        <f t="shared" si="27"/>
        <v>90774.12</v>
      </c>
      <c r="H42" s="37" t="s">
        <v>91</v>
      </c>
      <c r="I42" s="165">
        <v>20</v>
      </c>
      <c r="J42" s="39">
        <v>2400</v>
      </c>
      <c r="K42" s="17">
        <f t="shared" si="1"/>
        <v>120</v>
      </c>
      <c r="L42" s="165">
        <v>20</v>
      </c>
      <c r="M42" s="18">
        <f t="shared" si="28"/>
        <v>2303.7362637362635</v>
      </c>
      <c r="N42" s="17">
        <f t="shared" si="3"/>
        <v>115.18681318681317</v>
      </c>
      <c r="O42" s="19">
        <f t="shared" si="4"/>
        <v>0</v>
      </c>
      <c r="P42" s="20">
        <f t="shared" si="5"/>
        <v>-4.8131868131868316</v>
      </c>
      <c r="Q42" s="161">
        <f t="shared" si="6"/>
        <v>0.9598901098901097</v>
      </c>
      <c r="R42" s="637"/>
      <c r="S42" s="40">
        <v>0.16319444444444442</v>
      </c>
      <c r="T42" s="40">
        <v>0.22638888888888886</v>
      </c>
      <c r="U42" s="160">
        <f t="shared" ref="U42:U48" si="30">(S42-T41)*24*60</f>
        <v>25.999999999999986</v>
      </c>
      <c r="V42" s="166">
        <f t="shared" si="29"/>
        <v>91</v>
      </c>
      <c r="W42" s="160"/>
      <c r="X42" s="160"/>
      <c r="Y42" s="160"/>
      <c r="Z42" s="160"/>
      <c r="AA42" s="632"/>
      <c r="AB42" s="632"/>
      <c r="AC42" s="25"/>
      <c r="AD42" s="25"/>
      <c r="AE42" s="19">
        <f t="shared" si="8"/>
        <v>-96.263736263736519</v>
      </c>
      <c r="AF42" s="161">
        <f t="shared" si="9"/>
        <v>0.95989010989010981</v>
      </c>
      <c r="AG42" s="637"/>
    </row>
    <row r="43" spans="1:33">
      <c r="A43" s="652" t="s">
        <v>615</v>
      </c>
      <c r="B43" s="42" t="s">
        <v>116</v>
      </c>
      <c r="C43" s="633" t="s">
        <v>119</v>
      </c>
      <c r="D43" s="633"/>
      <c r="E43" s="42">
        <v>26.18</v>
      </c>
      <c r="F43" s="168">
        <v>4600</v>
      </c>
      <c r="G43" s="160">
        <f t="shared" si="27"/>
        <v>120428</v>
      </c>
      <c r="H43" s="37">
        <v>2</v>
      </c>
      <c r="I43" s="165">
        <v>18</v>
      </c>
      <c r="J43" s="39">
        <v>2400</v>
      </c>
      <c r="K43" s="17">
        <f t="shared" si="1"/>
        <v>133.33333333333334</v>
      </c>
      <c r="L43" s="165">
        <v>18</v>
      </c>
      <c r="M43" s="18">
        <f t="shared" si="28"/>
        <v>2300</v>
      </c>
      <c r="N43" s="17">
        <f t="shared" si="3"/>
        <v>127.77777777777777</v>
      </c>
      <c r="O43" s="19">
        <f t="shared" si="4"/>
        <v>0</v>
      </c>
      <c r="P43" s="20">
        <f t="shared" si="5"/>
        <v>-5.5555555555555713</v>
      </c>
      <c r="Q43" s="161">
        <f t="shared" si="6"/>
        <v>0.95833333333333326</v>
      </c>
      <c r="R43" s="637"/>
      <c r="S43" s="40">
        <v>0.23055555555555554</v>
      </c>
      <c r="T43" s="40">
        <v>0.31388888888888888</v>
      </c>
      <c r="U43" s="160">
        <f t="shared" si="30"/>
        <v>6.0000000000000187</v>
      </c>
      <c r="V43" s="166">
        <f t="shared" si="29"/>
        <v>120</v>
      </c>
      <c r="W43" s="160"/>
      <c r="X43" s="160"/>
      <c r="Y43" s="160"/>
      <c r="Z43" s="160"/>
      <c r="AA43" s="632"/>
      <c r="AB43" s="632"/>
      <c r="AC43" s="25"/>
      <c r="AD43" s="25"/>
      <c r="AE43" s="19">
        <f t="shared" si="8"/>
        <v>-100</v>
      </c>
      <c r="AF43" s="161">
        <f t="shared" si="9"/>
        <v>0.95833333333333337</v>
      </c>
      <c r="AG43" s="637"/>
    </row>
    <row r="44" spans="1:33">
      <c r="A44" s="652" t="s">
        <v>615</v>
      </c>
      <c r="B44" s="42" t="s">
        <v>116</v>
      </c>
      <c r="C44" s="633" t="s">
        <v>121</v>
      </c>
      <c r="D44" s="633"/>
      <c r="E44" s="42">
        <v>25.99</v>
      </c>
      <c r="F44" s="168">
        <v>3874</v>
      </c>
      <c r="G44" s="160">
        <f t="shared" si="27"/>
        <v>100685.26</v>
      </c>
      <c r="H44" s="37" t="s">
        <v>91</v>
      </c>
      <c r="I44" s="165">
        <v>14</v>
      </c>
      <c r="J44" s="39">
        <v>2400</v>
      </c>
      <c r="K44" s="17">
        <f t="shared" si="1"/>
        <v>171.42857142857142</v>
      </c>
      <c r="L44" s="165">
        <v>14</v>
      </c>
      <c r="M44" s="18">
        <f t="shared" si="28"/>
        <v>2301.3861386138624</v>
      </c>
      <c r="N44" s="17">
        <f t="shared" si="3"/>
        <v>164.38472418670446</v>
      </c>
      <c r="O44" s="19">
        <f t="shared" si="4"/>
        <v>0</v>
      </c>
      <c r="P44" s="20">
        <f t="shared" si="5"/>
        <v>-7.0438472418669562</v>
      </c>
      <c r="Q44" s="161">
        <f t="shared" si="6"/>
        <v>0.95891089108910943</v>
      </c>
      <c r="R44" s="637"/>
      <c r="S44" s="40">
        <v>0.31874999999999998</v>
      </c>
      <c r="T44" s="40">
        <v>0.38888888888888884</v>
      </c>
      <c r="U44" s="160">
        <f t="shared" si="30"/>
        <v>6.9999999999999751</v>
      </c>
      <c r="V44" s="166">
        <f t="shared" si="29"/>
        <v>100.99999999999996</v>
      </c>
      <c r="W44" s="23"/>
      <c r="X44" s="23"/>
      <c r="Y44" s="23"/>
      <c r="Z44" s="23"/>
      <c r="AA44" s="632"/>
      <c r="AB44" s="632"/>
      <c r="AC44" s="25"/>
      <c r="AD44" s="25"/>
      <c r="AE44" s="19">
        <f t="shared" si="8"/>
        <v>-98.613861386137614</v>
      </c>
      <c r="AF44" s="161">
        <f t="shared" si="9"/>
        <v>0.95891089108910932</v>
      </c>
      <c r="AG44" s="637"/>
    </row>
    <row r="45" spans="1:33">
      <c r="A45" s="652" t="s">
        <v>615</v>
      </c>
      <c r="B45" s="42" t="s">
        <v>116</v>
      </c>
      <c r="C45" s="633" t="s">
        <v>126</v>
      </c>
      <c r="D45" s="633"/>
      <c r="E45" s="42">
        <v>34.1</v>
      </c>
      <c r="F45" s="168">
        <v>3600</v>
      </c>
      <c r="G45" s="160">
        <f t="shared" si="27"/>
        <v>122760</v>
      </c>
      <c r="H45" s="37">
        <v>2</v>
      </c>
      <c r="I45" s="165">
        <v>17</v>
      </c>
      <c r="J45" s="39">
        <v>1600</v>
      </c>
      <c r="K45" s="17">
        <f t="shared" si="1"/>
        <v>94.117647058823536</v>
      </c>
      <c r="L45" s="165">
        <v>17</v>
      </c>
      <c r="M45" s="18">
        <f t="shared" si="28"/>
        <v>1521.1267605633807</v>
      </c>
      <c r="N45" s="17">
        <f t="shared" si="3"/>
        <v>89.478044739022394</v>
      </c>
      <c r="O45" s="19">
        <f t="shared" si="4"/>
        <v>0</v>
      </c>
      <c r="P45" s="20">
        <f t="shared" si="5"/>
        <v>-4.639602319801142</v>
      </c>
      <c r="Q45" s="161">
        <f t="shared" si="6"/>
        <v>0.95070422535211285</v>
      </c>
      <c r="R45" s="637"/>
      <c r="S45" s="40">
        <v>0.39236111111111105</v>
      </c>
      <c r="T45" s="40">
        <v>0.49097222222222214</v>
      </c>
      <c r="U45" s="160">
        <f t="shared" si="30"/>
        <v>4.9999999999999822</v>
      </c>
      <c r="V45" s="166">
        <f t="shared" si="29"/>
        <v>141.99999999999997</v>
      </c>
      <c r="W45" s="23">
        <f>T45</f>
        <v>0.49097222222222214</v>
      </c>
      <c r="X45" s="23">
        <f>S46</f>
        <v>0.53263888888888877</v>
      </c>
      <c r="Y45" s="23"/>
      <c r="Z45" s="23"/>
      <c r="AA45" s="632"/>
      <c r="AB45" s="632"/>
      <c r="AC45" s="25"/>
      <c r="AD45" s="25"/>
      <c r="AE45" s="19">
        <f t="shared" si="8"/>
        <v>-78.873239436619315</v>
      </c>
      <c r="AF45" s="161">
        <f t="shared" si="9"/>
        <v>0.95070422535211296</v>
      </c>
      <c r="AG45" s="637"/>
    </row>
    <row r="46" spans="1:33">
      <c r="A46" s="652" t="s">
        <v>615</v>
      </c>
      <c r="B46" s="42" t="s">
        <v>116</v>
      </c>
      <c r="C46" s="633" t="s">
        <v>123</v>
      </c>
      <c r="D46" s="633"/>
      <c r="E46" s="42">
        <v>26.18</v>
      </c>
      <c r="F46" s="168">
        <v>2671</v>
      </c>
      <c r="G46" s="160">
        <f t="shared" si="27"/>
        <v>69926.78</v>
      </c>
      <c r="H46" s="37" t="s">
        <v>91</v>
      </c>
      <c r="I46" s="165">
        <v>20</v>
      </c>
      <c r="J46" s="39">
        <v>2400</v>
      </c>
      <c r="K46" s="17">
        <f t="shared" si="1"/>
        <v>120</v>
      </c>
      <c r="L46" s="165">
        <v>20</v>
      </c>
      <c r="M46" s="18">
        <f t="shared" si="28"/>
        <v>2289.4285714285688</v>
      </c>
      <c r="N46" s="17">
        <f t="shared" si="3"/>
        <v>114.47142857142845</v>
      </c>
      <c r="O46" s="19">
        <f t="shared" si="4"/>
        <v>0</v>
      </c>
      <c r="P46" s="20">
        <f t="shared" si="5"/>
        <v>-5.5285714285715528</v>
      </c>
      <c r="Q46" s="161">
        <f t="shared" si="6"/>
        <v>0.95392857142857035</v>
      </c>
      <c r="R46" s="637"/>
      <c r="S46" s="40">
        <v>0.53263888888888877</v>
      </c>
      <c r="T46" s="40">
        <v>0.58124999999999993</v>
      </c>
      <c r="U46" s="160">
        <f t="shared" si="30"/>
        <v>59.999999999999943</v>
      </c>
      <c r="V46" s="166">
        <f t="shared" si="29"/>
        <v>70.000000000000071</v>
      </c>
      <c r="W46" s="23"/>
      <c r="X46" s="23"/>
      <c r="Y46" s="23"/>
      <c r="Z46" s="23"/>
      <c r="AA46" s="632"/>
      <c r="AB46" s="632"/>
      <c r="AC46" s="25"/>
      <c r="AD46" s="25"/>
      <c r="AE46" s="19">
        <f t="shared" si="8"/>
        <v>-110.57142857143117</v>
      </c>
      <c r="AF46" s="161">
        <f t="shared" si="9"/>
        <v>0.95392857142857035</v>
      </c>
      <c r="AG46" s="637"/>
    </row>
    <row r="47" spans="1:33">
      <c r="A47" s="652" t="s">
        <v>615</v>
      </c>
      <c r="B47" s="42" t="s">
        <v>116</v>
      </c>
      <c r="C47" s="633" t="s">
        <v>119</v>
      </c>
      <c r="D47" s="633"/>
      <c r="E47" s="42">
        <v>26.18</v>
      </c>
      <c r="F47" s="168">
        <v>3485</v>
      </c>
      <c r="G47" s="160">
        <f t="shared" si="27"/>
        <v>91237.3</v>
      </c>
      <c r="H47" s="37" t="s">
        <v>91</v>
      </c>
      <c r="I47" s="165">
        <v>18</v>
      </c>
      <c r="J47" s="39">
        <v>2400</v>
      </c>
      <c r="K47" s="17">
        <f t="shared" si="1"/>
        <v>133.33333333333334</v>
      </c>
      <c r="L47" s="165">
        <v>18</v>
      </c>
      <c r="M47" s="18">
        <f t="shared" si="28"/>
        <v>2297.802197802198</v>
      </c>
      <c r="N47" s="17">
        <f t="shared" si="3"/>
        <v>127.65567765567766</v>
      </c>
      <c r="O47" s="19">
        <f t="shared" si="4"/>
        <v>0</v>
      </c>
      <c r="P47" s="20">
        <f t="shared" si="5"/>
        <v>-5.6776556776556788</v>
      </c>
      <c r="Q47" s="161">
        <f t="shared" si="6"/>
        <v>0.95741758241758246</v>
      </c>
      <c r="R47" s="637"/>
      <c r="S47" s="40">
        <v>0.58611111111111103</v>
      </c>
      <c r="T47" s="40">
        <v>0.64930555555555547</v>
      </c>
      <c r="U47" s="160">
        <f t="shared" si="30"/>
        <v>6.9999999999999751</v>
      </c>
      <c r="V47" s="166">
        <f t="shared" si="29"/>
        <v>91</v>
      </c>
      <c r="W47" s="23"/>
      <c r="X47" s="23"/>
      <c r="Y47" s="26"/>
      <c r="Z47" s="26"/>
      <c r="AA47" s="627"/>
      <c r="AB47" s="628"/>
      <c r="AC47" s="25"/>
      <c r="AD47" s="25"/>
      <c r="AE47" s="19">
        <f t="shared" si="8"/>
        <v>-102.19780219780205</v>
      </c>
      <c r="AF47" s="161">
        <f t="shared" si="9"/>
        <v>0.95741758241758246</v>
      </c>
      <c r="AG47" s="637"/>
    </row>
    <row r="48" spans="1:33">
      <c r="A48" s="652" t="s">
        <v>615</v>
      </c>
      <c r="B48" s="42" t="s">
        <v>116</v>
      </c>
      <c r="C48" s="633" t="s">
        <v>126</v>
      </c>
      <c r="D48" s="633"/>
      <c r="E48" s="42">
        <v>34.1</v>
      </c>
      <c r="F48" s="168">
        <v>2864</v>
      </c>
      <c r="G48" s="160">
        <f t="shared" si="27"/>
        <v>97662.400000000009</v>
      </c>
      <c r="H48" s="37" t="s">
        <v>91</v>
      </c>
      <c r="I48" s="165">
        <v>17</v>
      </c>
      <c r="J48" s="39">
        <v>1600</v>
      </c>
      <c r="K48" s="17">
        <f t="shared" si="1"/>
        <v>94.117647058823536</v>
      </c>
      <c r="L48" s="165">
        <v>17</v>
      </c>
      <c r="M48" s="18">
        <f t="shared" si="28"/>
        <v>1534.2857142857131</v>
      </c>
      <c r="N48" s="17">
        <f t="shared" si="3"/>
        <v>90.25210084033607</v>
      </c>
      <c r="O48" s="19">
        <f t="shared" si="4"/>
        <v>0</v>
      </c>
      <c r="P48" s="20">
        <f t="shared" si="5"/>
        <v>-3.8655462184874665</v>
      </c>
      <c r="Q48" s="161">
        <f t="shared" si="6"/>
        <v>0.95892857142857069</v>
      </c>
      <c r="R48" s="637"/>
      <c r="S48" s="40">
        <v>0.65486111111111101</v>
      </c>
      <c r="T48" s="40">
        <v>0.73263888888888884</v>
      </c>
      <c r="U48" s="160">
        <f t="shared" si="30"/>
        <v>7.9999999999999716</v>
      </c>
      <c r="V48" s="166">
        <f t="shared" si="29"/>
        <v>112.00000000000009</v>
      </c>
      <c r="W48" s="23"/>
      <c r="X48" s="23"/>
      <c r="Y48" s="26"/>
      <c r="Z48" s="26"/>
      <c r="AA48" s="627"/>
      <c r="AB48" s="628"/>
      <c r="AC48" s="25"/>
      <c r="AD48" s="25"/>
      <c r="AE48" s="19">
        <f t="shared" si="8"/>
        <v>-65.714285714286916</v>
      </c>
      <c r="AF48" s="161">
        <f t="shared" si="9"/>
        <v>0.95892857142857069</v>
      </c>
      <c r="AG48" s="637"/>
    </row>
    <row r="49" spans="1:33">
      <c r="A49" s="652" t="s">
        <v>615</v>
      </c>
      <c r="B49" s="44" t="s">
        <v>616</v>
      </c>
      <c r="C49" s="638"/>
      <c r="D49" s="638"/>
      <c r="E49" s="162"/>
      <c r="F49" s="44"/>
      <c r="G49" s="17"/>
      <c r="H49" s="168"/>
      <c r="I49" s="29">
        <v>18</v>
      </c>
      <c r="J49" s="39">
        <v>2200</v>
      </c>
      <c r="K49" s="17">
        <f t="shared" si="1"/>
        <v>122.22222222222223</v>
      </c>
      <c r="L49" s="29">
        <v>18</v>
      </c>
      <c r="M49" s="18">
        <f>AVERAGE(M41:M48)</f>
        <v>2104.9875597363325</v>
      </c>
      <c r="N49" s="17">
        <f t="shared" si="3"/>
        <v>116.94375331868514</v>
      </c>
      <c r="O49" s="19">
        <f t="shared" si="4"/>
        <v>0</v>
      </c>
      <c r="P49" s="20">
        <f t="shared" si="5"/>
        <v>-5.2784689035370889</v>
      </c>
      <c r="Q49" s="161">
        <f t="shared" si="6"/>
        <v>0.95681252715287834</v>
      </c>
      <c r="R49" s="637"/>
      <c r="S49" s="40"/>
      <c r="T49" s="40"/>
      <c r="U49" s="17"/>
      <c r="V49" s="166"/>
      <c r="W49" s="17"/>
      <c r="X49" s="17"/>
      <c r="Y49" s="30">
        <f>SUM(Y41:Y48)</f>
        <v>0</v>
      </c>
      <c r="Z49" s="30">
        <f>SUM(Z41:Z48)</f>
        <v>0</v>
      </c>
      <c r="AA49" s="631"/>
      <c r="AB49" s="631"/>
      <c r="AC49" s="30">
        <v>8</v>
      </c>
      <c r="AD49" s="30">
        <f>SUM(AD41:AD48)</f>
        <v>0</v>
      </c>
      <c r="AE49" s="19">
        <f t="shared" si="8"/>
        <v>-95.012440263667486</v>
      </c>
      <c r="AF49" s="161">
        <f t="shared" si="9"/>
        <v>0.95681252715287846</v>
      </c>
      <c r="AG49" s="637"/>
    </row>
    <row r="50" spans="1:33" ht="15.75" customHeight="1">
      <c r="A50" s="648" t="s">
        <v>617</v>
      </c>
      <c r="B50" s="42" t="s">
        <v>127</v>
      </c>
      <c r="C50" s="625" t="s">
        <v>128</v>
      </c>
      <c r="D50" s="626"/>
      <c r="E50" s="42">
        <v>21.13</v>
      </c>
      <c r="F50" s="168">
        <v>5566</v>
      </c>
      <c r="G50" s="160">
        <f t="shared" ref="G50:G53" si="31">E50*F50</f>
        <v>117609.57999999999</v>
      </c>
      <c r="H50" s="37" t="s">
        <v>91</v>
      </c>
      <c r="I50" s="165">
        <v>10</v>
      </c>
      <c r="J50" s="39">
        <v>3000</v>
      </c>
      <c r="K50" s="17">
        <f t="shared" si="1"/>
        <v>300</v>
      </c>
      <c r="L50" s="165">
        <v>10</v>
      </c>
      <c r="M50" s="18">
        <f t="shared" ref="M50:M53" si="32">F50/V50*60</f>
        <v>2878.9655172413786</v>
      </c>
      <c r="N50" s="18">
        <f t="shared" si="3"/>
        <v>287.89655172413785</v>
      </c>
      <c r="O50" s="19">
        <f t="shared" si="4"/>
        <v>0</v>
      </c>
      <c r="P50" s="20">
        <f t="shared" si="5"/>
        <v>-12.103448275862149</v>
      </c>
      <c r="Q50" s="161">
        <f t="shared" si="6"/>
        <v>0.95965517241379283</v>
      </c>
      <c r="R50" s="643">
        <f>Q54</f>
        <v>0.9626092737347246</v>
      </c>
      <c r="S50" s="40">
        <v>0.20833333333333334</v>
      </c>
      <c r="T50" s="40">
        <v>0.28888888888888892</v>
      </c>
      <c r="U50" s="28"/>
      <c r="V50" s="166">
        <f t="shared" ref="V50:V53" si="33">(T50-S50)*24*60</f>
        <v>116.00000000000003</v>
      </c>
      <c r="W50" s="23"/>
      <c r="X50" s="23"/>
      <c r="Y50" s="26"/>
      <c r="Z50" s="26"/>
      <c r="AA50" s="627"/>
      <c r="AB50" s="628"/>
      <c r="AC50" s="25">
        <v>4</v>
      </c>
      <c r="AD50" s="25"/>
      <c r="AE50" s="19">
        <f t="shared" si="8"/>
        <v>-121.03448275862138</v>
      </c>
      <c r="AF50" s="161">
        <f t="shared" si="9"/>
        <v>0.95965517241379283</v>
      </c>
      <c r="AG50" s="643">
        <f>AF54</f>
        <v>0.9626092737347246</v>
      </c>
    </row>
    <row r="51" spans="1:33" ht="15.75" customHeight="1">
      <c r="A51" s="649" t="s">
        <v>617</v>
      </c>
      <c r="B51" s="42" t="s">
        <v>127</v>
      </c>
      <c r="C51" s="625" t="s">
        <v>129</v>
      </c>
      <c r="D51" s="626"/>
      <c r="E51" s="42">
        <v>27.17</v>
      </c>
      <c r="F51" s="168">
        <v>4775</v>
      </c>
      <c r="G51" s="160">
        <f t="shared" si="31"/>
        <v>129736.75000000001</v>
      </c>
      <c r="H51" s="37" t="s">
        <v>91</v>
      </c>
      <c r="I51" s="165">
        <v>10</v>
      </c>
      <c r="J51" s="39">
        <v>3000</v>
      </c>
      <c r="K51" s="17">
        <f t="shared" si="1"/>
        <v>300</v>
      </c>
      <c r="L51" s="165">
        <v>10</v>
      </c>
      <c r="M51" s="18">
        <f t="shared" si="32"/>
        <v>2864.9999999999986</v>
      </c>
      <c r="N51" s="18">
        <f t="shared" si="3"/>
        <v>286.49999999999989</v>
      </c>
      <c r="O51" s="19">
        <f t="shared" si="4"/>
        <v>0</v>
      </c>
      <c r="P51" s="20">
        <f t="shared" si="5"/>
        <v>-13.500000000000114</v>
      </c>
      <c r="Q51" s="161">
        <f t="shared" si="6"/>
        <v>0.95499999999999963</v>
      </c>
      <c r="R51" s="644"/>
      <c r="S51" s="40">
        <v>0.29444444444444445</v>
      </c>
      <c r="T51" s="40">
        <v>0.36388888888888893</v>
      </c>
      <c r="U51" s="160">
        <f t="shared" ref="U51:U53" si="34">(S51-T50)*24*60</f>
        <v>7.9999999999999716</v>
      </c>
      <c r="V51" s="166">
        <f t="shared" si="33"/>
        <v>100.00000000000004</v>
      </c>
      <c r="W51" s="23"/>
      <c r="X51" s="23"/>
      <c r="Y51" s="26"/>
      <c r="Z51" s="26"/>
      <c r="AA51" s="627"/>
      <c r="AB51" s="628"/>
      <c r="AC51" s="25"/>
      <c r="AD51" s="25"/>
      <c r="AE51" s="19">
        <f t="shared" si="8"/>
        <v>-135.00000000000136</v>
      </c>
      <c r="AF51" s="161">
        <f t="shared" si="9"/>
        <v>0.95499999999999952</v>
      </c>
      <c r="AG51" s="644"/>
    </row>
    <row r="52" spans="1:33" ht="15.75" customHeight="1">
      <c r="A52" s="649" t="s">
        <v>617</v>
      </c>
      <c r="B52" s="42" t="s">
        <v>127</v>
      </c>
      <c r="C52" s="625" t="s">
        <v>130</v>
      </c>
      <c r="D52" s="626"/>
      <c r="E52" s="42">
        <v>35.869999999999997</v>
      </c>
      <c r="F52" s="168">
        <v>1969</v>
      </c>
      <c r="G52" s="160">
        <f t="shared" si="31"/>
        <v>70628.03</v>
      </c>
      <c r="H52" s="37" t="s">
        <v>91</v>
      </c>
      <c r="I52" s="165">
        <v>9</v>
      </c>
      <c r="J52" s="39">
        <v>3000</v>
      </c>
      <c r="K52" s="17">
        <f t="shared" si="1"/>
        <v>333.33333333333331</v>
      </c>
      <c r="L52" s="165">
        <v>9</v>
      </c>
      <c r="M52" s="18">
        <f t="shared" si="32"/>
        <v>2881.4634146341455</v>
      </c>
      <c r="N52" s="18">
        <f t="shared" si="3"/>
        <v>320.16260162601617</v>
      </c>
      <c r="O52" s="19">
        <f t="shared" si="4"/>
        <v>0</v>
      </c>
      <c r="P52" s="20">
        <f t="shared" si="5"/>
        <v>-13.170731707317145</v>
      </c>
      <c r="Q52" s="161">
        <f t="shared" si="6"/>
        <v>0.96048780487804852</v>
      </c>
      <c r="R52" s="644"/>
      <c r="S52" s="40">
        <v>0.36875000000000002</v>
      </c>
      <c r="T52" s="40">
        <v>0.39722222222222225</v>
      </c>
      <c r="U52" s="160">
        <f t="shared" si="34"/>
        <v>6.9999999999999751</v>
      </c>
      <c r="V52" s="166">
        <f t="shared" si="33"/>
        <v>41.000000000000014</v>
      </c>
      <c r="W52" s="23"/>
      <c r="X52" s="23"/>
      <c r="Y52" s="26"/>
      <c r="Z52" s="26"/>
      <c r="AA52" s="627"/>
      <c r="AB52" s="628"/>
      <c r="AC52" s="25"/>
      <c r="AD52" s="25"/>
      <c r="AE52" s="19">
        <f t="shared" si="8"/>
        <v>-118.53658536585453</v>
      </c>
      <c r="AF52" s="161">
        <f t="shared" si="9"/>
        <v>0.96048780487804852</v>
      </c>
      <c r="AG52" s="644"/>
    </row>
    <row r="53" spans="1:33" ht="15.75" customHeight="1">
      <c r="A53" s="649" t="s">
        <v>617</v>
      </c>
      <c r="B53" s="42" t="s">
        <v>127</v>
      </c>
      <c r="C53" s="625" t="s">
        <v>131</v>
      </c>
      <c r="D53" s="626"/>
      <c r="E53" s="42">
        <v>34.35</v>
      </c>
      <c r="F53" s="168">
        <v>829</v>
      </c>
      <c r="G53" s="160">
        <f t="shared" si="31"/>
        <v>28476.15</v>
      </c>
      <c r="H53" s="37" t="s">
        <v>91</v>
      </c>
      <c r="I53" s="165">
        <v>8</v>
      </c>
      <c r="J53" s="39">
        <v>3000</v>
      </c>
      <c r="K53" s="17">
        <f t="shared" si="1"/>
        <v>375</v>
      </c>
      <c r="L53" s="165">
        <v>8</v>
      </c>
      <c r="M53" s="18">
        <f t="shared" si="32"/>
        <v>2925.8823529411725</v>
      </c>
      <c r="N53" s="18">
        <f t="shared" si="3"/>
        <v>365.73529411764656</v>
      </c>
      <c r="O53" s="19">
        <f t="shared" si="4"/>
        <v>0</v>
      </c>
      <c r="P53" s="20">
        <f t="shared" si="5"/>
        <v>-9.2647058823534394</v>
      </c>
      <c r="Q53" s="161">
        <f t="shared" si="6"/>
        <v>0.97529411764705753</v>
      </c>
      <c r="R53" s="644"/>
      <c r="S53" s="40">
        <v>0.40069444444444446</v>
      </c>
      <c r="T53" s="40">
        <v>0.41250000000000003</v>
      </c>
      <c r="U53" s="160">
        <f t="shared" si="34"/>
        <v>4.9999999999999822</v>
      </c>
      <c r="V53" s="166">
        <f t="shared" si="33"/>
        <v>17.000000000000021</v>
      </c>
      <c r="W53" s="23"/>
      <c r="X53" s="23"/>
      <c r="Y53" s="26"/>
      <c r="Z53" s="26"/>
      <c r="AA53" s="627"/>
      <c r="AB53" s="628"/>
      <c r="AC53" s="25"/>
      <c r="AD53" s="25"/>
      <c r="AE53" s="19">
        <f t="shared" si="8"/>
        <v>-74.117647058827515</v>
      </c>
      <c r="AF53" s="161">
        <f t="shared" si="9"/>
        <v>0.97529411764705753</v>
      </c>
      <c r="AG53" s="644"/>
    </row>
    <row r="54" spans="1:33" ht="15.75" customHeight="1">
      <c r="A54" s="650" t="s">
        <v>617</v>
      </c>
      <c r="B54" s="42" t="s">
        <v>616</v>
      </c>
      <c r="C54" s="629"/>
      <c r="D54" s="630"/>
      <c r="E54" s="158"/>
      <c r="F54" s="168"/>
      <c r="G54" s="160"/>
      <c r="H54" s="168"/>
      <c r="I54" s="29">
        <v>9.25</v>
      </c>
      <c r="J54" s="39">
        <v>3000</v>
      </c>
      <c r="K54" s="17">
        <f t="shared" si="1"/>
        <v>324.32432432432432</v>
      </c>
      <c r="L54" s="29">
        <v>9.25</v>
      </c>
      <c r="M54" s="18">
        <f>AVERAGE(M50:M53)</f>
        <v>2887.8278212041737</v>
      </c>
      <c r="N54" s="17">
        <f t="shared" si="3"/>
        <v>312.19760229234311</v>
      </c>
      <c r="O54" s="19">
        <f t="shared" si="4"/>
        <v>0</v>
      </c>
      <c r="P54" s="20">
        <f t="shared" si="5"/>
        <v>-12.126722031981217</v>
      </c>
      <c r="Q54" s="161">
        <f t="shared" si="6"/>
        <v>0.9626092737347246</v>
      </c>
      <c r="R54" s="645"/>
      <c r="S54" s="40"/>
      <c r="T54" s="40"/>
      <c r="U54" s="160"/>
      <c r="V54" s="166"/>
      <c r="W54" s="23"/>
      <c r="X54" s="23"/>
      <c r="Y54" s="30">
        <f>SUM(Y50:Y53)</f>
        <v>0</v>
      </c>
      <c r="Z54" s="30">
        <f>SUM(Z50:Z53)</f>
        <v>0</v>
      </c>
      <c r="AA54" s="646"/>
      <c r="AB54" s="647"/>
      <c r="AC54" s="30">
        <v>4</v>
      </c>
      <c r="AD54" s="30">
        <f>SUM(AD50:AD53)</f>
        <v>0</v>
      </c>
      <c r="AE54" s="19">
        <f t="shared" si="8"/>
        <v>-112.17217879582631</v>
      </c>
      <c r="AF54" s="161">
        <f t="shared" si="9"/>
        <v>0.9626092737347246</v>
      </c>
      <c r="AG54" s="645"/>
    </row>
    <row r="55" spans="1:33" ht="15.75" customHeight="1">
      <c r="A55" s="641" t="s">
        <v>618</v>
      </c>
      <c r="B55" s="42" t="s">
        <v>92</v>
      </c>
      <c r="C55" s="633" t="s">
        <v>133</v>
      </c>
      <c r="D55" s="633"/>
      <c r="E55" s="42">
        <v>59.04</v>
      </c>
      <c r="F55" s="48">
        <v>1674</v>
      </c>
      <c r="G55" s="160">
        <f t="shared" ref="G55:G62" si="35">E55*F55</f>
        <v>98832.959999999992</v>
      </c>
      <c r="H55" s="37" t="s">
        <v>91</v>
      </c>
      <c r="I55" s="165">
        <v>19</v>
      </c>
      <c r="J55" s="39">
        <v>2000</v>
      </c>
      <c r="K55" s="17">
        <f t="shared" si="1"/>
        <v>105.26315789473684</v>
      </c>
      <c r="L55" s="165">
        <v>19</v>
      </c>
      <c r="M55" s="18">
        <f t="shared" ref="M55" si="36">F55/V55*60</f>
        <v>1931.5384615384612</v>
      </c>
      <c r="N55" s="18">
        <f t="shared" si="3"/>
        <v>101.65991902834007</v>
      </c>
      <c r="O55" s="19">
        <f t="shared" si="4"/>
        <v>0</v>
      </c>
      <c r="P55" s="20">
        <f t="shared" si="5"/>
        <v>-3.6032388663967652</v>
      </c>
      <c r="Q55" s="161">
        <f t="shared" si="6"/>
        <v>0.96576923076923071</v>
      </c>
      <c r="R55" s="637">
        <f>Q63</f>
        <v>0.96189709196611828</v>
      </c>
      <c r="S55" s="40">
        <v>0.20833333333333334</v>
      </c>
      <c r="T55" s="40">
        <v>0.24444444444444446</v>
      </c>
      <c r="U55" s="28"/>
      <c r="V55" s="166">
        <f t="shared" ref="V55:V62" si="37">(T55-S55)*24*60</f>
        <v>52.000000000000014</v>
      </c>
      <c r="W55" s="23"/>
      <c r="X55" s="23"/>
      <c r="Y55" s="28"/>
      <c r="Z55" s="28"/>
      <c r="AA55" s="632"/>
      <c r="AB55" s="632"/>
      <c r="AC55" s="25">
        <v>8</v>
      </c>
      <c r="AD55" s="25"/>
      <c r="AE55" s="19">
        <f t="shared" si="8"/>
        <v>-68.461538461538794</v>
      </c>
      <c r="AF55" s="161">
        <f t="shared" si="9"/>
        <v>0.9657692307692306</v>
      </c>
      <c r="AG55" s="637">
        <f>AF63</f>
        <v>0.96189709196611817</v>
      </c>
    </row>
    <row r="56" spans="1:33" ht="15.75" customHeight="1">
      <c r="A56" s="641" t="s">
        <v>618</v>
      </c>
      <c r="B56" s="42" t="s">
        <v>103</v>
      </c>
      <c r="C56" s="633" t="s">
        <v>132</v>
      </c>
      <c r="D56" s="633"/>
      <c r="E56" s="42">
        <v>51.44</v>
      </c>
      <c r="F56" s="48">
        <v>5398</v>
      </c>
      <c r="G56" s="160">
        <f t="shared" si="35"/>
        <v>277673.12</v>
      </c>
      <c r="H56" s="37" t="s">
        <v>91</v>
      </c>
      <c r="I56" s="165">
        <v>18</v>
      </c>
      <c r="J56" s="39">
        <v>2000</v>
      </c>
      <c r="K56" s="17">
        <f t="shared" si="1"/>
        <v>111.11111111111111</v>
      </c>
      <c r="L56" s="165">
        <v>18</v>
      </c>
      <c r="M56" s="18">
        <f>F56/V56*60</f>
        <v>1905.1764705882356</v>
      </c>
      <c r="N56" s="18">
        <f t="shared" si="3"/>
        <v>105.84313725490198</v>
      </c>
      <c r="O56" s="19">
        <f t="shared" si="4"/>
        <v>0</v>
      </c>
      <c r="P56" s="20">
        <f t="shared" si="5"/>
        <v>-5.2679738562091387</v>
      </c>
      <c r="Q56" s="161">
        <f t="shared" si="6"/>
        <v>0.95258823529411774</v>
      </c>
      <c r="R56" s="637"/>
      <c r="S56" s="40">
        <v>0.24930555555555559</v>
      </c>
      <c r="T56" s="40">
        <v>0.36736111111111114</v>
      </c>
      <c r="U56" s="160">
        <f t="shared" ref="U56:U62" si="38">IF(S56=TIME(17,0,0),"",(S56-T55)*24*60)</f>
        <v>7.0000000000000151</v>
      </c>
      <c r="V56" s="166">
        <f t="shared" si="37"/>
        <v>169.99999999999997</v>
      </c>
      <c r="W56" s="23"/>
      <c r="X56" s="23"/>
      <c r="Y56" s="23"/>
      <c r="Z56" s="23"/>
      <c r="AA56" s="632"/>
      <c r="AB56" s="632"/>
      <c r="AC56" s="25"/>
      <c r="AD56" s="25"/>
      <c r="AE56" s="19">
        <f t="shared" si="8"/>
        <v>-94.823529411764412</v>
      </c>
      <c r="AF56" s="161">
        <f t="shared" si="9"/>
        <v>0.95258823529411785</v>
      </c>
      <c r="AG56" s="637"/>
    </row>
    <row r="57" spans="1:33" ht="15.75" customHeight="1">
      <c r="A57" s="641" t="s">
        <v>618</v>
      </c>
      <c r="B57" s="42" t="s">
        <v>92</v>
      </c>
      <c r="C57" s="625" t="s">
        <v>134</v>
      </c>
      <c r="D57" s="626"/>
      <c r="E57" s="42">
        <v>56.43</v>
      </c>
      <c r="F57" s="48">
        <v>1170</v>
      </c>
      <c r="G57" s="160">
        <f t="shared" si="35"/>
        <v>66023.100000000006</v>
      </c>
      <c r="H57" s="37" t="s">
        <v>91</v>
      </c>
      <c r="I57" s="165">
        <v>22</v>
      </c>
      <c r="J57" s="39">
        <v>2000</v>
      </c>
      <c r="K57" s="17">
        <f t="shared" si="1"/>
        <v>90.909090909090907</v>
      </c>
      <c r="L57" s="165">
        <v>22</v>
      </c>
      <c r="M57" s="18">
        <f t="shared" ref="M57:M62" si="39">F57/V57*60</f>
        <v>1949.9999999999982</v>
      </c>
      <c r="N57" s="18">
        <f t="shared" si="3"/>
        <v>88.636363636363555</v>
      </c>
      <c r="O57" s="19">
        <f t="shared" si="4"/>
        <v>0</v>
      </c>
      <c r="P57" s="20">
        <f t="shared" si="5"/>
        <v>-2.2727272727273515</v>
      </c>
      <c r="Q57" s="161">
        <f t="shared" si="6"/>
        <v>0.97499999999999909</v>
      </c>
      <c r="R57" s="637"/>
      <c r="S57" s="40">
        <v>0.37222222222222223</v>
      </c>
      <c r="T57" s="40">
        <v>0.39722222222222225</v>
      </c>
      <c r="U57" s="160">
        <f t="shared" si="38"/>
        <v>6.9999999999999751</v>
      </c>
      <c r="V57" s="166">
        <f t="shared" si="37"/>
        <v>36.000000000000028</v>
      </c>
      <c r="W57" s="23"/>
      <c r="X57" s="23"/>
      <c r="Y57" s="26"/>
      <c r="Z57" s="26"/>
      <c r="AA57" s="632"/>
      <c r="AB57" s="632"/>
      <c r="AC57" s="25"/>
      <c r="AD57" s="25"/>
      <c r="AE57" s="19">
        <f t="shared" si="8"/>
        <v>-50.000000000001819</v>
      </c>
      <c r="AF57" s="161">
        <f t="shared" si="9"/>
        <v>0.97499999999999909</v>
      </c>
      <c r="AG57" s="637"/>
    </row>
    <row r="58" spans="1:33" ht="15.75" customHeight="1">
      <c r="A58" s="641" t="s">
        <v>618</v>
      </c>
      <c r="B58" s="42" t="s">
        <v>92</v>
      </c>
      <c r="C58" s="154" t="s">
        <v>135</v>
      </c>
      <c r="D58" s="155"/>
      <c r="E58" s="42">
        <v>51.44</v>
      </c>
      <c r="F58" s="48">
        <v>1669</v>
      </c>
      <c r="G58" s="160">
        <f t="shared" si="35"/>
        <v>85853.36</v>
      </c>
      <c r="H58" s="37" t="s">
        <v>91</v>
      </c>
      <c r="I58" s="165">
        <v>25</v>
      </c>
      <c r="J58" s="39">
        <v>2000</v>
      </c>
      <c r="K58" s="17">
        <f t="shared" si="1"/>
        <v>80</v>
      </c>
      <c r="L58" s="165">
        <v>25</v>
      </c>
      <c r="M58" s="18">
        <f t="shared" si="39"/>
        <v>1925.7692307692316</v>
      </c>
      <c r="N58" s="18">
        <f t="shared" si="3"/>
        <v>77.030769230769266</v>
      </c>
      <c r="O58" s="19">
        <f t="shared" si="4"/>
        <v>0</v>
      </c>
      <c r="P58" s="20">
        <f t="shared" si="5"/>
        <v>-2.9692307692307338</v>
      </c>
      <c r="Q58" s="161">
        <f t="shared" si="6"/>
        <v>0.96288461538461578</v>
      </c>
      <c r="R58" s="637"/>
      <c r="S58" s="40">
        <v>0.40138888888888891</v>
      </c>
      <c r="T58" s="40">
        <v>0.4375</v>
      </c>
      <c r="U58" s="160">
        <f t="shared" si="38"/>
        <v>5.9999999999999787</v>
      </c>
      <c r="V58" s="166">
        <f t="shared" si="37"/>
        <v>51.999999999999972</v>
      </c>
      <c r="W58" s="23"/>
      <c r="X58" s="23"/>
      <c r="Y58" s="26"/>
      <c r="Z58" s="26"/>
      <c r="AA58" s="632"/>
      <c r="AB58" s="632"/>
      <c r="AC58" s="25"/>
      <c r="AD58" s="25"/>
      <c r="AE58" s="19">
        <f t="shared" si="8"/>
        <v>-74.230769230768374</v>
      </c>
      <c r="AF58" s="161">
        <f t="shared" si="9"/>
        <v>0.96288461538461578</v>
      </c>
      <c r="AG58" s="637"/>
    </row>
    <row r="59" spans="1:33" ht="15.75" customHeight="1">
      <c r="A59" s="641" t="s">
        <v>618</v>
      </c>
      <c r="B59" s="42" t="s">
        <v>96</v>
      </c>
      <c r="C59" s="154" t="s">
        <v>136</v>
      </c>
      <c r="D59" s="155"/>
      <c r="E59" s="42">
        <v>46</v>
      </c>
      <c r="F59" s="48">
        <v>1564</v>
      </c>
      <c r="G59" s="160">
        <f t="shared" si="35"/>
        <v>71944</v>
      </c>
      <c r="H59" s="37" t="s">
        <v>91</v>
      </c>
      <c r="I59" s="165">
        <v>16</v>
      </c>
      <c r="J59" s="39">
        <v>2000</v>
      </c>
      <c r="K59" s="17">
        <f t="shared" si="1"/>
        <v>125</v>
      </c>
      <c r="L59" s="165">
        <v>16</v>
      </c>
      <c r="M59" s="18">
        <f t="shared" si="39"/>
        <v>1915.102040816327</v>
      </c>
      <c r="N59" s="18">
        <f t="shared" si="3"/>
        <v>119.69387755102044</v>
      </c>
      <c r="O59" s="19">
        <f t="shared" si="4"/>
        <v>0</v>
      </c>
      <c r="P59" s="20">
        <f t="shared" si="5"/>
        <v>-5.3061224489795649</v>
      </c>
      <c r="Q59" s="161">
        <f t="shared" si="6"/>
        <v>0.95755102040816353</v>
      </c>
      <c r="R59" s="637"/>
      <c r="S59" s="40">
        <v>0.44097222222222221</v>
      </c>
      <c r="T59" s="40">
        <v>0.47499999999999998</v>
      </c>
      <c r="U59" s="160">
        <f t="shared" si="38"/>
        <v>4.9999999999999822</v>
      </c>
      <c r="V59" s="166">
        <f t="shared" si="37"/>
        <v>48.999999999999986</v>
      </c>
      <c r="W59" s="23"/>
      <c r="X59" s="23"/>
      <c r="Y59" s="26"/>
      <c r="Z59" s="26"/>
      <c r="AA59" s="632"/>
      <c r="AB59" s="632"/>
      <c r="AC59" s="25"/>
      <c r="AD59" s="25"/>
      <c r="AE59" s="19">
        <f t="shared" si="8"/>
        <v>-84.897959183673038</v>
      </c>
      <c r="AF59" s="161">
        <f t="shared" si="9"/>
        <v>0.95755102040816353</v>
      </c>
      <c r="AG59" s="637"/>
    </row>
    <row r="60" spans="1:33" ht="15.75" customHeight="1">
      <c r="A60" s="641" t="s">
        <v>618</v>
      </c>
      <c r="B60" s="42" t="s">
        <v>96</v>
      </c>
      <c r="C60" s="625" t="s">
        <v>137</v>
      </c>
      <c r="D60" s="626"/>
      <c r="E60" s="42">
        <v>46</v>
      </c>
      <c r="F60" s="48">
        <v>1899</v>
      </c>
      <c r="G60" s="160">
        <f t="shared" si="35"/>
        <v>87354</v>
      </c>
      <c r="H60" s="37" t="s">
        <v>91</v>
      </c>
      <c r="I60" s="165">
        <v>17</v>
      </c>
      <c r="J60" s="39">
        <v>2000</v>
      </c>
      <c r="K60" s="17">
        <f t="shared" si="1"/>
        <v>117.64705882352941</v>
      </c>
      <c r="L60" s="165">
        <v>17</v>
      </c>
      <c r="M60" s="18">
        <f t="shared" si="39"/>
        <v>1931.186440677968</v>
      </c>
      <c r="N60" s="18">
        <f t="shared" si="3"/>
        <v>113.59920239282165</v>
      </c>
      <c r="O60" s="19">
        <f t="shared" si="4"/>
        <v>0</v>
      </c>
      <c r="P60" s="20">
        <f t="shared" si="5"/>
        <v>-4.0478564307077534</v>
      </c>
      <c r="Q60" s="161">
        <f t="shared" si="6"/>
        <v>0.96559322033898409</v>
      </c>
      <c r="R60" s="637"/>
      <c r="S60" s="40">
        <v>0.47847222222222219</v>
      </c>
      <c r="T60" s="40">
        <v>0.51944444444444438</v>
      </c>
      <c r="U60" s="160">
        <f t="shared" si="38"/>
        <v>4.9999999999999822</v>
      </c>
      <c r="V60" s="166">
        <f t="shared" si="37"/>
        <v>58.99999999999995</v>
      </c>
      <c r="W60" s="23"/>
      <c r="X60" s="23"/>
      <c r="Y60" s="26"/>
      <c r="Z60" s="26"/>
      <c r="AA60" s="627"/>
      <c r="AB60" s="628"/>
      <c r="AC60" s="25"/>
      <c r="AD60" s="25"/>
      <c r="AE60" s="19">
        <f t="shared" si="8"/>
        <v>-68.813559322032006</v>
      </c>
      <c r="AF60" s="161">
        <f t="shared" si="9"/>
        <v>0.96559322033898398</v>
      </c>
      <c r="AG60" s="637"/>
    </row>
    <row r="61" spans="1:33" ht="15.75" customHeight="1">
      <c r="A61" s="641" t="s">
        <v>618</v>
      </c>
      <c r="B61" s="42" t="s">
        <v>92</v>
      </c>
      <c r="C61" s="625" t="s">
        <v>138</v>
      </c>
      <c r="D61" s="626"/>
      <c r="E61" s="42">
        <v>55.56</v>
      </c>
      <c r="F61" s="48">
        <v>2559</v>
      </c>
      <c r="G61" s="160">
        <f t="shared" si="35"/>
        <v>142178.04</v>
      </c>
      <c r="H61" s="37" t="s">
        <v>91</v>
      </c>
      <c r="I61" s="165">
        <v>17</v>
      </c>
      <c r="J61" s="39">
        <v>2000</v>
      </c>
      <c r="K61" s="17">
        <f t="shared" si="1"/>
        <v>117.64705882352941</v>
      </c>
      <c r="L61" s="165">
        <v>17</v>
      </c>
      <c r="M61" s="18">
        <f t="shared" si="39"/>
        <v>1919.2499999999993</v>
      </c>
      <c r="N61" s="18">
        <f t="shared" si="3"/>
        <v>112.89705882352938</v>
      </c>
      <c r="O61" s="19">
        <f t="shared" si="4"/>
        <v>0</v>
      </c>
      <c r="P61" s="20">
        <f t="shared" si="5"/>
        <v>-4.7500000000000284</v>
      </c>
      <c r="Q61" s="161">
        <f t="shared" si="6"/>
        <v>0.95962499999999973</v>
      </c>
      <c r="R61" s="637"/>
      <c r="S61" s="40">
        <v>0.70833333333333337</v>
      </c>
      <c r="T61" s="40">
        <v>0.76388888888888895</v>
      </c>
      <c r="U61" s="160" t="str">
        <f t="shared" si="38"/>
        <v/>
      </c>
      <c r="V61" s="166">
        <f t="shared" si="37"/>
        <v>80.000000000000028</v>
      </c>
      <c r="W61" s="23"/>
      <c r="X61" s="23"/>
      <c r="Y61" s="26"/>
      <c r="Z61" s="26"/>
      <c r="AA61" s="627"/>
      <c r="AB61" s="628"/>
      <c r="AC61" s="25"/>
      <c r="AD61" s="25"/>
      <c r="AE61" s="19">
        <f t="shared" si="8"/>
        <v>-80.750000000000682</v>
      </c>
      <c r="AF61" s="161">
        <f t="shared" si="9"/>
        <v>0.95962499999999962</v>
      </c>
      <c r="AG61" s="637"/>
    </row>
    <row r="62" spans="1:33" ht="15.75" customHeight="1">
      <c r="A62" s="641" t="s">
        <v>618</v>
      </c>
      <c r="B62" s="42" t="s">
        <v>92</v>
      </c>
      <c r="C62" s="625" t="s">
        <v>420</v>
      </c>
      <c r="D62" s="626"/>
      <c r="E62" s="42">
        <v>58.17</v>
      </c>
      <c r="F62" s="48">
        <v>4239</v>
      </c>
      <c r="G62" s="160">
        <f t="shared" si="35"/>
        <v>246582.63</v>
      </c>
      <c r="H62" s="37" t="s">
        <v>91</v>
      </c>
      <c r="I62" s="165">
        <v>13</v>
      </c>
      <c r="J62" s="39">
        <v>2000</v>
      </c>
      <c r="K62" s="17">
        <f t="shared" si="1"/>
        <v>153.84615384615384</v>
      </c>
      <c r="L62" s="165">
        <v>13</v>
      </c>
      <c r="M62" s="18">
        <f t="shared" si="39"/>
        <v>1912.3308270676691</v>
      </c>
      <c r="N62" s="18">
        <f t="shared" si="3"/>
        <v>147.10237131289762</v>
      </c>
      <c r="O62" s="19">
        <f t="shared" si="4"/>
        <v>0</v>
      </c>
      <c r="P62" s="20">
        <f t="shared" si="5"/>
        <v>-6.7437825332562227</v>
      </c>
      <c r="Q62" s="161">
        <f t="shared" si="6"/>
        <v>0.95616541353383455</v>
      </c>
      <c r="R62" s="637"/>
      <c r="S62" s="40">
        <v>0.76944444444444449</v>
      </c>
      <c r="T62" s="40">
        <v>0.8618055555555556</v>
      </c>
      <c r="U62" s="160">
        <f t="shared" si="38"/>
        <v>7.9999999999999716</v>
      </c>
      <c r="V62" s="166">
        <f t="shared" si="37"/>
        <v>133</v>
      </c>
      <c r="W62" s="23"/>
      <c r="X62" s="23"/>
      <c r="Y62" s="26"/>
      <c r="Z62" s="26"/>
      <c r="AA62" s="627"/>
      <c r="AB62" s="628"/>
      <c r="AC62" s="25"/>
      <c r="AD62" s="25"/>
      <c r="AE62" s="19">
        <f t="shared" si="8"/>
        <v>-87.669172932330866</v>
      </c>
      <c r="AF62" s="161">
        <f t="shared" si="9"/>
        <v>0.95616541353383455</v>
      </c>
      <c r="AG62" s="637"/>
    </row>
    <row r="63" spans="1:33">
      <c r="A63" s="642" t="s">
        <v>618</v>
      </c>
      <c r="B63" s="42" t="s">
        <v>616</v>
      </c>
      <c r="C63" s="638"/>
      <c r="D63" s="638"/>
      <c r="E63" s="162"/>
      <c r="F63" s="44"/>
      <c r="G63" s="17"/>
      <c r="H63" s="168"/>
      <c r="I63" s="29">
        <v>18.375</v>
      </c>
      <c r="J63" s="39">
        <v>2000</v>
      </c>
      <c r="K63" s="17">
        <f t="shared" si="1"/>
        <v>108.84353741496598</v>
      </c>
      <c r="L63" s="29">
        <v>18.375</v>
      </c>
      <c r="M63" s="18">
        <f>AVERAGE(M55:M62)</f>
        <v>1923.7941839322364</v>
      </c>
      <c r="N63" s="17">
        <f t="shared" si="3"/>
        <v>104.69628211876116</v>
      </c>
      <c r="O63" s="19">
        <f t="shared" si="4"/>
        <v>0</v>
      </c>
      <c r="P63" s="20">
        <f t="shared" si="5"/>
        <v>-4.1472552962048184</v>
      </c>
      <c r="Q63" s="161">
        <f t="shared" si="6"/>
        <v>0.96189709196611828</v>
      </c>
      <c r="R63" s="637"/>
      <c r="S63" s="40"/>
      <c r="T63" s="40"/>
      <c r="U63" s="160"/>
      <c r="V63" s="166"/>
      <c r="W63" s="17"/>
      <c r="X63" s="17"/>
      <c r="Y63" s="30">
        <f>SUM(Y55:Y62)</f>
        <v>0</v>
      </c>
      <c r="Z63" s="30">
        <f>SUM(Z55:Z62)</f>
        <v>0</v>
      </c>
      <c r="AA63" s="631"/>
      <c r="AB63" s="631"/>
      <c r="AC63" s="30">
        <v>8</v>
      </c>
      <c r="AD63" s="30">
        <f>SUM(AD55:AD62)</f>
        <v>0</v>
      </c>
      <c r="AE63" s="19">
        <f>M63-J63</f>
        <v>-76.205816067763635</v>
      </c>
      <c r="AF63" s="161">
        <f t="shared" si="9"/>
        <v>0.96189709196611817</v>
      </c>
      <c r="AG63" s="637"/>
    </row>
    <row r="64" spans="1:33" ht="15.75" customHeight="1">
      <c r="A64" s="639" t="s">
        <v>619</v>
      </c>
      <c r="B64" s="168" t="s">
        <v>127</v>
      </c>
      <c r="C64" s="633" t="s">
        <v>141</v>
      </c>
      <c r="D64" s="633"/>
      <c r="E64" s="42">
        <v>35.119999999999997</v>
      </c>
      <c r="F64" s="48">
        <v>4255</v>
      </c>
      <c r="G64" s="160">
        <f t="shared" ref="G64:G67" si="40">E64*F64</f>
        <v>149435.59999999998</v>
      </c>
      <c r="H64" s="37" t="s">
        <v>91</v>
      </c>
      <c r="I64" s="165">
        <v>10</v>
      </c>
      <c r="J64" s="39">
        <v>3000</v>
      </c>
      <c r="K64" s="17">
        <f t="shared" si="1"/>
        <v>300</v>
      </c>
      <c r="L64" s="165">
        <v>10</v>
      </c>
      <c r="M64" s="18">
        <f t="shared" ref="M64:M67" si="41">F64/V64*60</f>
        <v>2868.5393258426952</v>
      </c>
      <c r="N64" s="17">
        <f t="shared" si="3"/>
        <v>286.8539325842695</v>
      </c>
      <c r="O64" s="19">
        <f t="shared" si="4"/>
        <v>0</v>
      </c>
      <c r="P64" s="20">
        <f t="shared" si="5"/>
        <v>-13.146067415730499</v>
      </c>
      <c r="Q64" s="161">
        <f t="shared" si="6"/>
        <v>0.95617977528089837</v>
      </c>
      <c r="R64" s="637">
        <f>Q68</f>
        <v>0.95668694977851643</v>
      </c>
      <c r="S64" s="40">
        <v>0.20833333333333334</v>
      </c>
      <c r="T64" s="40">
        <v>0.27013888888888893</v>
      </c>
      <c r="U64" s="160"/>
      <c r="V64" s="166">
        <f t="shared" ref="V64:V67" si="42">(T64-S64)*24*60</f>
        <v>89.000000000000043</v>
      </c>
      <c r="W64" s="23"/>
      <c r="X64" s="23"/>
      <c r="Y64" s="28"/>
      <c r="Z64" s="28"/>
      <c r="AA64" s="632"/>
      <c r="AB64" s="632"/>
      <c r="AC64" s="25">
        <v>4</v>
      </c>
      <c r="AD64" s="25"/>
      <c r="AE64" s="19">
        <f t="shared" ref="AE64:AE78" si="43">M64-J64</f>
        <v>-131.46067415730477</v>
      </c>
      <c r="AF64" s="161">
        <f t="shared" si="9"/>
        <v>0.95617977528089837</v>
      </c>
      <c r="AG64" s="637">
        <f>AF68</f>
        <v>0.95668694977851643</v>
      </c>
    </row>
    <row r="65" spans="1:33" ht="15.75" customHeight="1">
      <c r="A65" s="639" t="s">
        <v>619</v>
      </c>
      <c r="B65" s="168" t="s">
        <v>127</v>
      </c>
      <c r="C65" s="633" t="s">
        <v>142</v>
      </c>
      <c r="D65" s="633"/>
      <c r="E65" s="42">
        <v>26.78</v>
      </c>
      <c r="F65" s="48">
        <v>2531</v>
      </c>
      <c r="G65" s="160">
        <f t="shared" si="40"/>
        <v>67780.180000000008</v>
      </c>
      <c r="H65" s="37" t="s">
        <v>91</v>
      </c>
      <c r="I65" s="165">
        <v>10</v>
      </c>
      <c r="J65" s="39">
        <v>3000</v>
      </c>
      <c r="K65" s="17">
        <f t="shared" si="1"/>
        <v>300</v>
      </c>
      <c r="L65" s="165">
        <v>10</v>
      </c>
      <c r="M65" s="18">
        <f t="shared" si="41"/>
        <v>2865.2830188679259</v>
      </c>
      <c r="N65" s="17">
        <f t="shared" si="3"/>
        <v>286.52830188679258</v>
      </c>
      <c r="O65" s="19">
        <f t="shared" si="4"/>
        <v>0</v>
      </c>
      <c r="P65" s="20">
        <f t="shared" si="5"/>
        <v>-13.471698113207424</v>
      </c>
      <c r="Q65" s="161">
        <f t="shared" si="6"/>
        <v>0.9550943396226419</v>
      </c>
      <c r="R65" s="637"/>
      <c r="S65" s="40">
        <v>0.27430555555555558</v>
      </c>
      <c r="T65" s="40">
        <v>0.31111111111111112</v>
      </c>
      <c r="U65" s="160">
        <f t="shared" ref="U65:U67" si="44">(S65-T64)*24*60</f>
        <v>5.9999999999999787</v>
      </c>
      <c r="V65" s="166">
        <f t="shared" si="42"/>
        <v>52.999999999999972</v>
      </c>
      <c r="W65" s="160"/>
      <c r="X65" s="160"/>
      <c r="Y65" s="160"/>
      <c r="Z65" s="160"/>
      <c r="AA65" s="632"/>
      <c r="AB65" s="632"/>
      <c r="AC65" s="25"/>
      <c r="AD65" s="25"/>
      <c r="AE65" s="19">
        <f t="shared" si="43"/>
        <v>-134.71698113207412</v>
      </c>
      <c r="AF65" s="161">
        <f t="shared" si="9"/>
        <v>0.95509433962264201</v>
      </c>
      <c r="AG65" s="637"/>
    </row>
    <row r="66" spans="1:33" ht="15.75" customHeight="1">
      <c r="A66" s="639" t="s">
        <v>619</v>
      </c>
      <c r="B66" s="168" t="s">
        <v>127</v>
      </c>
      <c r="C66" s="633" t="s">
        <v>143</v>
      </c>
      <c r="D66" s="633"/>
      <c r="E66" s="42">
        <v>36.14</v>
      </c>
      <c r="F66" s="48">
        <v>1673</v>
      </c>
      <c r="G66" s="160">
        <f t="shared" si="40"/>
        <v>60462.22</v>
      </c>
      <c r="H66" s="37" t="s">
        <v>91</v>
      </c>
      <c r="I66" s="165">
        <v>11</v>
      </c>
      <c r="J66" s="39">
        <v>3000</v>
      </c>
      <c r="K66" s="17">
        <f t="shared" si="1"/>
        <v>272.72727272727275</v>
      </c>
      <c r="L66" s="165">
        <v>11</v>
      </c>
      <c r="M66" s="18">
        <f t="shared" si="41"/>
        <v>2867.9999999999973</v>
      </c>
      <c r="N66" s="17">
        <f t="shared" si="3"/>
        <v>260.72727272727246</v>
      </c>
      <c r="O66" s="19">
        <f t="shared" si="4"/>
        <v>0</v>
      </c>
      <c r="P66" s="20">
        <f t="shared" si="5"/>
        <v>-12.000000000000284</v>
      </c>
      <c r="Q66" s="161">
        <f t="shared" si="6"/>
        <v>0.95599999999999896</v>
      </c>
      <c r="R66" s="637"/>
      <c r="S66" s="40">
        <v>0.31666666666666665</v>
      </c>
      <c r="T66" s="40">
        <v>0.34097222222222223</v>
      </c>
      <c r="U66" s="160">
        <f t="shared" si="44"/>
        <v>7.9999999999999716</v>
      </c>
      <c r="V66" s="166">
        <f t="shared" si="42"/>
        <v>35.000000000000036</v>
      </c>
      <c r="W66" s="160"/>
      <c r="X66" s="160"/>
      <c r="Y66" s="160"/>
      <c r="Z66" s="160"/>
      <c r="AA66" s="632"/>
      <c r="AB66" s="632"/>
      <c r="AC66" s="25"/>
      <c r="AD66" s="25"/>
      <c r="AE66" s="19">
        <f t="shared" si="43"/>
        <v>-132.00000000000273</v>
      </c>
      <c r="AF66" s="161">
        <f t="shared" si="9"/>
        <v>0.95599999999999907</v>
      </c>
      <c r="AG66" s="637"/>
    </row>
    <row r="67" spans="1:33" ht="15.75" customHeight="1">
      <c r="A67" s="639" t="s">
        <v>619</v>
      </c>
      <c r="B67" s="168" t="s">
        <v>127</v>
      </c>
      <c r="C67" s="633" t="s">
        <v>144</v>
      </c>
      <c r="D67" s="633"/>
      <c r="E67" s="42">
        <v>35.869999999999997</v>
      </c>
      <c r="F67" s="48">
        <v>3646</v>
      </c>
      <c r="G67" s="160">
        <f t="shared" si="40"/>
        <v>130782.01999999999</v>
      </c>
      <c r="H67" s="37" t="s">
        <v>91</v>
      </c>
      <c r="I67" s="165">
        <v>10</v>
      </c>
      <c r="J67" s="39">
        <v>3000</v>
      </c>
      <c r="K67" s="17">
        <f t="shared" si="1"/>
        <v>300</v>
      </c>
      <c r="L67" s="165">
        <v>10</v>
      </c>
      <c r="M67" s="18">
        <f t="shared" si="41"/>
        <v>2878.4210526315801</v>
      </c>
      <c r="N67" s="17">
        <f t="shared" si="3"/>
        <v>287.84210526315803</v>
      </c>
      <c r="O67" s="19">
        <f t="shared" si="4"/>
        <v>0</v>
      </c>
      <c r="P67" s="20">
        <f t="shared" si="5"/>
        <v>-12.157894736841968</v>
      </c>
      <c r="Q67" s="161">
        <f t="shared" si="6"/>
        <v>0.95947368421052681</v>
      </c>
      <c r="R67" s="637"/>
      <c r="S67" s="40">
        <v>0.34444444444444444</v>
      </c>
      <c r="T67" s="40">
        <v>0.3972222222222222</v>
      </c>
      <c r="U67" s="160">
        <f t="shared" si="44"/>
        <v>4.9999999999999822</v>
      </c>
      <c r="V67" s="166">
        <f t="shared" si="42"/>
        <v>75.999999999999972</v>
      </c>
      <c r="W67" s="160"/>
      <c r="X67" s="160"/>
      <c r="Y67" s="160"/>
      <c r="Z67" s="160"/>
      <c r="AA67" s="632"/>
      <c r="AB67" s="632"/>
      <c r="AC67" s="25"/>
      <c r="AD67" s="25"/>
      <c r="AE67" s="19">
        <f t="shared" si="43"/>
        <v>-121.5789473684199</v>
      </c>
      <c r="AF67" s="161">
        <f t="shared" si="9"/>
        <v>0.9594736842105267</v>
      </c>
      <c r="AG67" s="637"/>
    </row>
    <row r="68" spans="1:33">
      <c r="A68" s="640" t="s">
        <v>619</v>
      </c>
      <c r="B68" s="42" t="s">
        <v>616</v>
      </c>
      <c r="C68" s="638"/>
      <c r="D68" s="638"/>
      <c r="E68" s="162"/>
      <c r="F68" s="44"/>
      <c r="G68" s="17"/>
      <c r="H68" s="168"/>
      <c r="I68" s="29">
        <v>10.25</v>
      </c>
      <c r="J68" s="39">
        <v>3000</v>
      </c>
      <c r="K68" s="17">
        <f t="shared" si="1"/>
        <v>292.6829268292683</v>
      </c>
      <c r="L68" s="29">
        <v>10.25</v>
      </c>
      <c r="M68" s="18">
        <f>AVERAGE(M64:M67)</f>
        <v>2870.0608493355494</v>
      </c>
      <c r="N68" s="17">
        <f t="shared" si="3"/>
        <v>280.00593652054141</v>
      </c>
      <c r="O68" s="19">
        <f t="shared" si="4"/>
        <v>0</v>
      </c>
      <c r="P68" s="20">
        <f t="shared" si="5"/>
        <v>-12.676990308726886</v>
      </c>
      <c r="Q68" s="161">
        <f t="shared" si="6"/>
        <v>0.95668694977851643</v>
      </c>
      <c r="R68" s="637"/>
      <c r="S68" s="40"/>
      <c r="T68" s="40"/>
      <c r="U68" s="17"/>
      <c r="V68" s="166"/>
      <c r="W68" s="17"/>
      <c r="X68" s="17"/>
      <c r="Y68" s="30">
        <f>SUM(Y64:Y67)</f>
        <v>0</v>
      </c>
      <c r="Z68" s="30">
        <f>SUM(Z64:Z67)</f>
        <v>0</v>
      </c>
      <c r="AA68" s="631"/>
      <c r="AB68" s="631"/>
      <c r="AC68" s="30">
        <v>4</v>
      </c>
      <c r="AD68" s="30">
        <f>SUM(AD64:AD67)</f>
        <v>0</v>
      </c>
      <c r="AE68" s="19">
        <f t="shared" si="43"/>
        <v>-129.93915066445061</v>
      </c>
      <c r="AF68" s="161">
        <f t="shared" si="9"/>
        <v>0.95668694977851643</v>
      </c>
      <c r="AG68" s="637"/>
    </row>
    <row r="69" spans="1:33" ht="15.75" customHeight="1">
      <c r="A69" s="634" t="s">
        <v>620</v>
      </c>
      <c r="B69" s="168" t="s">
        <v>116</v>
      </c>
      <c r="C69" s="633" t="s">
        <v>145</v>
      </c>
      <c r="D69" s="633"/>
      <c r="E69" s="42">
        <v>19.02</v>
      </c>
      <c r="F69" s="168">
        <v>5700</v>
      </c>
      <c r="G69" s="160">
        <f t="shared" ref="G69:G77" si="45">E69*F69</f>
        <v>108414</v>
      </c>
      <c r="H69" s="37">
        <v>2</v>
      </c>
      <c r="I69" s="165">
        <v>14</v>
      </c>
      <c r="J69" s="39">
        <v>2400</v>
      </c>
      <c r="K69" s="17">
        <f t="shared" ref="K69:K78" si="46">J69/I69</f>
        <v>171.42857142857142</v>
      </c>
      <c r="L69" s="165">
        <v>14</v>
      </c>
      <c r="M69" s="18">
        <f t="shared" ref="M69:M77" si="47">F69/V69*60</f>
        <v>2295.3020134228186</v>
      </c>
      <c r="N69" s="17">
        <f t="shared" ref="N69:N78" si="48">M69/L69</f>
        <v>163.95014381591562</v>
      </c>
      <c r="O69" s="19">
        <f t="shared" ref="O69:O78" si="49">L69-I69</f>
        <v>0</v>
      </c>
      <c r="P69" s="20">
        <f t="shared" ref="P69:P78" si="50">N69-K69</f>
        <v>-7.4784276126557927</v>
      </c>
      <c r="Q69" s="161">
        <f t="shared" ref="Q69:Q78" si="51">N69/K69</f>
        <v>0.9563758389261745</v>
      </c>
      <c r="R69" s="637">
        <f>Q78</f>
        <v>0.95656607456319742</v>
      </c>
      <c r="S69" s="40">
        <v>8.3333333333333329E-2</v>
      </c>
      <c r="T69" s="40">
        <v>0.18680555555555556</v>
      </c>
      <c r="U69" s="28"/>
      <c r="V69" s="166">
        <f t="shared" ref="V69:V77" si="52">(T69-S69)*24*60</f>
        <v>149</v>
      </c>
      <c r="W69" s="23">
        <f>T69</f>
        <v>0.18680555555555556</v>
      </c>
      <c r="X69" s="23">
        <f>S70</f>
        <v>0.2076388888888889</v>
      </c>
      <c r="Y69" s="23"/>
      <c r="Z69" s="23"/>
      <c r="AA69" s="632"/>
      <c r="AB69" s="632"/>
      <c r="AC69" s="25">
        <v>9</v>
      </c>
      <c r="AD69" s="25"/>
      <c r="AE69" s="19">
        <f t="shared" si="43"/>
        <v>-104.69798657718138</v>
      </c>
      <c r="AF69" s="161">
        <f t="shared" ref="AF69:AF78" si="53">M69/J69</f>
        <v>0.95637583892617439</v>
      </c>
      <c r="AG69" s="637">
        <f>AF78</f>
        <v>0.95656607456319742</v>
      </c>
    </row>
    <row r="70" spans="1:33" ht="15.75" customHeight="1">
      <c r="A70" s="635" t="s">
        <v>620</v>
      </c>
      <c r="B70" s="168" t="s">
        <v>116</v>
      </c>
      <c r="C70" s="633" t="s">
        <v>146</v>
      </c>
      <c r="D70" s="633"/>
      <c r="E70" s="42">
        <v>20.36</v>
      </c>
      <c r="F70" s="168">
        <v>2400</v>
      </c>
      <c r="G70" s="160">
        <f t="shared" si="45"/>
        <v>48864</v>
      </c>
      <c r="H70" s="37">
        <v>2</v>
      </c>
      <c r="I70" s="165">
        <v>17</v>
      </c>
      <c r="J70" s="39">
        <v>2400</v>
      </c>
      <c r="K70" s="17">
        <f t="shared" si="46"/>
        <v>141.1764705882353</v>
      </c>
      <c r="L70" s="165">
        <v>17</v>
      </c>
      <c r="M70" s="18">
        <f t="shared" si="47"/>
        <v>2285.7142857142867</v>
      </c>
      <c r="N70" s="17">
        <f t="shared" si="48"/>
        <v>134.4537815126051</v>
      </c>
      <c r="O70" s="19">
        <f t="shared" si="49"/>
        <v>0</v>
      </c>
      <c r="P70" s="20">
        <f t="shared" si="50"/>
        <v>-6.7226890756301998</v>
      </c>
      <c r="Q70" s="161">
        <f t="shared" si="51"/>
        <v>0.95238095238095277</v>
      </c>
      <c r="R70" s="637"/>
      <c r="S70" s="40">
        <v>0.2076388888888889</v>
      </c>
      <c r="T70" s="40">
        <v>0.25138888888888888</v>
      </c>
      <c r="U70" s="160">
        <f t="shared" ref="U70:U77" si="54">(S70-T69)*24*60</f>
        <v>30.000000000000014</v>
      </c>
      <c r="V70" s="166">
        <f t="shared" si="52"/>
        <v>62.999999999999979</v>
      </c>
      <c r="W70" s="23"/>
      <c r="X70" s="23"/>
      <c r="Y70" s="23"/>
      <c r="Z70" s="23"/>
      <c r="AA70" s="632"/>
      <c r="AB70" s="632"/>
      <c r="AC70" s="25"/>
      <c r="AD70" s="25"/>
      <c r="AE70" s="19">
        <f t="shared" si="43"/>
        <v>-114.28571428571331</v>
      </c>
      <c r="AF70" s="161">
        <f t="shared" si="53"/>
        <v>0.95238095238095277</v>
      </c>
      <c r="AG70" s="637"/>
    </row>
    <row r="71" spans="1:33" ht="15.75" customHeight="1">
      <c r="A71" s="635" t="s">
        <v>620</v>
      </c>
      <c r="B71" s="168" t="s">
        <v>116</v>
      </c>
      <c r="C71" s="633" t="s">
        <v>120</v>
      </c>
      <c r="D71" s="633"/>
      <c r="E71" s="42">
        <v>25.99</v>
      </c>
      <c r="F71" s="168">
        <v>1221</v>
      </c>
      <c r="G71" s="160">
        <f t="shared" si="45"/>
        <v>31733.789999999997</v>
      </c>
      <c r="H71" s="37" t="s">
        <v>91</v>
      </c>
      <c r="I71" s="165">
        <v>18</v>
      </c>
      <c r="J71" s="39">
        <v>2400</v>
      </c>
      <c r="K71" s="17">
        <f t="shared" si="46"/>
        <v>133.33333333333334</v>
      </c>
      <c r="L71" s="165">
        <v>18</v>
      </c>
      <c r="M71" s="18">
        <f t="shared" si="47"/>
        <v>2289.3750000000027</v>
      </c>
      <c r="N71" s="17">
        <f t="shared" si="48"/>
        <v>127.18750000000016</v>
      </c>
      <c r="O71" s="19">
        <f t="shared" si="49"/>
        <v>0</v>
      </c>
      <c r="P71" s="20">
        <f t="shared" si="50"/>
        <v>-6.1458333333331865</v>
      </c>
      <c r="Q71" s="161">
        <f t="shared" si="51"/>
        <v>0.95390625000000107</v>
      </c>
      <c r="R71" s="637"/>
      <c r="S71" s="40">
        <v>0.25486111111111109</v>
      </c>
      <c r="T71" s="40">
        <v>0.27708333333333329</v>
      </c>
      <c r="U71" s="160">
        <f t="shared" si="54"/>
        <v>4.9999999999999822</v>
      </c>
      <c r="V71" s="166">
        <f t="shared" si="52"/>
        <v>31.999999999999964</v>
      </c>
      <c r="W71" s="23"/>
      <c r="X71" s="23"/>
      <c r="Y71" s="23"/>
      <c r="Z71" s="23"/>
      <c r="AA71" s="632"/>
      <c r="AB71" s="632"/>
      <c r="AC71" s="25"/>
      <c r="AD71" s="25"/>
      <c r="AE71" s="19">
        <f t="shared" si="43"/>
        <v>-110.62499999999727</v>
      </c>
      <c r="AF71" s="161">
        <f t="shared" si="53"/>
        <v>0.95390625000000118</v>
      </c>
      <c r="AG71" s="637"/>
    </row>
    <row r="72" spans="1:33" ht="15.75" customHeight="1">
      <c r="A72" s="635" t="s">
        <v>620</v>
      </c>
      <c r="B72" s="168" t="s">
        <v>116</v>
      </c>
      <c r="C72" s="633" t="s">
        <v>148</v>
      </c>
      <c r="D72" s="633"/>
      <c r="E72" s="42">
        <v>28.29</v>
      </c>
      <c r="F72" s="168">
        <v>4253</v>
      </c>
      <c r="G72" s="160">
        <f t="shared" si="45"/>
        <v>120317.37</v>
      </c>
      <c r="H72" s="37" t="s">
        <v>91</v>
      </c>
      <c r="I72" s="165">
        <v>21</v>
      </c>
      <c r="J72" s="39">
        <v>2400</v>
      </c>
      <c r="K72" s="17">
        <f t="shared" si="46"/>
        <v>114.28571428571429</v>
      </c>
      <c r="L72" s="165">
        <v>21</v>
      </c>
      <c r="M72" s="18">
        <f t="shared" si="47"/>
        <v>2298.9189189189192</v>
      </c>
      <c r="N72" s="17">
        <f t="shared" si="48"/>
        <v>109.47232947232949</v>
      </c>
      <c r="O72" s="19">
        <f t="shared" si="49"/>
        <v>0</v>
      </c>
      <c r="P72" s="20">
        <f t="shared" si="50"/>
        <v>-4.8133848133848005</v>
      </c>
      <c r="Q72" s="161">
        <f t="shared" si="51"/>
        <v>0.95788288288288304</v>
      </c>
      <c r="R72" s="637"/>
      <c r="S72" s="40">
        <v>0.28263888888888883</v>
      </c>
      <c r="T72" s="40">
        <v>0.35972222222222217</v>
      </c>
      <c r="U72" s="160">
        <f t="shared" si="54"/>
        <v>7.9999999999999716</v>
      </c>
      <c r="V72" s="166">
        <f t="shared" si="52"/>
        <v>111</v>
      </c>
      <c r="W72" s="23"/>
      <c r="X72" s="23"/>
      <c r="Y72" s="23"/>
      <c r="Z72" s="23"/>
      <c r="AA72" s="632"/>
      <c r="AB72" s="632"/>
      <c r="AC72" s="25"/>
      <c r="AD72" s="25"/>
      <c r="AE72" s="19">
        <f t="shared" si="43"/>
        <v>-101.08108108108081</v>
      </c>
      <c r="AF72" s="161">
        <f t="shared" si="53"/>
        <v>0.95788288288288304</v>
      </c>
      <c r="AG72" s="637"/>
    </row>
    <row r="73" spans="1:33" ht="15.75" customHeight="1">
      <c r="A73" s="635" t="s">
        <v>620</v>
      </c>
      <c r="B73" s="168" t="s">
        <v>116</v>
      </c>
      <c r="C73" s="633" t="s">
        <v>149</v>
      </c>
      <c r="D73" s="633"/>
      <c r="E73" s="42">
        <v>24.25</v>
      </c>
      <c r="F73" s="168">
        <v>4319</v>
      </c>
      <c r="G73" s="160">
        <f t="shared" si="45"/>
        <v>104735.75</v>
      </c>
      <c r="H73" s="37" t="s">
        <v>91</v>
      </c>
      <c r="I73" s="165">
        <v>17</v>
      </c>
      <c r="J73" s="39">
        <v>2400</v>
      </c>
      <c r="K73" s="17">
        <f t="shared" si="46"/>
        <v>141.1764705882353</v>
      </c>
      <c r="L73" s="165">
        <v>17</v>
      </c>
      <c r="M73" s="18">
        <f t="shared" si="47"/>
        <v>2293.2743362831857</v>
      </c>
      <c r="N73" s="17">
        <f t="shared" si="48"/>
        <v>134.89849036959916</v>
      </c>
      <c r="O73" s="19">
        <f t="shared" si="49"/>
        <v>0</v>
      </c>
      <c r="P73" s="20">
        <f t="shared" si="50"/>
        <v>-6.2779802186361451</v>
      </c>
      <c r="Q73" s="161">
        <f t="shared" si="51"/>
        <v>0.95553097345132731</v>
      </c>
      <c r="R73" s="637"/>
      <c r="S73" s="40">
        <v>0.36458333333333326</v>
      </c>
      <c r="T73" s="40">
        <v>0.44305555555555548</v>
      </c>
      <c r="U73" s="160">
        <f t="shared" si="54"/>
        <v>6.9999999999999751</v>
      </c>
      <c r="V73" s="166">
        <f t="shared" si="52"/>
        <v>113</v>
      </c>
      <c r="W73" s="23"/>
      <c r="X73" s="23"/>
      <c r="Y73" s="23"/>
      <c r="Z73" s="23"/>
      <c r="AA73" s="632"/>
      <c r="AB73" s="632"/>
      <c r="AC73" s="25"/>
      <c r="AD73" s="25"/>
      <c r="AE73" s="19">
        <f t="shared" si="43"/>
        <v>-106.72566371681432</v>
      </c>
      <c r="AF73" s="161">
        <f t="shared" si="53"/>
        <v>0.95553097345132731</v>
      </c>
      <c r="AG73" s="637"/>
    </row>
    <row r="74" spans="1:33" ht="15.75" customHeight="1">
      <c r="A74" s="635" t="s">
        <v>620</v>
      </c>
      <c r="B74" s="168" t="s">
        <v>116</v>
      </c>
      <c r="C74" s="633" t="s">
        <v>150</v>
      </c>
      <c r="D74" s="633"/>
      <c r="E74" s="42">
        <v>23.89</v>
      </c>
      <c r="F74" s="168">
        <v>2700</v>
      </c>
      <c r="G74" s="160">
        <f t="shared" si="45"/>
        <v>64503</v>
      </c>
      <c r="H74" s="37">
        <v>2</v>
      </c>
      <c r="I74" s="165">
        <v>13</v>
      </c>
      <c r="J74" s="39">
        <v>2400</v>
      </c>
      <c r="K74" s="17">
        <f t="shared" si="46"/>
        <v>184.61538461538461</v>
      </c>
      <c r="L74" s="165">
        <v>13</v>
      </c>
      <c r="M74" s="18">
        <f t="shared" si="47"/>
        <v>2314.2857142857147</v>
      </c>
      <c r="N74" s="17">
        <f t="shared" si="48"/>
        <v>178.02197802197804</v>
      </c>
      <c r="O74" s="19">
        <f t="shared" si="49"/>
        <v>0</v>
      </c>
      <c r="P74" s="20">
        <f t="shared" si="50"/>
        <v>-6.59340659340657</v>
      </c>
      <c r="Q74" s="161">
        <f t="shared" si="51"/>
        <v>0.96428571428571441</v>
      </c>
      <c r="R74" s="637"/>
      <c r="S74" s="40">
        <v>0.44861111111111102</v>
      </c>
      <c r="T74" s="40">
        <v>0.49722222222222212</v>
      </c>
      <c r="U74" s="160">
        <f t="shared" si="54"/>
        <v>7.9999999999999716</v>
      </c>
      <c r="V74" s="166">
        <f t="shared" si="52"/>
        <v>69.999999999999986</v>
      </c>
      <c r="W74" s="23">
        <f>T74</f>
        <v>0.49722222222222212</v>
      </c>
      <c r="X74" s="23">
        <f>S75</f>
        <v>0.53819444444444431</v>
      </c>
      <c r="Y74" s="23"/>
      <c r="Z74" s="23"/>
      <c r="AA74" s="632"/>
      <c r="AB74" s="632"/>
      <c r="AC74" s="25"/>
      <c r="AD74" s="25"/>
      <c r="AE74" s="19">
        <f t="shared" si="43"/>
        <v>-85.714285714285325</v>
      </c>
      <c r="AF74" s="161">
        <f t="shared" si="53"/>
        <v>0.96428571428571441</v>
      </c>
      <c r="AG74" s="637"/>
    </row>
    <row r="75" spans="1:33" ht="15.75" customHeight="1">
      <c r="A75" s="635" t="s">
        <v>620</v>
      </c>
      <c r="B75" s="168" t="s">
        <v>116</v>
      </c>
      <c r="C75" s="625" t="s">
        <v>145</v>
      </c>
      <c r="D75" s="626"/>
      <c r="E75" s="42">
        <v>19.02</v>
      </c>
      <c r="F75" s="168">
        <v>4498</v>
      </c>
      <c r="G75" s="160">
        <f t="shared" si="45"/>
        <v>85551.959999999992</v>
      </c>
      <c r="H75" s="37" t="s">
        <v>91</v>
      </c>
      <c r="I75" s="165">
        <v>14</v>
      </c>
      <c r="J75" s="39">
        <v>2400</v>
      </c>
      <c r="K75" s="17">
        <f t="shared" si="46"/>
        <v>171.42857142857142</v>
      </c>
      <c r="L75" s="165">
        <v>14</v>
      </c>
      <c r="M75" s="18">
        <f t="shared" si="47"/>
        <v>2287.1186440677957</v>
      </c>
      <c r="N75" s="17">
        <f t="shared" si="48"/>
        <v>163.36561743341397</v>
      </c>
      <c r="O75" s="19">
        <f t="shared" si="49"/>
        <v>0</v>
      </c>
      <c r="P75" s="20">
        <f t="shared" si="50"/>
        <v>-8.0629539951574429</v>
      </c>
      <c r="Q75" s="161">
        <f t="shared" si="51"/>
        <v>0.95296610169491491</v>
      </c>
      <c r="R75" s="637"/>
      <c r="S75" s="40">
        <v>0.53819444444444431</v>
      </c>
      <c r="T75" s="40">
        <v>0.6201388888888888</v>
      </c>
      <c r="U75" s="160">
        <f t="shared" si="54"/>
        <v>58.99999999999995</v>
      </c>
      <c r="V75" s="166">
        <f t="shared" si="52"/>
        <v>118.00000000000006</v>
      </c>
      <c r="W75" s="23"/>
      <c r="X75" s="23"/>
      <c r="Y75" s="26"/>
      <c r="Z75" s="26"/>
      <c r="AA75" s="627"/>
      <c r="AB75" s="628"/>
      <c r="AC75" s="25"/>
      <c r="AD75" s="25"/>
      <c r="AE75" s="19">
        <f t="shared" si="43"/>
        <v>-112.88135593220431</v>
      </c>
      <c r="AF75" s="161">
        <f t="shared" si="53"/>
        <v>0.95296610169491491</v>
      </c>
      <c r="AG75" s="637"/>
    </row>
    <row r="76" spans="1:33" ht="15.75" customHeight="1">
      <c r="A76" s="635" t="s">
        <v>620</v>
      </c>
      <c r="B76" s="168" t="s">
        <v>116</v>
      </c>
      <c r="C76" s="625" t="s">
        <v>146</v>
      </c>
      <c r="D76" s="626"/>
      <c r="E76" s="42">
        <v>20.36</v>
      </c>
      <c r="F76" s="168">
        <v>1906</v>
      </c>
      <c r="G76" s="160">
        <f t="shared" si="45"/>
        <v>38806.159999999996</v>
      </c>
      <c r="H76" s="37" t="s">
        <v>91</v>
      </c>
      <c r="I76" s="165">
        <v>17</v>
      </c>
      <c r="J76" s="39">
        <v>2400</v>
      </c>
      <c r="K76" s="17">
        <f t="shared" si="46"/>
        <v>141.1764705882353</v>
      </c>
      <c r="L76" s="165">
        <v>17</v>
      </c>
      <c r="M76" s="18">
        <f t="shared" si="47"/>
        <v>2287.2000000000007</v>
      </c>
      <c r="N76" s="17">
        <f t="shared" si="48"/>
        <v>134.54117647058828</v>
      </c>
      <c r="O76" s="19">
        <f t="shared" si="49"/>
        <v>0</v>
      </c>
      <c r="P76" s="20">
        <f t="shared" si="50"/>
        <v>-6.635294117647021</v>
      </c>
      <c r="Q76" s="161">
        <f t="shared" si="51"/>
        <v>0.95300000000000029</v>
      </c>
      <c r="R76" s="637"/>
      <c r="S76" s="40">
        <v>0.62430555555555545</v>
      </c>
      <c r="T76" s="40">
        <v>0.65902777777777766</v>
      </c>
      <c r="U76" s="160">
        <f t="shared" si="54"/>
        <v>5.9999999999999787</v>
      </c>
      <c r="V76" s="166">
        <f t="shared" si="52"/>
        <v>49.999999999999986</v>
      </c>
      <c r="W76" s="23"/>
      <c r="X76" s="23"/>
      <c r="Y76" s="26"/>
      <c r="Z76" s="26"/>
      <c r="AA76" s="627"/>
      <c r="AB76" s="628"/>
      <c r="AC76" s="25"/>
      <c r="AD76" s="25"/>
      <c r="AE76" s="19">
        <f t="shared" si="43"/>
        <v>-112.79999999999927</v>
      </c>
      <c r="AF76" s="161">
        <f t="shared" si="53"/>
        <v>0.95300000000000029</v>
      </c>
      <c r="AG76" s="637"/>
    </row>
    <row r="77" spans="1:33" ht="15.75" customHeight="1">
      <c r="A77" s="635" t="s">
        <v>620</v>
      </c>
      <c r="B77" s="168" t="s">
        <v>116</v>
      </c>
      <c r="C77" s="625" t="s">
        <v>150</v>
      </c>
      <c r="D77" s="626"/>
      <c r="E77" s="42">
        <v>23.89</v>
      </c>
      <c r="F77" s="168">
        <v>1810</v>
      </c>
      <c r="G77" s="160">
        <f t="shared" si="45"/>
        <v>43240.9</v>
      </c>
      <c r="H77" s="37" t="s">
        <v>91</v>
      </c>
      <c r="I77" s="165">
        <v>13</v>
      </c>
      <c r="J77" s="39">
        <v>2400</v>
      </c>
      <c r="K77" s="17">
        <f t="shared" si="46"/>
        <v>184.61538461538461</v>
      </c>
      <c r="L77" s="165">
        <v>13</v>
      </c>
      <c r="M77" s="18">
        <f t="shared" si="47"/>
        <v>2310.6382978723409</v>
      </c>
      <c r="N77" s="17">
        <f t="shared" si="48"/>
        <v>177.74140752864162</v>
      </c>
      <c r="O77" s="19">
        <f t="shared" si="49"/>
        <v>0</v>
      </c>
      <c r="P77" s="20">
        <f t="shared" si="50"/>
        <v>-6.8739770867429968</v>
      </c>
      <c r="Q77" s="161">
        <f t="shared" si="51"/>
        <v>0.96276595744680882</v>
      </c>
      <c r="R77" s="637"/>
      <c r="S77" s="40">
        <v>0.66458333333333319</v>
      </c>
      <c r="T77" s="40">
        <v>0.69722222222222208</v>
      </c>
      <c r="U77" s="160">
        <f t="shared" si="54"/>
        <v>7.9999999999999716</v>
      </c>
      <c r="V77" s="166">
        <f t="shared" si="52"/>
        <v>46.999999999999993</v>
      </c>
      <c r="W77" s="23"/>
      <c r="X77" s="23"/>
      <c r="Y77" s="26"/>
      <c r="Z77" s="26"/>
      <c r="AA77" s="627"/>
      <c r="AB77" s="628"/>
      <c r="AC77" s="25"/>
      <c r="AD77" s="25"/>
      <c r="AE77" s="19">
        <f t="shared" si="43"/>
        <v>-89.3617021276591</v>
      </c>
      <c r="AF77" s="161">
        <f t="shared" si="53"/>
        <v>0.96276595744680871</v>
      </c>
      <c r="AG77" s="637"/>
    </row>
    <row r="78" spans="1:33" ht="16.5" customHeight="1">
      <c r="A78" s="636" t="s">
        <v>620</v>
      </c>
      <c r="B78" s="42" t="s">
        <v>616</v>
      </c>
      <c r="C78" s="629"/>
      <c r="D78" s="630"/>
      <c r="E78" s="162"/>
      <c r="F78" s="44"/>
      <c r="G78" s="17"/>
      <c r="H78" s="168"/>
      <c r="I78" s="29">
        <v>16</v>
      </c>
      <c r="J78" s="39">
        <v>2400</v>
      </c>
      <c r="K78" s="17">
        <f t="shared" si="46"/>
        <v>150</v>
      </c>
      <c r="L78" s="29">
        <v>16</v>
      </c>
      <c r="M78" s="18">
        <f>AVERAGE(M69:M77)</f>
        <v>2295.7585789516738</v>
      </c>
      <c r="N78" s="17">
        <f t="shared" si="48"/>
        <v>143.48491118447961</v>
      </c>
      <c r="O78" s="19">
        <f t="shared" si="49"/>
        <v>0</v>
      </c>
      <c r="P78" s="20">
        <f t="shared" si="50"/>
        <v>-6.5150888155203859</v>
      </c>
      <c r="Q78" s="161">
        <f t="shared" si="51"/>
        <v>0.95656607456319742</v>
      </c>
      <c r="R78" s="637"/>
      <c r="S78" s="40"/>
      <c r="T78" s="40"/>
      <c r="U78" s="17"/>
      <c r="V78" s="166"/>
      <c r="W78" s="17"/>
      <c r="X78" s="17"/>
      <c r="Y78" s="30">
        <f>SUM(Y69:Y77)</f>
        <v>0</v>
      </c>
      <c r="Z78" s="30">
        <f>SUM(Z69:Z77)</f>
        <v>0</v>
      </c>
      <c r="AA78" s="631"/>
      <c r="AB78" s="631"/>
      <c r="AC78" s="30">
        <v>9</v>
      </c>
      <c r="AD78" s="30">
        <f>SUM(AD69:AD77)</f>
        <v>0</v>
      </c>
      <c r="AE78" s="19">
        <f t="shared" si="43"/>
        <v>-104.24142104832617</v>
      </c>
      <c r="AF78" s="161">
        <f t="shared" si="53"/>
        <v>0.95656607456319742</v>
      </c>
      <c r="AG78" s="637"/>
    </row>
    <row r="79" spans="1:33">
      <c r="D79" s="33"/>
      <c r="E79" s="33"/>
    </row>
  </sheetData>
  <mergeCells count="201">
    <mergeCell ref="A69:A78"/>
    <mergeCell ref="C69:D69"/>
    <mergeCell ref="R69:R78"/>
    <mergeCell ref="AA69:AB69"/>
    <mergeCell ref="AG69:AG78"/>
    <mergeCell ref="C70:D70"/>
    <mergeCell ref="AA70:AB70"/>
    <mergeCell ref="C71:D71"/>
    <mergeCell ref="AA71:AB71"/>
    <mergeCell ref="C72:D72"/>
    <mergeCell ref="C76:D76"/>
    <mergeCell ref="AA76:AB76"/>
    <mergeCell ref="C77:D77"/>
    <mergeCell ref="AA77:AB77"/>
    <mergeCell ref="C78:D78"/>
    <mergeCell ref="AA78:AB78"/>
    <mergeCell ref="AA72:AB72"/>
    <mergeCell ref="C73:D73"/>
    <mergeCell ref="AA73:AB73"/>
    <mergeCell ref="C74:D74"/>
    <mergeCell ref="AA74:AB74"/>
    <mergeCell ref="C75:D75"/>
    <mergeCell ref="AA75:AB75"/>
    <mergeCell ref="AG64:AG68"/>
    <mergeCell ref="C65:D65"/>
    <mergeCell ref="AA65:AB65"/>
    <mergeCell ref="C66:D66"/>
    <mergeCell ref="AA66:AB66"/>
    <mergeCell ref="C67:D67"/>
    <mergeCell ref="AA67:AB67"/>
    <mergeCell ref="C68:D68"/>
    <mergeCell ref="AA68:AB68"/>
    <mergeCell ref="A64:A68"/>
    <mergeCell ref="C64:D64"/>
    <mergeCell ref="R64:R68"/>
    <mergeCell ref="AA64:AB64"/>
    <mergeCell ref="AA59:AB59"/>
    <mergeCell ref="C60:D60"/>
    <mergeCell ref="AA60:AB60"/>
    <mergeCell ref="C61:D61"/>
    <mergeCell ref="AA61:AB61"/>
    <mergeCell ref="C62:D62"/>
    <mergeCell ref="AA62:AB62"/>
    <mergeCell ref="A55:A63"/>
    <mergeCell ref="C55:D55"/>
    <mergeCell ref="R55:R63"/>
    <mergeCell ref="AA55:AB55"/>
    <mergeCell ref="AG55:AG63"/>
    <mergeCell ref="C56:D56"/>
    <mergeCell ref="AA56:AB56"/>
    <mergeCell ref="C57:D57"/>
    <mergeCell ref="AA57:AB57"/>
    <mergeCell ref="AA58:AB58"/>
    <mergeCell ref="AG50:AG54"/>
    <mergeCell ref="C51:D51"/>
    <mergeCell ref="AA51:AB51"/>
    <mergeCell ref="C52:D52"/>
    <mergeCell ref="AA52:AB52"/>
    <mergeCell ref="C53:D53"/>
    <mergeCell ref="AA53:AB53"/>
    <mergeCell ref="C54:D54"/>
    <mergeCell ref="AA54:AB54"/>
    <mergeCell ref="C63:D63"/>
    <mergeCell ref="AA63:AB63"/>
    <mergeCell ref="A50:A54"/>
    <mergeCell ref="C50:D50"/>
    <mergeCell ref="R50:R54"/>
    <mergeCell ref="AA50:AB50"/>
    <mergeCell ref="AG41:AG49"/>
    <mergeCell ref="C42:D42"/>
    <mergeCell ref="AA42:AB42"/>
    <mergeCell ref="C43:D43"/>
    <mergeCell ref="AA43:AB43"/>
    <mergeCell ref="C44:D44"/>
    <mergeCell ref="AA44:AB44"/>
    <mergeCell ref="C45:D45"/>
    <mergeCell ref="AA45:AB45"/>
    <mergeCell ref="C46:D46"/>
    <mergeCell ref="A41:A49"/>
    <mergeCell ref="C41:D41"/>
    <mergeCell ref="R41:R49"/>
    <mergeCell ref="AA41:AB41"/>
    <mergeCell ref="AA46:AB46"/>
    <mergeCell ref="C47:D47"/>
    <mergeCell ref="AA47:AB47"/>
    <mergeCell ref="C48:D48"/>
    <mergeCell ref="AA48:AB48"/>
    <mergeCell ref="C49:D49"/>
    <mergeCell ref="AA49:AB49"/>
    <mergeCell ref="A33:A40"/>
    <mergeCell ref="C33:D33"/>
    <mergeCell ref="R33:R40"/>
    <mergeCell ref="AA33:AB33"/>
    <mergeCell ref="AA38:AB38"/>
    <mergeCell ref="C39:D39"/>
    <mergeCell ref="AG33:AG40"/>
    <mergeCell ref="C34:D34"/>
    <mergeCell ref="AA34:AB34"/>
    <mergeCell ref="C35:D35"/>
    <mergeCell ref="AA35:AB35"/>
    <mergeCell ref="C36:D36"/>
    <mergeCell ref="AA36:AB36"/>
    <mergeCell ref="C37:D37"/>
    <mergeCell ref="AA37:AB37"/>
    <mergeCell ref="C38:D38"/>
    <mergeCell ref="AA39:AB39"/>
    <mergeCell ref="C40:D40"/>
    <mergeCell ref="AA40:AB40"/>
    <mergeCell ref="AG24:AG32"/>
    <mergeCell ref="C25:D25"/>
    <mergeCell ref="AA25:AB25"/>
    <mergeCell ref="C26:D26"/>
    <mergeCell ref="AA26:AB26"/>
    <mergeCell ref="C27:D27"/>
    <mergeCell ref="AA27:AB27"/>
    <mergeCell ref="C28:D28"/>
    <mergeCell ref="AA28:AB28"/>
    <mergeCell ref="C29:D29"/>
    <mergeCell ref="C30:D30"/>
    <mergeCell ref="AA30:AB30"/>
    <mergeCell ref="C32:D32"/>
    <mergeCell ref="AA32:AB32"/>
    <mergeCell ref="AA19:AB19"/>
    <mergeCell ref="C23:D23"/>
    <mergeCell ref="AA23:AB23"/>
    <mergeCell ref="A24:A32"/>
    <mergeCell ref="C24:D24"/>
    <mergeCell ref="R24:R32"/>
    <mergeCell ref="AA24:AB24"/>
    <mergeCell ref="AA29:AB29"/>
    <mergeCell ref="A15:A23"/>
    <mergeCell ref="C15:D15"/>
    <mergeCell ref="R15:R23"/>
    <mergeCell ref="AA15:AB15"/>
    <mergeCell ref="AA8:AB8"/>
    <mergeCell ref="A9:A14"/>
    <mergeCell ref="C9:D9"/>
    <mergeCell ref="R9:R14"/>
    <mergeCell ref="AA9:AB9"/>
    <mergeCell ref="AA14:AB14"/>
    <mergeCell ref="AG15:AG23"/>
    <mergeCell ref="C16:D16"/>
    <mergeCell ref="AA16:AB16"/>
    <mergeCell ref="C17:D17"/>
    <mergeCell ref="AA17:AB17"/>
    <mergeCell ref="C18:D18"/>
    <mergeCell ref="AG9:AG14"/>
    <mergeCell ref="C10:D10"/>
    <mergeCell ref="AA10:AB10"/>
    <mergeCell ref="C11:D11"/>
    <mergeCell ref="AA11:AB11"/>
    <mergeCell ref="C12:D12"/>
    <mergeCell ref="AA12:AB12"/>
    <mergeCell ref="C13:D13"/>
    <mergeCell ref="AA13:AB13"/>
    <mergeCell ref="C14:D14"/>
    <mergeCell ref="AA18:AB18"/>
    <mergeCell ref="C19:D19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C7:D7"/>
    <mergeCell ref="AA7:AB7"/>
    <mergeCell ref="C8:D8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67:O74 O63:O64 O78 O5:O9 O14:O16 O23:O60">
    <cfRule type="cellIs" dxfId="498" priority="74" operator="greaterThan">
      <formula>0</formula>
    </cfRule>
  </conditionalFormatting>
  <conditionalFormatting sqref="P5:P7 P67 AE67 P69:P74 P33:P39 P64 P9 P14:P16 P24:P31 P55:P60 P41:P53 AE5:AE64 AE69:AE78">
    <cfRule type="cellIs" dxfId="497" priority="78" operator="lessThan">
      <formula>0</formula>
    </cfRule>
  </conditionalFormatting>
  <conditionalFormatting sqref="AF67 Q67:Q74 Q63:Q64 Q78 Q5:Q9 Q14:Q16 Q23:Q60 AF5:AF64 AF69:AF78">
    <cfRule type="cellIs" dxfId="496" priority="75" operator="greaterThan">
      <formula>1</formula>
    </cfRule>
    <cfRule type="cellIs" dxfId="495" priority="76" operator="lessThan">
      <formula>0.8</formula>
    </cfRule>
  </conditionalFormatting>
  <conditionalFormatting sqref="AG15:AG16 R15:R16 AG67 R67:R74 R23:R29 AG23:AG29 AG63:AG64 R63:R64 R78 AG5:AG9 R5:R9 AG32:AG60 R32:R60">
    <cfRule type="cellIs" dxfId="494" priority="80" operator="lessThan">
      <formula>0.8</formula>
    </cfRule>
  </conditionalFormatting>
  <conditionalFormatting sqref="AG50">
    <cfRule type="cellIs" dxfId="493" priority="82" operator="lessThan">
      <formula>0.8</formula>
    </cfRule>
  </conditionalFormatting>
  <conditionalFormatting sqref="AG24:AG29">
    <cfRule type="cellIs" dxfId="492" priority="79" operator="lessThan">
      <formula>0.8</formula>
    </cfRule>
  </conditionalFormatting>
  <conditionalFormatting sqref="AG33">
    <cfRule type="cellIs" dxfId="491" priority="81" operator="lessThan">
      <formula>0.8</formula>
    </cfRule>
  </conditionalFormatting>
  <conditionalFormatting sqref="AG41:AG48">
    <cfRule type="cellIs" dxfId="490" priority="77" operator="lessThan">
      <formula>0.8</formula>
    </cfRule>
  </conditionalFormatting>
  <conditionalFormatting sqref="AE68">
    <cfRule type="cellIs" dxfId="489" priority="73" operator="lessThan">
      <formula>0</formula>
    </cfRule>
  </conditionalFormatting>
  <conditionalFormatting sqref="AF68">
    <cfRule type="cellIs" dxfId="488" priority="71" operator="greaterThan">
      <formula>1</formula>
    </cfRule>
    <cfRule type="cellIs" dxfId="487" priority="72" operator="lessThan">
      <formula>0.8</formula>
    </cfRule>
  </conditionalFormatting>
  <conditionalFormatting sqref="O17:O18">
    <cfRule type="cellIs" dxfId="486" priority="66" operator="greaterThan">
      <formula>0</formula>
    </cfRule>
  </conditionalFormatting>
  <conditionalFormatting sqref="P17:P18">
    <cfRule type="cellIs" dxfId="485" priority="69" operator="lessThan">
      <formula>0</formula>
    </cfRule>
  </conditionalFormatting>
  <conditionalFormatting sqref="Q17:Q18">
    <cfRule type="cellIs" dxfId="484" priority="67" operator="greaterThan">
      <formula>1</formula>
    </cfRule>
    <cfRule type="cellIs" dxfId="483" priority="68" operator="lessThan">
      <formula>0.8</formula>
    </cfRule>
  </conditionalFormatting>
  <conditionalFormatting sqref="R17:R18 AG17:AG18">
    <cfRule type="cellIs" dxfId="482" priority="70" operator="lessThan">
      <formula>0.8</formula>
    </cfRule>
  </conditionalFormatting>
  <conditionalFormatting sqref="O10:O13">
    <cfRule type="cellIs" dxfId="481" priority="62" operator="greaterThan">
      <formula>0</formula>
    </cfRule>
  </conditionalFormatting>
  <conditionalFormatting sqref="P10:P13">
    <cfRule type="cellIs" dxfId="480" priority="65" operator="lessThan">
      <formula>0</formula>
    </cfRule>
  </conditionalFormatting>
  <conditionalFormatting sqref="Q10:Q13">
    <cfRule type="cellIs" dxfId="479" priority="63" operator="greaterThan">
      <formula>1</formula>
    </cfRule>
    <cfRule type="cellIs" dxfId="478" priority="64" operator="lessThan">
      <formula>0.8</formula>
    </cfRule>
  </conditionalFormatting>
  <conditionalFormatting sqref="O61">
    <cfRule type="cellIs" dxfId="477" priority="57" operator="greaterThan">
      <formula>0</formula>
    </cfRule>
  </conditionalFormatting>
  <conditionalFormatting sqref="P61">
    <cfRule type="cellIs" dxfId="476" priority="60" operator="lessThan">
      <formula>0</formula>
    </cfRule>
  </conditionalFormatting>
  <conditionalFormatting sqref="Q61">
    <cfRule type="cellIs" dxfId="475" priority="58" operator="greaterThan">
      <formula>1</formula>
    </cfRule>
    <cfRule type="cellIs" dxfId="474" priority="59" operator="lessThan">
      <formula>0.8</formula>
    </cfRule>
  </conditionalFormatting>
  <conditionalFormatting sqref="R61 AG61">
    <cfRule type="cellIs" dxfId="473" priority="61" operator="lessThan">
      <formula>0.8</formula>
    </cfRule>
  </conditionalFormatting>
  <conditionalFormatting sqref="AG31 R31">
    <cfRule type="cellIs" dxfId="472" priority="56" operator="lessThan">
      <formula>0.8</formula>
    </cfRule>
  </conditionalFormatting>
  <conditionalFormatting sqref="O66">
    <cfRule type="cellIs" dxfId="471" priority="51" operator="greaterThan">
      <formula>0</formula>
    </cfRule>
  </conditionalFormatting>
  <conditionalFormatting sqref="P66 AE66">
    <cfRule type="cellIs" dxfId="470" priority="54" operator="lessThan">
      <formula>0</formula>
    </cfRule>
  </conditionalFormatting>
  <conditionalFormatting sqref="Q66 AF66">
    <cfRule type="cellIs" dxfId="469" priority="52" operator="greaterThan">
      <formula>1</formula>
    </cfRule>
    <cfRule type="cellIs" dxfId="468" priority="53" operator="lessThan">
      <formula>0.8</formula>
    </cfRule>
  </conditionalFormatting>
  <conditionalFormatting sqref="R66 AG66">
    <cfRule type="cellIs" dxfId="467" priority="55" operator="lessThan">
      <formula>0.8</formula>
    </cfRule>
  </conditionalFormatting>
  <conditionalFormatting sqref="O75">
    <cfRule type="cellIs" dxfId="466" priority="46" operator="greaterThan">
      <formula>0</formula>
    </cfRule>
  </conditionalFormatting>
  <conditionalFormatting sqref="P75">
    <cfRule type="cellIs" dxfId="465" priority="49" operator="lessThan">
      <formula>0</formula>
    </cfRule>
  </conditionalFormatting>
  <conditionalFormatting sqref="Q75">
    <cfRule type="cellIs" dxfId="464" priority="47" operator="greaterThan">
      <formula>1</formula>
    </cfRule>
    <cfRule type="cellIs" dxfId="463" priority="48" operator="lessThan">
      <formula>0.8</formula>
    </cfRule>
  </conditionalFormatting>
  <conditionalFormatting sqref="R75">
    <cfRule type="cellIs" dxfId="462" priority="50" operator="lessThan">
      <formula>0.8</formula>
    </cfRule>
  </conditionalFormatting>
  <conditionalFormatting sqref="O19:O20">
    <cfRule type="cellIs" dxfId="461" priority="41" operator="greaterThan">
      <formula>0</formula>
    </cfRule>
  </conditionalFormatting>
  <conditionalFormatting sqref="P19:P20">
    <cfRule type="cellIs" dxfId="460" priority="44" operator="lessThan">
      <formula>0</formula>
    </cfRule>
  </conditionalFormatting>
  <conditionalFormatting sqref="Q19:Q20">
    <cfRule type="cellIs" dxfId="459" priority="42" operator="greaterThan">
      <formula>1</formula>
    </cfRule>
    <cfRule type="cellIs" dxfId="458" priority="43" operator="lessThan">
      <formula>0.8</formula>
    </cfRule>
  </conditionalFormatting>
  <conditionalFormatting sqref="R19:R20 AG19:AG20">
    <cfRule type="cellIs" dxfId="457" priority="45" operator="lessThan">
      <formula>0.8</formula>
    </cfRule>
  </conditionalFormatting>
  <conditionalFormatting sqref="O62">
    <cfRule type="cellIs" dxfId="456" priority="36" operator="greaterThan">
      <formula>0</formula>
    </cfRule>
  </conditionalFormatting>
  <conditionalFormatting sqref="P62">
    <cfRule type="cellIs" dxfId="455" priority="39" operator="lessThan">
      <formula>0</formula>
    </cfRule>
  </conditionalFormatting>
  <conditionalFormatting sqref="Q62">
    <cfRule type="cellIs" dxfId="454" priority="37" operator="greaterThan">
      <formula>1</formula>
    </cfRule>
    <cfRule type="cellIs" dxfId="453" priority="38" operator="lessThan">
      <formula>0.8</formula>
    </cfRule>
  </conditionalFormatting>
  <conditionalFormatting sqref="AG62 R62">
    <cfRule type="cellIs" dxfId="452" priority="40" operator="lessThan">
      <formula>0.8</formula>
    </cfRule>
  </conditionalFormatting>
  <conditionalFormatting sqref="R30 AG30">
    <cfRule type="cellIs" dxfId="451" priority="35" operator="lessThan">
      <formula>0.8</formula>
    </cfRule>
  </conditionalFormatting>
  <conditionalFormatting sqref="AG30">
    <cfRule type="cellIs" dxfId="450" priority="34" operator="lessThan">
      <formula>0.8</formula>
    </cfRule>
  </conditionalFormatting>
  <conditionalFormatting sqref="O65">
    <cfRule type="cellIs" dxfId="449" priority="29" operator="greaterThan">
      <formula>0</formula>
    </cfRule>
  </conditionalFormatting>
  <conditionalFormatting sqref="P65 AE65">
    <cfRule type="cellIs" dxfId="448" priority="32" operator="lessThan">
      <formula>0</formula>
    </cfRule>
  </conditionalFormatting>
  <conditionalFormatting sqref="Q65 AF65">
    <cfRule type="cellIs" dxfId="447" priority="30" operator="greaterThan">
      <formula>1</formula>
    </cfRule>
    <cfRule type="cellIs" dxfId="446" priority="31" operator="lessThan">
      <formula>0.8</formula>
    </cfRule>
  </conditionalFormatting>
  <conditionalFormatting sqref="R65 AG65">
    <cfRule type="cellIs" dxfId="445" priority="33" operator="lessThan">
      <formula>0.8</formula>
    </cfRule>
  </conditionalFormatting>
  <conditionalFormatting sqref="O21">
    <cfRule type="cellIs" dxfId="444" priority="24" operator="greaterThan">
      <formula>0</formula>
    </cfRule>
  </conditionalFormatting>
  <conditionalFormatting sqref="P21">
    <cfRule type="cellIs" dxfId="443" priority="27" operator="lessThan">
      <formula>0</formula>
    </cfRule>
  </conditionalFormatting>
  <conditionalFormatting sqref="Q21">
    <cfRule type="cellIs" dxfId="442" priority="25" operator="greaterThan">
      <formula>1</formula>
    </cfRule>
    <cfRule type="cellIs" dxfId="441" priority="26" operator="lessThan">
      <formula>0.8</formula>
    </cfRule>
  </conditionalFormatting>
  <conditionalFormatting sqref="AG21 R21">
    <cfRule type="cellIs" dxfId="440" priority="28" operator="lessThan">
      <formula>0.8</formula>
    </cfRule>
  </conditionalFormatting>
  <conditionalFormatting sqref="O22">
    <cfRule type="cellIs" dxfId="439" priority="19" operator="greaterThan">
      <formula>0</formula>
    </cfRule>
  </conditionalFormatting>
  <conditionalFormatting sqref="P22">
    <cfRule type="cellIs" dxfId="438" priority="22" operator="lessThan">
      <formula>0</formula>
    </cfRule>
  </conditionalFormatting>
  <conditionalFormatting sqref="Q22">
    <cfRule type="cellIs" dxfId="437" priority="20" operator="greaterThan">
      <formula>1</formula>
    </cfRule>
    <cfRule type="cellIs" dxfId="436" priority="21" operator="lessThan">
      <formula>0.8</formula>
    </cfRule>
  </conditionalFormatting>
  <conditionalFormatting sqref="AG22 R22">
    <cfRule type="cellIs" dxfId="435" priority="23" operator="lessThan">
      <formula>0.8</formula>
    </cfRule>
  </conditionalFormatting>
  <conditionalFormatting sqref="P8">
    <cfRule type="cellIs" dxfId="434" priority="18" operator="lessThan">
      <formula>0</formula>
    </cfRule>
  </conditionalFormatting>
  <conditionalFormatting sqref="P23">
    <cfRule type="cellIs" dxfId="433" priority="17" operator="lessThan">
      <formula>0</formula>
    </cfRule>
  </conditionalFormatting>
  <conditionalFormatting sqref="P32">
    <cfRule type="cellIs" dxfId="432" priority="16" operator="lessThan">
      <formula>0</formula>
    </cfRule>
  </conditionalFormatting>
  <conditionalFormatting sqref="P40">
    <cfRule type="cellIs" dxfId="431" priority="15" operator="lessThan">
      <formula>0</formula>
    </cfRule>
  </conditionalFormatting>
  <conditionalFormatting sqref="P54">
    <cfRule type="cellIs" dxfId="430" priority="14" operator="lessThan">
      <formula>0</formula>
    </cfRule>
  </conditionalFormatting>
  <conditionalFormatting sqref="P63">
    <cfRule type="cellIs" dxfId="429" priority="13" operator="lessThan">
      <formula>0</formula>
    </cfRule>
  </conditionalFormatting>
  <conditionalFormatting sqref="P68">
    <cfRule type="cellIs" dxfId="428" priority="12" operator="lessThan">
      <formula>0</formula>
    </cfRule>
  </conditionalFormatting>
  <conditionalFormatting sqref="P78">
    <cfRule type="cellIs" dxfId="427" priority="11" operator="lessThan">
      <formula>0</formula>
    </cfRule>
  </conditionalFormatting>
  <conditionalFormatting sqref="O76">
    <cfRule type="cellIs" dxfId="426" priority="6" operator="greaterThan">
      <formula>0</formula>
    </cfRule>
  </conditionalFormatting>
  <conditionalFormatting sqref="P76">
    <cfRule type="cellIs" dxfId="425" priority="9" operator="lessThan">
      <formula>0</formula>
    </cfRule>
  </conditionalFormatting>
  <conditionalFormatting sqref="Q76">
    <cfRule type="cellIs" dxfId="424" priority="7" operator="greaterThan">
      <formula>1</formula>
    </cfRule>
    <cfRule type="cellIs" dxfId="423" priority="8" operator="lessThan">
      <formula>0.8</formula>
    </cfRule>
  </conditionalFormatting>
  <conditionalFormatting sqref="R76">
    <cfRule type="cellIs" dxfId="422" priority="10" operator="lessThan">
      <formula>0.8</formula>
    </cfRule>
  </conditionalFormatting>
  <conditionalFormatting sqref="O77">
    <cfRule type="cellIs" dxfId="421" priority="1" operator="greaterThan">
      <formula>0</formula>
    </cfRule>
  </conditionalFormatting>
  <conditionalFormatting sqref="P77">
    <cfRule type="cellIs" dxfId="420" priority="4" operator="lessThan">
      <formula>0</formula>
    </cfRule>
  </conditionalFormatting>
  <conditionalFormatting sqref="Q77">
    <cfRule type="cellIs" dxfId="419" priority="2" operator="greaterThan">
      <formula>1</formula>
    </cfRule>
    <cfRule type="cellIs" dxfId="418" priority="3" operator="lessThan">
      <formula>0.8</formula>
    </cfRule>
  </conditionalFormatting>
  <conditionalFormatting sqref="R77">
    <cfRule type="cellIs" dxfId="417" priority="5" operator="lessThan">
      <formula>0.8</formula>
    </cfRule>
  </conditionalFormatting>
  <dataValidations count="1">
    <dataValidation type="list" allowBlank="1" showInputMessage="1" showErrorMessage="1" sqref="AB8 AA5:AB7 AA8:AA67 AB10:AB64 AA68:AB78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P4" sqref="P4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612" t="s">
        <v>423</v>
      </c>
      <c r="C1" s="612"/>
      <c r="D1" s="612"/>
      <c r="E1" s="612"/>
      <c r="F1" s="612"/>
      <c r="G1" s="612"/>
      <c r="H1" s="612"/>
      <c r="I1" s="612"/>
      <c r="J1" s="612"/>
      <c r="K1" s="51"/>
      <c r="L1" s="51"/>
      <c r="M1" s="51"/>
      <c r="N1" s="51"/>
      <c r="O1" s="51"/>
      <c r="P1" s="51"/>
    </row>
    <row r="2" spans="2:17" ht="27.75" customHeight="1">
      <c r="B2" s="613"/>
      <c r="C2" s="613"/>
      <c r="D2" s="613"/>
      <c r="E2" s="613"/>
      <c r="F2" s="613"/>
      <c r="G2" s="613"/>
      <c r="H2" s="613"/>
      <c r="I2" s="613"/>
      <c r="J2" s="613"/>
      <c r="K2" s="53"/>
      <c r="L2" s="53"/>
      <c r="M2" s="53"/>
      <c r="N2" s="51"/>
      <c r="O2" s="51"/>
      <c r="P2" s="51"/>
    </row>
    <row r="3" spans="2:17" ht="46.5" customHeight="1">
      <c r="B3" s="54" t="s">
        <v>424</v>
      </c>
      <c r="C3" s="614" t="str">
        <f>TEXT('0804 4度C'!A2,"yyyy.mm.ddaaaa")</f>
        <v>2026.08.04星期二</v>
      </c>
      <c r="D3" s="615"/>
      <c r="E3" s="54" t="s">
        <v>425</v>
      </c>
      <c r="F3" s="616">
        <f>'0804 4度C'!D1</f>
        <v>190476</v>
      </c>
      <c r="G3" s="617"/>
      <c r="H3" s="54" t="s">
        <v>426</v>
      </c>
      <c r="I3" s="618">
        <f>'0804 4度C'!F1</f>
        <v>6660940.3999999985</v>
      </c>
      <c r="J3" s="619"/>
      <c r="K3" s="55"/>
      <c r="L3" s="56"/>
      <c r="M3" s="57"/>
      <c r="N3" s="57"/>
    </row>
    <row r="4" spans="2:17" ht="28.5" customHeight="1">
      <c r="B4" s="620" t="s">
        <v>427</v>
      </c>
      <c r="C4" s="606" t="s">
        <v>428</v>
      </c>
      <c r="D4" s="607"/>
      <c r="E4" s="623" t="s">
        <v>429</v>
      </c>
      <c r="F4" s="624"/>
      <c r="G4" s="623" t="s">
        <v>430</v>
      </c>
      <c r="H4" s="624"/>
      <c r="I4" s="623" t="s">
        <v>431</v>
      </c>
      <c r="J4" s="624"/>
      <c r="K4" s="604" t="s">
        <v>432</v>
      </c>
      <c r="L4" s="605"/>
      <c r="M4" s="605" t="s">
        <v>433</v>
      </c>
      <c r="N4" s="605"/>
    </row>
    <row r="5" spans="2:17" ht="28.5" customHeight="1">
      <c r="B5" s="621"/>
      <c r="C5" s="606" t="s">
        <v>434</v>
      </c>
      <c r="D5" s="607"/>
      <c r="E5" s="606" t="s">
        <v>435</v>
      </c>
      <c r="F5" s="607"/>
      <c r="G5" s="608" t="s">
        <v>436</v>
      </c>
      <c r="H5" s="609"/>
      <c r="I5" s="610" t="s">
        <v>437</v>
      </c>
      <c r="J5" s="611"/>
      <c r="K5" s="58" t="s">
        <v>438</v>
      </c>
      <c r="L5" s="59" t="s">
        <v>439</v>
      </c>
      <c r="M5" s="58" t="s">
        <v>440</v>
      </c>
      <c r="N5" s="59" t="s">
        <v>441</v>
      </c>
    </row>
    <row r="6" spans="2:17" ht="28.5" customHeight="1">
      <c r="B6" s="621"/>
      <c r="C6" s="606" t="s">
        <v>169</v>
      </c>
      <c r="D6" s="607"/>
      <c r="E6" s="598">
        <f>AVERAGE(D13:M13)</f>
        <v>158.1235063311122</v>
      </c>
      <c r="F6" s="599">
        <f>AVERAGE(D31:O31,D13:J13)</f>
        <v>167.61683347732307</v>
      </c>
      <c r="G6" s="600">
        <f>AVERAGE(D13:J13)</f>
        <v>167.61683347732307</v>
      </c>
      <c r="H6" s="601"/>
      <c r="I6" s="600">
        <f>AVERAGE(K13:M13)</f>
        <v>135.97240965662019</v>
      </c>
      <c r="J6" s="601"/>
      <c r="K6" s="602">
        <f>'0804 4度C'!Y2</f>
        <v>0</v>
      </c>
      <c r="L6" s="587">
        <f>'0804 4度C'!Z2</f>
        <v>0</v>
      </c>
      <c r="M6" s="603">
        <f>'0804 4度C'!AC2</f>
        <v>66</v>
      </c>
      <c r="N6" s="587">
        <f>'0804 4度C'!AD2</f>
        <v>0</v>
      </c>
    </row>
    <row r="7" spans="2:17" ht="28.5" customHeight="1">
      <c r="B7" s="621"/>
      <c r="C7" s="588" t="s">
        <v>170</v>
      </c>
      <c r="D7" s="589"/>
      <c r="E7" s="590">
        <f>AVERAGE(D14:M14)</f>
        <v>151.47650194975546</v>
      </c>
      <c r="F7" s="591">
        <f>AVERAGE(D32:O32,D14:J14)</f>
        <v>160.70755796433602</v>
      </c>
      <c r="G7" s="592">
        <f>AVERAGE(D14:J14)</f>
        <v>160.70755796433602</v>
      </c>
      <c r="H7" s="593"/>
      <c r="I7" s="592">
        <f>AVERAGE(K14:M14)</f>
        <v>129.9373712490675</v>
      </c>
      <c r="J7" s="593"/>
      <c r="K7" s="602"/>
      <c r="L7" s="587"/>
      <c r="M7" s="603"/>
      <c r="N7" s="587"/>
    </row>
    <row r="8" spans="2:17" ht="28.5" customHeight="1">
      <c r="B8" s="622"/>
      <c r="C8" s="588" t="s">
        <v>171</v>
      </c>
      <c r="D8" s="589"/>
      <c r="E8" s="594">
        <f>AVERAGE(D15:M15)</f>
        <v>0.95777060945982451</v>
      </c>
      <c r="F8" s="595">
        <f>AVERAGE(D15:J15,D33:O33)</f>
        <v>0.95869863669302557</v>
      </c>
      <c r="G8" s="596">
        <f>AVERAGE(D15:J15)</f>
        <v>0.95869863669302557</v>
      </c>
      <c r="H8" s="597"/>
      <c r="I8" s="596">
        <f>AVERAGE(K15:M15)</f>
        <v>0.95560521258235476</v>
      </c>
      <c r="J8" s="597"/>
      <c r="K8" s="602"/>
      <c r="L8" s="587"/>
      <c r="M8" s="603"/>
      <c r="N8" s="587"/>
    </row>
    <row r="9" spans="2:17" ht="28.5" customHeight="1" thickBot="1">
      <c r="H9" s="61"/>
      <c r="K9" s="62" t="s">
        <v>442</v>
      </c>
      <c r="N9" s="57"/>
      <c r="O9" s="57"/>
      <c r="P9" s="57"/>
      <c r="Q9" s="57"/>
    </row>
    <row r="10" spans="2:17" ht="30" customHeight="1">
      <c r="B10" s="570" t="s">
        <v>443</v>
      </c>
      <c r="C10" s="571"/>
      <c r="D10" s="572" t="s">
        <v>444</v>
      </c>
      <c r="E10" s="573"/>
      <c r="F10" s="573"/>
      <c r="G10" s="573"/>
      <c r="H10" s="573"/>
      <c r="I10" s="573"/>
      <c r="J10" s="574"/>
      <c r="K10" s="575" t="s">
        <v>445</v>
      </c>
      <c r="L10" s="576"/>
      <c r="M10" s="577"/>
      <c r="P10" s="63"/>
      <c r="Q10" s="63"/>
    </row>
    <row r="11" spans="2:17" ht="17.25" customHeight="1">
      <c r="B11" s="578" t="s">
        <v>446</v>
      </c>
      <c r="C11" s="579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80"/>
      <c r="C12" s="581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582" t="s">
        <v>447</v>
      </c>
      <c r="C13" s="70" t="s">
        <v>448</v>
      </c>
      <c r="D13" s="71">
        <f>SUMIFS('0804 4度C'!$K:$K,'0804 4度C'!$A:$A,"新豐6線",'0804 4度C'!$B:$B,"平均")</f>
        <v>129.03225806451613</v>
      </c>
      <c r="E13" s="72">
        <f>SUMIFS('0804 4度C'!$K:$K,'0804 4度C'!$A:$A,"新豐2線",'0804 4度C'!$B:$B,"平均")</f>
        <v>86.206896551724142</v>
      </c>
      <c r="F13" s="73">
        <f>SUMIFS('0804 4度C'!$K:$K,'0804 4度C'!$A:$A,"新豐5線",'0804 4度C'!$B:$B,"平均")</f>
        <v>95.238095238095241</v>
      </c>
      <c r="G13" s="73">
        <f>SUMIFS('0804 4度C'!$K:$K,'0804 4度C'!$A:$A,"新豐7線",'0804 4度C'!$B:$B,"平均")</f>
        <v>133.33333333333334</v>
      </c>
      <c r="H13" s="73">
        <f>SUMIFS('0804 4度C'!$K:$K,'0804 4度C'!$A:$A,"新豐3線",'0804 4度C'!$B:$B,"平均")</f>
        <v>324.32432432432432</v>
      </c>
      <c r="I13" s="73">
        <f>SUMIFS('0804 4度C'!$K:$K,'0804 4度C'!$A:$A,"新豐1線",'0804 4度C'!$B:$B,"平均")</f>
        <v>112.5</v>
      </c>
      <c r="J13" s="74">
        <f>SUMIFS('0804 4度C'!$K:$K,'0804 4度C'!$A:$A,"新豐10線",'0804 4度C'!$B:$B,"平均")</f>
        <v>292.6829268292683</v>
      </c>
      <c r="K13" s="75">
        <f>SUMIFS('0804 4度C'!$K:$K,'0804 4度C'!$A:$A,"新豐8線",'0804 4度C'!$B:$B,"平均")</f>
        <v>143.58974358974359</v>
      </c>
      <c r="L13" s="76">
        <f>SUMIFS('0804 4度C'!$K:$K,'0804 4度C'!$A:$A,"新豐9線",'0804 4度C'!$B:$B,"平均")</f>
        <v>122.22222222222223</v>
      </c>
      <c r="M13" s="74">
        <f>SUMIFS('0804 4度C'!$K:$K,'0804 4度C'!$A:$A,"新豐4線",'0804 4度C'!$B:$B,"平均")</f>
        <v>142.10526315789474</v>
      </c>
    </row>
    <row r="14" spans="2:17" ht="39.6" customHeight="1">
      <c r="B14" s="583"/>
      <c r="C14" s="77" t="s">
        <v>449</v>
      </c>
      <c r="D14" s="78">
        <f>SUMIFS('0804 4度C'!$N:$N,'0804 4度C'!$A:$A,"新豐6線",'0804 4度C'!$B:$B,"平均")</f>
        <v>123.90128648306266</v>
      </c>
      <c r="E14" s="79">
        <f>SUMIFS('0804 4度C'!$N:$N,'0804 4度C'!$A:$A,"新豐2線",'0804 4度C'!$B:$B,"平均")</f>
        <v>82.269788470453022</v>
      </c>
      <c r="F14" s="79">
        <f>SUMIFS('0804 4度C'!$N:$N,'0804 4度C'!$A:$A,"新豐5線",'0804 4度C'!$B:$B,"平均")</f>
        <v>91.467414704035079</v>
      </c>
      <c r="G14" s="79">
        <f>SUMIFS('0804 4度C'!$N:$N,'0804 4度C'!$A:$A,"新豐7線",'0804 4度C'!$B:$B,"平均")</f>
        <v>127.84916727302122</v>
      </c>
      <c r="H14" s="79">
        <f>SUMIFS('0804 4度C'!$N:$N,'0804 4度C'!$A:$A,"新豐3線",'0804 4度C'!$B:$B,"平均")</f>
        <v>311.61507950809067</v>
      </c>
      <c r="I14" s="79">
        <f>SUMIFS('0804 4度C'!$N:$N,'0804 4度C'!$A:$A,"新豐1線",'0804 4度C'!$B:$B,"平均")</f>
        <v>108.01487959406067</v>
      </c>
      <c r="J14" s="80">
        <f>SUMIFS('0804 4度C'!$N:$N,'0804 4度C'!$A:$A,"新豐10線",'0804 4度C'!$B:$B,"平均")</f>
        <v>279.83528971762877</v>
      </c>
      <c r="K14" s="81">
        <f>SUMIFS('0804 4度C'!$N:$N,'0804 4度C'!$A:$A,"新豐8線",'0804 4度C'!$B:$B,"平均")</f>
        <v>137.09971733303615</v>
      </c>
      <c r="L14" s="82">
        <f>SUMIFS('0804 4度C'!$N:$N,'0804 4度C'!$A:$A,"新豐9線",'0804 4度C'!$B:$B,"平均")</f>
        <v>116.76252899209963</v>
      </c>
      <c r="M14" s="80">
        <f>SUMIFS('0804 4度C'!$N:$N,'0804 4度C'!$A:$A,"新豐4線",'0804 4度C'!$B:$B,"平均")</f>
        <v>135.94986742206666</v>
      </c>
    </row>
    <row r="15" spans="2:17" ht="40.15" customHeight="1">
      <c r="B15" s="584"/>
      <c r="C15" s="83" t="s">
        <v>450</v>
      </c>
      <c r="D15" s="84">
        <f t="shared" ref="D15:M15" si="0">D14/D13</f>
        <v>0.96023497024373561</v>
      </c>
      <c r="E15" s="85">
        <f t="shared" si="0"/>
        <v>0.95432954625725497</v>
      </c>
      <c r="F15" s="85">
        <f t="shared" si="0"/>
        <v>0.96040785439236831</v>
      </c>
      <c r="G15" s="85">
        <f t="shared" si="0"/>
        <v>0.95886875454765907</v>
      </c>
      <c r="H15" s="85">
        <f t="shared" si="0"/>
        <v>0.96081316181661292</v>
      </c>
      <c r="I15" s="85">
        <f t="shared" si="0"/>
        <v>0.96013226305831711</v>
      </c>
      <c r="J15" s="86">
        <f t="shared" si="0"/>
        <v>0.95610390653523158</v>
      </c>
      <c r="K15" s="84">
        <f t="shared" si="0"/>
        <v>0.95480160285507321</v>
      </c>
      <c r="L15" s="85">
        <f t="shared" si="0"/>
        <v>0.95532978266263335</v>
      </c>
      <c r="M15" s="86">
        <f t="shared" si="0"/>
        <v>0.95668425222935793</v>
      </c>
    </row>
    <row r="16" spans="2:17" ht="17.25" customHeight="1">
      <c r="B16" s="585" t="s">
        <v>451</v>
      </c>
      <c r="C16" s="87" t="s">
        <v>452</v>
      </c>
      <c r="D16" s="88">
        <f>VLOOKUP("新豐6線",'0804 4度C'!$A:$T,19,0)</f>
        <v>0.70833333333333337</v>
      </c>
      <c r="E16" s="89">
        <f>VLOOKUP("新豐2線",'0804 4度C'!$A:$T,19,0)</f>
        <v>8.3333333333333329E-2</v>
      </c>
      <c r="F16" s="89">
        <f>VLOOKUP("新豐5線",'0804 4度C'!$A:$T,19,0)</f>
        <v>0.20833333333333334</v>
      </c>
      <c r="G16" s="89">
        <f>VLOOKUP("新豐7線",'0804 4度C'!$A:$T,19,0)</f>
        <v>0.20833333333333334</v>
      </c>
      <c r="H16" s="89">
        <f>VLOOKUP("新豐3線",'0804 4度C'!$A:$T,19,0)</f>
        <v>0.20833333333333334</v>
      </c>
      <c r="I16" s="89">
        <f>VLOOKUP("新豐1線",'0804 4度C'!$A:$T,19,0)</f>
        <v>0.20833333333333334</v>
      </c>
      <c r="J16" s="90">
        <f>VLOOKUP("新豐10線",'0804 4度C'!$A:$T,19,0)</f>
        <v>0.20833333333333334</v>
      </c>
      <c r="K16" s="91">
        <f>VLOOKUP("新豐8線",'0804 4度C'!$A:$T,19,0)</f>
        <v>8.3333333333333329E-2</v>
      </c>
      <c r="L16" s="92">
        <f>VLOOKUP("新豐9線",'0804 4度C'!$A:$T,19,0)</f>
        <v>8.3333333333333329E-2</v>
      </c>
      <c r="M16" s="93">
        <f>VLOOKUP("新豐4線",'0804 4度C'!$A:$T,19,0)</f>
        <v>8.3333333333333329E-2</v>
      </c>
    </row>
    <row r="17" spans="2:13" ht="17.25" customHeight="1">
      <c r="B17" s="586"/>
      <c r="C17" s="87" t="s">
        <v>453</v>
      </c>
      <c r="D17" s="91">
        <f>LOOKUP(2,1/(('0804 4度C'!$A:$A="新豐6線")*('0804 4度C'!$T:$T&lt;&gt;"")),'0804 4度C'!$T:$T)</f>
        <v>0.90555555555555556</v>
      </c>
      <c r="E17" s="89">
        <f>LOOKUP(2,1/(('0804 4度C'!$A:$A="新豐2線")*('0804 4度C'!$T:$T&lt;&gt;"")),'0804 4度C'!$T:$T)</f>
        <v>0.64583333333333315</v>
      </c>
      <c r="F17" s="89">
        <f>LOOKUP(2,1/(('0804 4度C'!$A:$A="新豐5線")*('0804 4度C'!$T:$T&lt;&gt;"")),'0804 4度C'!$T:$T)</f>
        <v>0.91041666666666665</v>
      </c>
      <c r="G17" s="89">
        <f>LOOKUP(2,1/(('0804 4度C'!$A:$A="新豐7線")*('0804 4度C'!$T:$T&lt;&gt;"")),'0804 4度C'!$T:$T)</f>
        <v>0.92708333333333337</v>
      </c>
      <c r="H17" s="89">
        <f>LOOKUP(2,1/(('0804 4度C'!$A:$A="新豐3線")*('0804 4度C'!$T:$T&lt;&gt;"")),'0804 4度C'!$T:$T)</f>
        <v>0.42638888888888887</v>
      </c>
      <c r="I17" s="89">
        <f>LOOKUP(2,1/(('0804 4度C'!$A:$A="新豐1線")*('0804 4度C'!$T:$T&lt;&gt;"")),'0804 4度C'!$T:$T)</f>
        <v>0.9194444444444444</v>
      </c>
      <c r="J17" s="90">
        <f>LOOKUP(2,1/(('0804 4度C'!$A:$A="新豐10線")*('0804 4度C'!$T:$T&lt;&gt;"")),'0804 4度C'!$T:$T)</f>
        <v>0.41249999999999998</v>
      </c>
      <c r="K17" s="88">
        <f>LOOKUP(2,1/(('0804 4度C'!$A:$A="新豐8線")*('0804 4度C'!$T:$T&lt;&gt;"")),'0804 4度C'!$T:$T)</f>
        <v>0.68680555555555556</v>
      </c>
      <c r="L17" s="89">
        <f>LOOKUP(2,1/(('0804 4度C'!$A:$A="新豐9線")*('0804 4度C'!$T:$T&lt;&gt;"")),'0804 4度C'!$T:$T)</f>
        <v>0.74791666666666656</v>
      </c>
      <c r="M17" s="90">
        <f>LOOKUP(2,1/(('0804 4度C'!$A:$A="新豐4線")*('0804 4度C'!$T:$T&lt;&gt;"")),'0804 4度C'!$T:$T)</f>
        <v>0.71527777777777757</v>
      </c>
    </row>
    <row r="18" spans="2:13" ht="17.25" customHeight="1">
      <c r="B18" s="564" t="s">
        <v>454</v>
      </c>
      <c r="C18" s="94" t="s">
        <v>455</v>
      </c>
      <c r="D18" s="95">
        <f>SUMIFS('0804 4度C'!$Y:$Y,'0804 4度C'!$A:$A,"新豐6線",'0804 4度C'!$B:$B,"平均")</f>
        <v>0</v>
      </c>
      <c r="E18" s="96">
        <f>SUMIFS('0804 4度C'!$Y:$Y,'0804 4度C'!$A:$A,"新豐2線",'0804 4度C'!$B:$B,"平均")</f>
        <v>0</v>
      </c>
      <c r="F18" s="96">
        <f>SUMIFS('0804 4度C'!$Y:$Y,'0804 4度C'!$A:$A,"新豐5線",'0804 4度C'!$B:$B,"平均")</f>
        <v>0</v>
      </c>
      <c r="G18" s="96">
        <f>SUMIFS('0804 4度C'!$Y:$Y,'0804 4度C'!$A:$A,"新豐7線",'0804 4度C'!$B:$B,"平均")</f>
        <v>0</v>
      </c>
      <c r="H18" s="96">
        <f>SUMIFS('0804 4度C'!$Y:$Y,'0804 4度C'!$A:$A,"新豐3線",'0804 4度C'!$B:$B,"平均")</f>
        <v>0</v>
      </c>
      <c r="I18" s="96">
        <f>SUMIFS('0804 4度C'!$Y:$Y,'0804 4度C'!$A:$A,"新豐1線",'0804 4度C'!$B:$B,"平均")</f>
        <v>0</v>
      </c>
      <c r="J18" s="97">
        <f>SUMIFS('0804 4度C'!$Y:$Y,'0804 4度C'!$A:$A,"新豐10線",'0804 4度C'!$B:$B,"平均")</f>
        <v>0</v>
      </c>
      <c r="K18" s="98">
        <f>SUMIFS('0804 4度C'!$Y:$Y,'0804 4度C'!$A:$A,"新豐8線",'0804 4度C'!$B:$B,"平均")</f>
        <v>0</v>
      </c>
      <c r="L18" s="96">
        <f>SUMIFS('0804 4度C'!$Y:$Y,'0804 4度C'!$A:$A,"新豐9線",'0804 4度C'!$B:$B,"平均")</f>
        <v>0</v>
      </c>
      <c r="M18" s="97">
        <f>SUMIFS('0804 4度C'!$Y:$Y,'0804 4度C'!$A:$A,"新豐4線",'0804 4度C'!$B:$B,"平均")</f>
        <v>0</v>
      </c>
    </row>
    <row r="19" spans="2:13" ht="17.25" customHeight="1">
      <c r="B19" s="565"/>
      <c r="C19" s="94" t="s">
        <v>456</v>
      </c>
      <c r="D19" s="95">
        <f>SUMIFS('0804 4度C'!$Z:$Z,'0804 4度C'!$A:$A,"新豐6線",'0804 4度C'!$B:$B,"平均")</f>
        <v>0</v>
      </c>
      <c r="E19" s="96">
        <f>SUMIFS('0804 4度C'!$Z:$Z,'0804 4度C'!$A:$A,"新豐2線",'0804 4度C'!$B:$B,"平均")</f>
        <v>0</v>
      </c>
      <c r="F19" s="96">
        <f>SUMIFS('0804 4度C'!$Z:$Z,'0804 4度C'!$A:$A,"新豐5線",'0804 4度C'!$B:$B,"平均")</f>
        <v>0</v>
      </c>
      <c r="G19" s="96">
        <f>SUMIFS('0804 4度C'!$Z:$Z,'0804 4度C'!$A:$A,"新豐7線",'0804 4度C'!$B:$B,"平均")</f>
        <v>0</v>
      </c>
      <c r="H19" s="96">
        <f>SUMIFS('0804 4度C'!$Z:$Z,'0804 4度C'!$A:$A,"新豐3線",'0804 4度C'!$B:$B,"平均")</f>
        <v>0</v>
      </c>
      <c r="I19" s="96">
        <f>SUMIFS('0804 4度C'!$Z:$Z,'0804 4度C'!$A:$A,"新豐1線",'0804 4度C'!$B:$B,"平均")</f>
        <v>0</v>
      </c>
      <c r="J19" s="97">
        <f>SUMIFS('0804 4度C'!$Z:$Z,'0804 4度C'!$A:$A,"新豐10線",'0804 4度C'!$B:$B,"平均")</f>
        <v>0</v>
      </c>
      <c r="K19" s="98">
        <f>SUMIFS('0804 4度C'!$Z:$Z,'0804 4度C'!$A:$A,"新豐8線",'0804 4度C'!$B:$B,"平均")</f>
        <v>0</v>
      </c>
      <c r="L19" s="96">
        <f>SUMIFS('0804 4度C'!$Z:$Z,'0804 4度C'!$A:$A,"新豐9線",'0804 4度C'!$B:$B,"平均")</f>
        <v>0</v>
      </c>
      <c r="M19" s="97">
        <f>SUMIFS('0804 4度C'!$Z:$Z,'0804 4度C'!$A:$A,"新豐4線",'0804 4度C'!$B:$B,"平均")</f>
        <v>0</v>
      </c>
    </row>
    <row r="20" spans="2:13" ht="17.25" customHeight="1">
      <c r="B20" s="564" t="s">
        <v>457</v>
      </c>
      <c r="C20" s="94" t="s">
        <v>458</v>
      </c>
      <c r="D20" s="95">
        <f>SUMIFS('0804 4度C'!$AC:$AC,'0804 4度C'!$A:$A,"新豐6線",'0804 4度C'!$B:$B,"平均")</f>
        <v>4</v>
      </c>
      <c r="E20" s="96">
        <f>SUMIFS('0804 4度C'!$AC:$AC,'0804 4度C'!$A:$A,"新豐2線",'0804 4度C'!$B:$B,"平均")</f>
        <v>5</v>
      </c>
      <c r="F20" s="96">
        <f>SUMIFS('0804 4度C'!$AC:$AC,'0804 4度C'!$A:$A,"新豐5線",'0804 4度C'!$B:$B,"平均")</f>
        <v>8</v>
      </c>
      <c r="G20" s="96">
        <f>SUMIFS('0804 4度C'!$AC:$AC,'0804 4度C'!$A:$A,"新豐7線",'0804 4度C'!$B:$B,"平均")</f>
        <v>8</v>
      </c>
      <c r="H20" s="96">
        <f>SUMIFS('0804 4度C'!$AC:$AC,'0804 4度C'!$A:$A,"新豐3線",'0804 4度C'!$B:$B,"平均")</f>
        <v>4</v>
      </c>
      <c r="I20" s="96">
        <f>SUMIFS('0804 4度C'!$AC:$AC,'0804 4度C'!$A:$A,"新豐1線",'0804 4度C'!$B:$B,"平均")</f>
        <v>9</v>
      </c>
      <c r="J20" s="97">
        <f>SUMIFS('0804 4度C'!$AC:$AC,'0804 4度C'!$A:$A,"新豐10線",'0804 4度C'!$B:$B,"平均")</f>
        <v>4</v>
      </c>
      <c r="K20" s="98">
        <f>SUMIFS('0804 4度C'!$AC:$AC,'0804 4度C'!$A:$A,"新豐8線",'0804 4度C'!$B:$B,"平均")</f>
        <v>7</v>
      </c>
      <c r="L20" s="96">
        <f>SUMIFS('0804 4度C'!$AC:$AC,'0804 4度C'!$A:$A,"新豐9線",'0804 4度C'!$B:$B,"平均")</f>
        <v>8</v>
      </c>
      <c r="M20" s="97">
        <f>SUMIFS('0804 4度C'!$AC:$AC,'0804 4度C'!$A:$A,"新豐4線",'0804 4度C'!$B:$B,"平均")</f>
        <v>9</v>
      </c>
    </row>
    <row r="21" spans="2:13" ht="17.25" customHeight="1">
      <c r="B21" s="565"/>
      <c r="C21" s="94" t="s">
        <v>459</v>
      </c>
      <c r="D21" s="95">
        <f>SUMIFS('0804 4度C'!$AD:$AD,'0804 4度C'!$A:$A,"新豐6線",'0804 4度C'!$B:$B,"平均")</f>
        <v>0</v>
      </c>
      <c r="E21" s="96">
        <f>SUMIFS('0804 4度C'!$AD:$AD,'0804 4度C'!$A:$A,"新豐2線",'0804 4度C'!$B:$B,"平均")</f>
        <v>0</v>
      </c>
      <c r="F21" s="96">
        <f>SUMIFS('0804 4度C'!$AD:$AD,'0804 4度C'!$A:$A,"新豐5線",'0804 4度C'!$B:$B,"平均")</f>
        <v>0</v>
      </c>
      <c r="G21" s="96">
        <f>SUMIFS('0804 4度C'!$AD:$AD,'0804 4度C'!$A:$A,"新豐7線",'0804 4度C'!$B:$B,"平均")</f>
        <v>0</v>
      </c>
      <c r="H21" s="96">
        <f>SUMIFS('0804 4度C'!$AD:$AD,'0804 4度C'!$A:$A,"新豐3線",'0804 4度C'!$B:$B,"平均")</f>
        <v>0</v>
      </c>
      <c r="I21" s="96">
        <f>SUMIFS('0804 4度C'!$AD:$AD,'0804 4度C'!$A:$A,"新豐1線",'0804 4度C'!$B:$B,"平均")</f>
        <v>0</v>
      </c>
      <c r="J21" s="97">
        <f>SUMIFS('0804 4度C'!$AD:$AD,'0804 4度C'!$A:$A,"新豐10線",'0804 4度C'!$B:$B,"平均")</f>
        <v>0</v>
      </c>
      <c r="K21" s="98">
        <f>SUMIFS('0804 4度C'!$AD:$AD,'0804 4度C'!$A:$A,"新豐8線",'0804 4度C'!$B:$B,"平均")</f>
        <v>0</v>
      </c>
      <c r="L21" s="96">
        <f>SUMIFS('0804 4度C'!$AD:$AD,'0804 4度C'!$A:$A,"新豐9線",'0804 4度C'!$B:$B,"平均")</f>
        <v>0</v>
      </c>
      <c r="M21" s="97">
        <f>SUMIFS('0804 4度C'!$AD:$AD,'0804 4度C'!$A:$A,"新豐4線",'0804 4度C'!$B:$B,"平均")</f>
        <v>0</v>
      </c>
    </row>
    <row r="22" spans="2:13" ht="17.25" customHeight="1">
      <c r="B22" s="566" t="s">
        <v>460</v>
      </c>
      <c r="C22" s="567"/>
      <c r="D22" s="99">
        <f>SUMIFS('0804 4度C'!$I:$I,'0804 4度C'!$A:$A,"新豐6線",'0804 4度C'!$B:$B,"平均")</f>
        <v>15.5</v>
      </c>
      <c r="E22" s="100">
        <f>SUMIFS('0804 4度C'!$I:$I,'0804 4度C'!$A:$A,"新豐2線",'0804 4度C'!$B:$B,"平均")</f>
        <v>17.399999999999999</v>
      </c>
      <c r="F22" s="100">
        <f>SUMIFS('0804 4度C'!$I:$I,'0804 4度C'!$A:$A,"新豐5線",'0804 4度C'!$B:$B,"平均")</f>
        <v>18.375</v>
      </c>
      <c r="G22" s="100">
        <f>SUMIFS('0804 4度C'!$I:$I,'0804 4度C'!$A:$A,"新豐7線",'0804 4度C'!$B:$B,"平均")</f>
        <v>15</v>
      </c>
      <c r="H22" s="100">
        <f>SUMIFS('0804 4度C'!$I:$I,'0804 4度C'!$A:$A,"新豐3線",'0804 4度C'!$B:$B,"平均")</f>
        <v>9.25</v>
      </c>
      <c r="I22" s="100">
        <f>SUMIFS('0804 4度C'!$I:$I,'0804 4度C'!$A:$A,"新豐1線",'0804 4度C'!$B:$B,"平均")</f>
        <v>17.777777777777779</v>
      </c>
      <c r="J22" s="101">
        <f>SUMIFS('0804 4度C'!$I:$I,'0804 4度C'!$A:$A,"新豐10線",'0804 4度C'!$B:$B,"平均")</f>
        <v>10.25</v>
      </c>
      <c r="K22" s="99">
        <f>SUMIFS('0804 4度C'!$I:$I,'0804 4度C'!$A:$A,"新豐8線",'0804 4度C'!$B:$B,"平均")</f>
        <v>16.714285714285715</v>
      </c>
      <c r="L22" s="100">
        <f>SUMIFS('0804 4度C'!$I:$I,'0804 4度C'!$A:$A,"新豐9線",'0804 4度C'!$B:$B,"平均")</f>
        <v>18</v>
      </c>
      <c r="M22" s="101">
        <f>SUMIFS('0804 4度C'!$I:$I,'0804 4度C'!$A:$A,"新豐4線",'0804 4度C'!$B:$B,"平均")</f>
        <v>16.888888888888889</v>
      </c>
    </row>
    <row r="23" spans="2:13" ht="17.25" customHeight="1">
      <c r="B23" s="566" t="s">
        <v>461</v>
      </c>
      <c r="C23" s="567"/>
      <c r="D23" s="102" t="s">
        <v>202</v>
      </c>
      <c r="E23" s="103" t="s">
        <v>203</v>
      </c>
      <c r="F23" s="103" t="s">
        <v>462</v>
      </c>
      <c r="G23" s="103" t="s">
        <v>462</v>
      </c>
      <c r="H23" s="103" t="s">
        <v>205</v>
      </c>
      <c r="I23" s="103" t="s">
        <v>202</v>
      </c>
      <c r="J23" s="104" t="s">
        <v>205</v>
      </c>
      <c r="K23" s="102" t="s">
        <v>207</v>
      </c>
      <c r="L23" s="103" t="s">
        <v>463</v>
      </c>
      <c r="M23" s="104" t="s">
        <v>463</v>
      </c>
    </row>
    <row r="24" spans="2:13" ht="17.25" customHeight="1">
      <c r="B24" s="566" t="s">
        <v>464</v>
      </c>
      <c r="C24" s="567"/>
      <c r="D24" s="102"/>
      <c r="E24" s="103"/>
      <c r="F24" s="103" t="s">
        <v>465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68" t="s">
        <v>259</v>
      </c>
      <c r="C25" s="569"/>
      <c r="D25" s="105"/>
      <c r="E25" s="106" t="s">
        <v>466</v>
      </c>
      <c r="F25" s="562" t="s">
        <v>467</v>
      </c>
      <c r="G25" s="563"/>
      <c r="H25" s="106" t="s">
        <v>468</v>
      </c>
      <c r="I25" s="106" t="s">
        <v>469</v>
      </c>
      <c r="J25" s="107" t="s">
        <v>468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416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81"/>
  <sheetViews>
    <sheetView topLeftCell="F1" zoomScale="80" zoomScaleNormal="80" workbookViewId="0">
      <pane ySplit="4" topLeftCell="A50" activePane="bottomLeft" state="frozen"/>
      <selection activeCell="A10" sqref="A10"/>
      <selection pane="bottomLeft" activeCell="A10" sqref="A10:A15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41" customWidth="1"/>
    <col min="20" max="20" width="7.625" style="41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470</v>
      </c>
      <c r="B1" s="1"/>
      <c r="C1" s="2" t="s">
        <v>471</v>
      </c>
      <c r="D1" s="3">
        <f>SUM(F5:F80)</f>
        <v>190476</v>
      </c>
      <c r="E1" s="145" t="s">
        <v>472</v>
      </c>
      <c r="F1" s="1">
        <f>SUM(G5:G80)</f>
        <v>6660940.3999999985</v>
      </c>
      <c r="G1" s="1" t="s">
        <v>473</v>
      </c>
      <c r="H1" s="5">
        <f>L9+L15+L55+L65+L24+L70+L41+L50+L33+L80</f>
        <v>155.15595238095239</v>
      </c>
      <c r="I1" s="676" t="s">
        <v>474</v>
      </c>
      <c r="J1" s="676"/>
      <c r="K1" s="676"/>
      <c r="L1" s="676" t="s">
        <v>475</v>
      </c>
      <c r="M1" s="676"/>
      <c r="N1" s="676"/>
      <c r="O1" s="676" t="s">
        <v>476</v>
      </c>
      <c r="P1" s="676"/>
      <c r="Q1" s="676"/>
      <c r="R1" s="676"/>
      <c r="S1" s="676" t="s">
        <v>477</v>
      </c>
      <c r="T1" s="676"/>
      <c r="U1" s="676"/>
      <c r="V1" s="676"/>
      <c r="W1" s="676"/>
      <c r="X1" s="676"/>
      <c r="Y1" s="6" t="s">
        <v>478</v>
      </c>
      <c r="Z1" s="7" t="s">
        <v>479</v>
      </c>
      <c r="AA1" s="677" t="s">
        <v>480</v>
      </c>
      <c r="AB1" s="677"/>
      <c r="AC1" s="8" t="s">
        <v>478</v>
      </c>
      <c r="AD1" s="7" t="s">
        <v>481</v>
      </c>
      <c r="AE1" s="676" t="s">
        <v>482</v>
      </c>
      <c r="AF1" s="678"/>
      <c r="AG1" s="678"/>
    </row>
    <row r="2" spans="1:33" ht="26.25" customHeight="1">
      <c r="A2" s="35">
        <v>46238</v>
      </c>
      <c r="B2" s="36" t="s">
        <v>422</v>
      </c>
      <c r="C2" s="2" t="s">
        <v>483</v>
      </c>
      <c r="D2" s="10">
        <f>AVERAGE(N9,N15,N55,N65,N24,N70,N33,N41,N50,N80)</f>
        <v>151.47650194975546</v>
      </c>
      <c r="E2" s="11" t="s">
        <v>14</v>
      </c>
      <c r="F2" s="12">
        <f>F1/D1</f>
        <v>34.969972069972059</v>
      </c>
      <c r="G2" s="1" t="s">
        <v>484</v>
      </c>
      <c r="H2" s="153">
        <f>COUNT(H5:H80)</f>
        <v>13</v>
      </c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14">
        <f>SUM(Y9+Y15+Y24+Y33+Y41+Y50+Y55+Y65+Y70+Y80)</f>
        <v>0</v>
      </c>
      <c r="Z2" s="14">
        <f>SUM(Z9+Z15+Z24+Z33+Z41+Z50+Z55+Z65+Z70+Z80)</f>
        <v>0</v>
      </c>
      <c r="AA2" s="677"/>
      <c r="AB2" s="677"/>
      <c r="AC2" s="14">
        <v>66</v>
      </c>
      <c r="AD2" s="14">
        <f>SUM(AD9+AD15+AD24+AD33+AD41+AD50+AD55+AD65+AD70+AD80)</f>
        <v>0</v>
      </c>
      <c r="AE2" s="678"/>
      <c r="AF2" s="678"/>
      <c r="AG2" s="678"/>
    </row>
    <row r="3" spans="1:33" ht="40.5" customHeight="1">
      <c r="A3" s="632" t="s">
        <v>485</v>
      </c>
      <c r="B3" s="632" t="s">
        <v>486</v>
      </c>
      <c r="C3" s="632" t="s">
        <v>487</v>
      </c>
      <c r="D3" s="632"/>
      <c r="E3" s="674" t="s">
        <v>488</v>
      </c>
      <c r="F3" s="632" t="s">
        <v>489</v>
      </c>
      <c r="G3" s="674" t="s">
        <v>490</v>
      </c>
      <c r="H3" s="667" t="s">
        <v>491</v>
      </c>
      <c r="I3" s="665" t="s">
        <v>492</v>
      </c>
      <c r="J3" s="662" t="s">
        <v>493</v>
      </c>
      <c r="K3" s="672" t="s">
        <v>483</v>
      </c>
      <c r="L3" s="665" t="s">
        <v>492</v>
      </c>
      <c r="M3" s="662" t="s">
        <v>493</v>
      </c>
      <c r="N3" s="672" t="s">
        <v>483</v>
      </c>
      <c r="O3" s="665" t="s">
        <v>492</v>
      </c>
      <c r="P3" s="672" t="s">
        <v>483</v>
      </c>
      <c r="Q3" s="663" t="s">
        <v>494</v>
      </c>
      <c r="R3" s="641" t="s">
        <v>495</v>
      </c>
      <c r="S3" s="673" t="s">
        <v>29</v>
      </c>
      <c r="T3" s="673"/>
      <c r="U3" s="667" t="s">
        <v>30</v>
      </c>
      <c r="V3" s="667" t="s">
        <v>496</v>
      </c>
      <c r="W3" s="632" t="s">
        <v>497</v>
      </c>
      <c r="X3" s="632"/>
      <c r="Y3" s="668" t="s">
        <v>498</v>
      </c>
      <c r="Z3" s="631"/>
      <c r="AA3" s="669" t="s">
        <v>499</v>
      </c>
      <c r="AB3" s="670"/>
      <c r="AC3" s="668" t="s">
        <v>500</v>
      </c>
      <c r="AD3" s="631"/>
      <c r="AE3" s="662" t="s">
        <v>493</v>
      </c>
      <c r="AF3" s="663" t="s">
        <v>494</v>
      </c>
      <c r="AG3" s="641" t="s">
        <v>495</v>
      </c>
    </row>
    <row r="4" spans="1:33" ht="15.75" customHeight="1">
      <c r="A4" s="632"/>
      <c r="B4" s="632"/>
      <c r="C4" s="632"/>
      <c r="D4" s="632"/>
      <c r="E4" s="675"/>
      <c r="F4" s="632"/>
      <c r="G4" s="675"/>
      <c r="H4" s="667"/>
      <c r="I4" s="665"/>
      <c r="J4" s="662"/>
      <c r="K4" s="672"/>
      <c r="L4" s="665"/>
      <c r="M4" s="662"/>
      <c r="N4" s="672"/>
      <c r="O4" s="665"/>
      <c r="P4" s="672"/>
      <c r="Q4" s="663"/>
      <c r="R4" s="641"/>
      <c r="S4" s="152" t="s">
        <v>39</v>
      </c>
      <c r="T4" s="152" t="s">
        <v>40</v>
      </c>
      <c r="U4" s="667"/>
      <c r="V4" s="667"/>
      <c r="W4" s="145" t="s">
        <v>501</v>
      </c>
      <c r="X4" s="145" t="s">
        <v>502</v>
      </c>
      <c r="Y4" s="140" t="s">
        <v>458</v>
      </c>
      <c r="Z4" s="140" t="s">
        <v>503</v>
      </c>
      <c r="AA4" s="671"/>
      <c r="AB4" s="670"/>
      <c r="AC4" s="140" t="s">
        <v>504</v>
      </c>
      <c r="AD4" s="140" t="s">
        <v>505</v>
      </c>
      <c r="AE4" s="662"/>
      <c r="AF4" s="663"/>
      <c r="AG4" s="641"/>
    </row>
    <row r="5" spans="1:33">
      <c r="A5" s="664" t="s">
        <v>506</v>
      </c>
      <c r="B5" s="42" t="s">
        <v>92</v>
      </c>
      <c r="C5" s="666" t="s">
        <v>93</v>
      </c>
      <c r="D5" s="666"/>
      <c r="E5" s="42">
        <v>50.92</v>
      </c>
      <c r="F5" s="152">
        <v>2352</v>
      </c>
      <c r="G5" s="145">
        <f t="shared" ref="G5:G8" si="0">E5*F5</f>
        <v>119763.84000000001</v>
      </c>
      <c r="H5" s="37" t="s">
        <v>91</v>
      </c>
      <c r="I5" s="150">
        <v>15</v>
      </c>
      <c r="J5" s="39">
        <v>2000</v>
      </c>
      <c r="K5" s="17">
        <f t="shared" ref="K5:K68" si="1">J5/I5</f>
        <v>133.33333333333334</v>
      </c>
      <c r="L5" s="150">
        <v>15</v>
      </c>
      <c r="M5" s="18">
        <f t="shared" ref="M5:M8" si="2">F5/V5*60</f>
        <v>1907.0270270270257</v>
      </c>
      <c r="N5" s="17">
        <f t="shared" ref="N5:N68" si="3">M5/L5</f>
        <v>127.13513513513504</v>
      </c>
      <c r="O5" s="19">
        <f t="shared" ref="O5:O68" si="4">L5-I5</f>
        <v>0</v>
      </c>
      <c r="P5" s="20">
        <f t="shared" ref="P5:P68" si="5">N5-K5</f>
        <v>-6.1981981981982983</v>
      </c>
      <c r="Q5" s="146">
        <f t="shared" ref="Q5:Q68" si="6">N5/K5</f>
        <v>0.95351351351351277</v>
      </c>
      <c r="R5" s="637">
        <f>Q9</f>
        <v>0.96023497024373561</v>
      </c>
      <c r="S5" s="40">
        <v>0.70833333333333337</v>
      </c>
      <c r="T5" s="40">
        <v>0.7597222222222223</v>
      </c>
      <c r="U5" s="145"/>
      <c r="V5" s="151">
        <f t="shared" ref="V5:V8" si="7">(T5-S5)*24*60</f>
        <v>74.000000000000057</v>
      </c>
      <c r="W5" s="23"/>
      <c r="X5" s="23"/>
      <c r="Y5" s="24"/>
      <c r="Z5" s="24"/>
      <c r="AA5" s="632"/>
      <c r="AB5" s="632"/>
      <c r="AC5" s="25">
        <v>4</v>
      </c>
      <c r="AD5" s="25"/>
      <c r="AE5" s="19">
        <f t="shared" ref="AE5:AE64" si="8">M5-J5</f>
        <v>-92.972972972974276</v>
      </c>
      <c r="AF5" s="146">
        <f t="shared" ref="AF5:AF68" si="9">M5/J5</f>
        <v>0.95351351351351288</v>
      </c>
      <c r="AG5" s="637">
        <f>AF9</f>
        <v>0.96023497024373572</v>
      </c>
    </row>
    <row r="6" spans="1:33">
      <c r="A6" s="665" t="s">
        <v>507</v>
      </c>
      <c r="B6" s="42" t="s">
        <v>92</v>
      </c>
      <c r="C6" s="666" t="s">
        <v>94</v>
      </c>
      <c r="D6" s="666"/>
      <c r="E6" s="42">
        <v>50.98</v>
      </c>
      <c r="F6" s="152">
        <v>1000</v>
      </c>
      <c r="G6" s="145">
        <f t="shared" si="0"/>
        <v>50980</v>
      </c>
      <c r="H6" s="37">
        <v>2</v>
      </c>
      <c r="I6" s="150">
        <v>16</v>
      </c>
      <c r="J6" s="39">
        <v>2000</v>
      </c>
      <c r="K6" s="17">
        <f t="shared" si="1"/>
        <v>125</v>
      </c>
      <c r="L6" s="150">
        <v>16</v>
      </c>
      <c r="M6" s="18">
        <f t="shared" si="2"/>
        <v>1935.483870967739</v>
      </c>
      <c r="N6" s="17">
        <f t="shared" si="3"/>
        <v>120.96774193548369</v>
      </c>
      <c r="O6" s="19">
        <f t="shared" si="4"/>
        <v>0</v>
      </c>
      <c r="P6" s="20">
        <f t="shared" si="5"/>
        <v>-4.0322580645163129</v>
      </c>
      <c r="Q6" s="146">
        <f t="shared" si="6"/>
        <v>0.96774193548386944</v>
      </c>
      <c r="R6" s="637"/>
      <c r="S6" s="40">
        <v>0.76527777777777783</v>
      </c>
      <c r="T6" s="40">
        <v>0.78680555555555565</v>
      </c>
      <c r="U6" s="145">
        <f t="shared" ref="U6:U8" si="10">IF(S6=TIME(17,0,0),"",(S6-T5)*24*60)</f>
        <v>7.9999999999999716</v>
      </c>
      <c r="V6" s="151">
        <f t="shared" si="7"/>
        <v>31.00000000000005</v>
      </c>
      <c r="W6" s="23"/>
      <c r="X6" s="23"/>
      <c r="Y6" s="23"/>
      <c r="Z6" s="23"/>
      <c r="AA6" s="632"/>
      <c r="AB6" s="632"/>
      <c r="AC6" s="25"/>
      <c r="AD6" s="25"/>
      <c r="AE6" s="19">
        <f t="shared" si="8"/>
        <v>-64.516129032261006</v>
      </c>
      <c r="AF6" s="146">
        <f t="shared" si="9"/>
        <v>0.96774193548386944</v>
      </c>
      <c r="AG6" s="637"/>
    </row>
    <row r="7" spans="1:33">
      <c r="A7" s="665" t="s">
        <v>506</v>
      </c>
      <c r="B7" s="42" t="s">
        <v>92</v>
      </c>
      <c r="C7" s="660" t="s">
        <v>109</v>
      </c>
      <c r="D7" s="661"/>
      <c r="E7" s="42">
        <v>50.49</v>
      </c>
      <c r="F7" s="152">
        <v>1982</v>
      </c>
      <c r="G7" s="145">
        <f t="shared" si="0"/>
        <v>100071.18000000001</v>
      </c>
      <c r="H7" s="37" t="s">
        <v>91</v>
      </c>
      <c r="I7" s="150">
        <v>15</v>
      </c>
      <c r="J7" s="39">
        <v>2000</v>
      </c>
      <c r="K7" s="17">
        <f t="shared" si="1"/>
        <v>133.33333333333334</v>
      </c>
      <c r="L7" s="150">
        <v>15</v>
      </c>
      <c r="M7" s="18">
        <f t="shared" si="2"/>
        <v>1918.064516129034</v>
      </c>
      <c r="N7" s="17">
        <f t="shared" si="3"/>
        <v>127.8709677419356</v>
      </c>
      <c r="O7" s="19">
        <f t="shared" si="4"/>
        <v>0</v>
      </c>
      <c r="P7" s="20">
        <f t="shared" si="5"/>
        <v>-5.4623655913977416</v>
      </c>
      <c r="Q7" s="146">
        <f t="shared" si="6"/>
        <v>0.95903225806451697</v>
      </c>
      <c r="R7" s="637"/>
      <c r="S7" s="40">
        <v>0.79027777777777786</v>
      </c>
      <c r="T7" s="40">
        <v>0.83333333333333337</v>
      </c>
      <c r="U7" s="145">
        <f t="shared" si="10"/>
        <v>4.9999999999999822</v>
      </c>
      <c r="V7" s="151">
        <f t="shared" si="7"/>
        <v>61.999999999999943</v>
      </c>
      <c r="W7" s="23">
        <f>T7</f>
        <v>0.83333333333333337</v>
      </c>
      <c r="X7" s="23">
        <f>S8</f>
        <v>0.87361111111111112</v>
      </c>
      <c r="Y7" s="26"/>
      <c r="Z7" s="26"/>
      <c r="AA7" s="627"/>
      <c r="AB7" s="628"/>
      <c r="AC7" s="27"/>
      <c r="AD7" s="27"/>
      <c r="AE7" s="19">
        <f t="shared" si="8"/>
        <v>-81.935483870965982</v>
      </c>
      <c r="AF7" s="146">
        <f t="shared" si="9"/>
        <v>0.95903225806451697</v>
      </c>
      <c r="AG7" s="637"/>
    </row>
    <row r="8" spans="1:33">
      <c r="A8" s="665" t="s">
        <v>506</v>
      </c>
      <c r="B8" s="42" t="s">
        <v>92</v>
      </c>
      <c r="C8" s="660" t="s">
        <v>94</v>
      </c>
      <c r="D8" s="661"/>
      <c r="E8" s="42">
        <v>50.98</v>
      </c>
      <c r="F8" s="152">
        <v>1473</v>
      </c>
      <c r="G8" s="145">
        <f t="shared" si="0"/>
        <v>75093.539999999994</v>
      </c>
      <c r="H8" s="37" t="s">
        <v>91</v>
      </c>
      <c r="I8" s="150">
        <v>16</v>
      </c>
      <c r="J8" s="39">
        <v>2000</v>
      </c>
      <c r="K8" s="17">
        <f t="shared" si="1"/>
        <v>125</v>
      </c>
      <c r="L8" s="150">
        <v>16</v>
      </c>
      <c r="M8" s="18">
        <f t="shared" si="2"/>
        <v>1921.304347826087</v>
      </c>
      <c r="N8" s="17">
        <f t="shared" si="3"/>
        <v>120.08152173913044</v>
      </c>
      <c r="O8" s="19">
        <f t="shared" si="4"/>
        <v>0</v>
      </c>
      <c r="P8" s="20">
        <f t="shared" si="5"/>
        <v>-4.9184782608695627</v>
      </c>
      <c r="Q8" s="146">
        <f t="shared" si="6"/>
        <v>0.96065217391304347</v>
      </c>
      <c r="R8" s="637"/>
      <c r="S8" s="40">
        <v>0.87361111111111112</v>
      </c>
      <c r="T8" s="40">
        <v>0.90555555555555556</v>
      </c>
      <c r="U8" s="145">
        <f t="shared" si="10"/>
        <v>57.999999999999957</v>
      </c>
      <c r="V8" s="151">
        <f t="shared" si="7"/>
        <v>46</v>
      </c>
      <c r="W8" s="28"/>
      <c r="X8" s="28"/>
      <c r="Y8" s="136"/>
      <c r="Z8" s="136"/>
      <c r="AA8" s="627"/>
      <c r="AB8" s="628"/>
      <c r="AC8" s="27"/>
      <c r="AD8" s="27"/>
      <c r="AE8" s="19">
        <f t="shared" si="8"/>
        <v>-78.695652173913004</v>
      </c>
      <c r="AF8" s="146">
        <f t="shared" si="9"/>
        <v>0.96065217391304347</v>
      </c>
      <c r="AG8" s="637"/>
    </row>
    <row r="9" spans="1:33">
      <c r="A9" s="665" t="s">
        <v>506</v>
      </c>
      <c r="B9" s="42" t="s">
        <v>508</v>
      </c>
      <c r="C9" s="638"/>
      <c r="D9" s="638"/>
      <c r="E9" s="147"/>
      <c r="F9" s="44"/>
      <c r="G9" s="17"/>
      <c r="H9" s="152"/>
      <c r="I9" s="29">
        <v>15.5</v>
      </c>
      <c r="J9" s="39">
        <v>2000</v>
      </c>
      <c r="K9" s="17">
        <f t="shared" si="1"/>
        <v>129.03225806451613</v>
      </c>
      <c r="L9" s="29">
        <v>15.5</v>
      </c>
      <c r="M9" s="18">
        <f>AVERAGE(M5:M8)</f>
        <v>1920.4699404874714</v>
      </c>
      <c r="N9" s="17">
        <f t="shared" si="3"/>
        <v>123.90128648306266</v>
      </c>
      <c r="O9" s="19">
        <f t="shared" si="4"/>
        <v>0</v>
      </c>
      <c r="P9" s="20">
        <f t="shared" si="5"/>
        <v>-5.1309715814534655</v>
      </c>
      <c r="Q9" s="146">
        <f t="shared" si="6"/>
        <v>0.96023497024373561</v>
      </c>
      <c r="R9" s="637"/>
      <c r="S9" s="40"/>
      <c r="T9" s="40"/>
      <c r="U9" s="145"/>
      <c r="V9" s="151"/>
      <c r="W9" s="17"/>
      <c r="X9" s="17"/>
      <c r="Y9" s="30">
        <f>SUM(Y5:Y8)</f>
        <v>0</v>
      </c>
      <c r="Z9" s="30">
        <f>SUM(Z5:Z8)</f>
        <v>0</v>
      </c>
      <c r="AA9" s="631"/>
      <c r="AB9" s="631"/>
      <c r="AC9" s="30">
        <v>4</v>
      </c>
      <c r="AD9" s="30">
        <f>SUM(AD5:AD8)</f>
        <v>0</v>
      </c>
      <c r="AE9" s="19">
        <f t="shared" si="8"/>
        <v>-79.530059512528624</v>
      </c>
      <c r="AF9" s="146">
        <f t="shared" si="9"/>
        <v>0.96023497024373572</v>
      </c>
      <c r="AG9" s="637"/>
    </row>
    <row r="10" spans="1:33" ht="15.75" customHeight="1">
      <c r="A10" s="659" t="s">
        <v>509</v>
      </c>
      <c r="B10" s="42" t="s">
        <v>96</v>
      </c>
      <c r="C10" s="660" t="s">
        <v>97</v>
      </c>
      <c r="D10" s="661"/>
      <c r="E10" s="42">
        <v>39.799999999999997</v>
      </c>
      <c r="F10" s="152">
        <v>4000</v>
      </c>
      <c r="G10" s="145">
        <f t="shared" ref="G10:G14" si="11">E10*F10</f>
        <v>159200</v>
      </c>
      <c r="H10" s="37">
        <v>2</v>
      </c>
      <c r="I10" s="150">
        <v>17</v>
      </c>
      <c r="J10" s="39">
        <v>1500</v>
      </c>
      <c r="K10" s="17">
        <f t="shared" si="1"/>
        <v>88.235294117647058</v>
      </c>
      <c r="L10" s="150">
        <v>17</v>
      </c>
      <c r="M10" s="18">
        <f t="shared" ref="M10:M14" si="12">F10/V10*60</f>
        <v>1428.5714285714287</v>
      </c>
      <c r="N10" s="17">
        <f t="shared" si="3"/>
        <v>84.033613445378151</v>
      </c>
      <c r="O10" s="19">
        <f t="shared" si="4"/>
        <v>0</v>
      </c>
      <c r="P10" s="20">
        <f t="shared" si="5"/>
        <v>-4.2016806722689068</v>
      </c>
      <c r="Q10" s="146">
        <f t="shared" si="6"/>
        <v>0.95238095238095244</v>
      </c>
      <c r="R10" s="637">
        <f>Q15</f>
        <v>0.95432954625725497</v>
      </c>
      <c r="S10" s="40">
        <v>8.3333333333333329E-2</v>
      </c>
      <c r="T10" s="40">
        <v>0.19999999999999998</v>
      </c>
      <c r="U10" s="145"/>
      <c r="V10" s="151">
        <f t="shared" ref="V10:V14" si="13">(T10-S10)*24*60</f>
        <v>168</v>
      </c>
      <c r="W10" s="23">
        <f>T10</f>
        <v>0.19999999999999998</v>
      </c>
      <c r="X10" s="23">
        <f>S11</f>
        <v>0.21805555555555553</v>
      </c>
      <c r="Y10" s="23"/>
      <c r="Z10" s="23"/>
      <c r="AA10" s="632"/>
      <c r="AB10" s="632"/>
      <c r="AC10" s="25">
        <v>5</v>
      </c>
      <c r="AD10" s="25"/>
      <c r="AE10" s="19">
        <f t="shared" si="8"/>
        <v>-71.428571428571331</v>
      </c>
      <c r="AF10" s="146">
        <f t="shared" si="9"/>
        <v>0.95238095238095244</v>
      </c>
      <c r="AG10" s="637">
        <f>AF15</f>
        <v>0.95432954625725486</v>
      </c>
    </row>
    <row r="11" spans="1:33" ht="15.75" customHeight="1">
      <c r="A11" s="659" t="s">
        <v>509</v>
      </c>
      <c r="B11" s="42" t="s">
        <v>96</v>
      </c>
      <c r="C11" s="660" t="s">
        <v>98</v>
      </c>
      <c r="D11" s="661"/>
      <c r="E11" s="42">
        <v>39.46</v>
      </c>
      <c r="F11" s="152">
        <v>2698</v>
      </c>
      <c r="G11" s="145">
        <f t="shared" si="11"/>
        <v>106463.08</v>
      </c>
      <c r="H11" s="37" t="s">
        <v>91</v>
      </c>
      <c r="I11" s="150">
        <v>15</v>
      </c>
      <c r="J11" s="39">
        <v>1500</v>
      </c>
      <c r="K11" s="17">
        <f t="shared" si="1"/>
        <v>100</v>
      </c>
      <c r="L11" s="150">
        <v>15</v>
      </c>
      <c r="M11" s="18">
        <f t="shared" si="12"/>
        <v>1432.5663716814163</v>
      </c>
      <c r="N11" s="17">
        <f t="shared" si="3"/>
        <v>95.504424778761091</v>
      </c>
      <c r="O11" s="19">
        <f t="shared" si="4"/>
        <v>0</v>
      </c>
      <c r="P11" s="20">
        <f t="shared" si="5"/>
        <v>-4.4955752212389086</v>
      </c>
      <c r="Q11" s="146">
        <f t="shared" si="6"/>
        <v>0.95504424778761088</v>
      </c>
      <c r="R11" s="637"/>
      <c r="S11" s="40">
        <v>0.21805555555555553</v>
      </c>
      <c r="T11" s="40">
        <v>0.29652777777777772</v>
      </c>
      <c r="U11" s="145">
        <f t="shared" ref="U11:U14" si="14">IF(S11=TIME(17,0,0),"",(S11-T10)*24*60)</f>
        <v>25.999999999999986</v>
      </c>
      <c r="V11" s="151">
        <f t="shared" si="13"/>
        <v>112.99999999999996</v>
      </c>
      <c r="W11" s="23"/>
      <c r="X11" s="23"/>
      <c r="Y11" s="23"/>
      <c r="Z11" s="23"/>
      <c r="AA11" s="632"/>
      <c r="AB11" s="632"/>
      <c r="AC11" s="25"/>
      <c r="AD11" s="25"/>
      <c r="AE11" s="19">
        <f t="shared" si="8"/>
        <v>-67.433628318583715</v>
      </c>
      <c r="AF11" s="146">
        <f t="shared" si="9"/>
        <v>0.95504424778761088</v>
      </c>
      <c r="AG11" s="637"/>
    </row>
    <row r="12" spans="1:33" ht="15.75" customHeight="1">
      <c r="A12" s="659" t="s">
        <v>509</v>
      </c>
      <c r="B12" s="42" t="s">
        <v>96</v>
      </c>
      <c r="C12" s="660" t="s">
        <v>99</v>
      </c>
      <c r="D12" s="661"/>
      <c r="E12" s="42">
        <v>39.520000000000003</v>
      </c>
      <c r="F12" s="152">
        <v>2330</v>
      </c>
      <c r="G12" s="145">
        <f t="shared" si="11"/>
        <v>92081.600000000006</v>
      </c>
      <c r="H12" s="37" t="s">
        <v>91</v>
      </c>
      <c r="I12" s="150">
        <v>19</v>
      </c>
      <c r="J12" s="39">
        <v>1500</v>
      </c>
      <c r="K12" s="17">
        <f t="shared" si="1"/>
        <v>78.94736842105263</v>
      </c>
      <c r="L12" s="150">
        <v>19</v>
      </c>
      <c r="M12" s="18">
        <f t="shared" si="12"/>
        <v>1426.5306122448985</v>
      </c>
      <c r="N12" s="17">
        <f t="shared" si="3"/>
        <v>75.080558539205185</v>
      </c>
      <c r="O12" s="19">
        <f t="shared" si="4"/>
        <v>0</v>
      </c>
      <c r="P12" s="20">
        <f t="shared" si="5"/>
        <v>-3.8668098818474448</v>
      </c>
      <c r="Q12" s="146">
        <f t="shared" si="6"/>
        <v>0.95102040816326572</v>
      </c>
      <c r="R12" s="637"/>
      <c r="S12" s="40">
        <v>0.29999999999999993</v>
      </c>
      <c r="T12" s="40">
        <v>0.36805555555555547</v>
      </c>
      <c r="U12" s="145">
        <f t="shared" si="14"/>
        <v>4.9999999999999822</v>
      </c>
      <c r="V12" s="151">
        <f t="shared" si="13"/>
        <v>97.999999999999972</v>
      </c>
      <c r="W12" s="23"/>
      <c r="X12" s="23"/>
      <c r="Y12" s="23"/>
      <c r="Z12" s="23"/>
      <c r="AA12" s="632"/>
      <c r="AB12" s="632"/>
      <c r="AC12" s="25"/>
      <c r="AD12" s="25"/>
      <c r="AE12" s="19">
        <f t="shared" si="8"/>
        <v>-73.469387755101479</v>
      </c>
      <c r="AF12" s="146">
        <f t="shared" si="9"/>
        <v>0.95102040816326572</v>
      </c>
      <c r="AG12" s="637"/>
    </row>
    <row r="13" spans="1:33" ht="15.75" customHeight="1">
      <c r="A13" s="659" t="s">
        <v>509</v>
      </c>
      <c r="B13" s="42" t="s">
        <v>96</v>
      </c>
      <c r="C13" s="660" t="s">
        <v>100</v>
      </c>
      <c r="D13" s="661"/>
      <c r="E13" s="42">
        <v>39.619999999999997</v>
      </c>
      <c r="F13" s="152">
        <v>4869</v>
      </c>
      <c r="G13" s="145">
        <f t="shared" si="11"/>
        <v>192909.78</v>
      </c>
      <c r="H13" s="37" t="s">
        <v>91</v>
      </c>
      <c r="I13" s="150">
        <v>19</v>
      </c>
      <c r="J13" s="39">
        <v>1500</v>
      </c>
      <c r="K13" s="17">
        <f t="shared" si="1"/>
        <v>78.94736842105263</v>
      </c>
      <c r="L13" s="150">
        <v>19</v>
      </c>
      <c r="M13" s="18">
        <f t="shared" si="12"/>
        <v>1432.0588235294124</v>
      </c>
      <c r="N13" s="17">
        <f t="shared" si="3"/>
        <v>75.371517027863817</v>
      </c>
      <c r="O13" s="19">
        <f t="shared" si="4"/>
        <v>0</v>
      </c>
      <c r="P13" s="20">
        <f t="shared" si="5"/>
        <v>-3.5758513931888132</v>
      </c>
      <c r="Q13" s="146">
        <f t="shared" si="6"/>
        <v>0.95470588235294174</v>
      </c>
      <c r="R13" s="637"/>
      <c r="S13" s="40">
        <v>0.37152777777777768</v>
      </c>
      <c r="T13" s="40">
        <v>0.51319444444444429</v>
      </c>
      <c r="U13" s="145">
        <f t="shared" si="14"/>
        <v>4.9999999999999822</v>
      </c>
      <c r="V13" s="151">
        <f t="shared" si="13"/>
        <v>203.99999999999991</v>
      </c>
      <c r="W13" s="23">
        <f>T13</f>
        <v>0.51319444444444429</v>
      </c>
      <c r="X13" s="23">
        <f>S14</f>
        <v>0.55347222222222203</v>
      </c>
      <c r="Y13" s="23"/>
      <c r="Z13" s="23"/>
      <c r="AA13" s="627"/>
      <c r="AB13" s="628"/>
      <c r="AC13" s="25"/>
      <c r="AD13" s="25"/>
      <c r="AE13" s="19">
        <f t="shared" si="8"/>
        <v>-67.941176470587607</v>
      </c>
      <c r="AF13" s="146">
        <f t="shared" si="9"/>
        <v>0.95470588235294163</v>
      </c>
      <c r="AG13" s="637"/>
    </row>
    <row r="14" spans="1:33" ht="15.75" customHeight="1">
      <c r="A14" s="659" t="s">
        <v>509</v>
      </c>
      <c r="B14" s="42" t="s">
        <v>96</v>
      </c>
      <c r="C14" s="660" t="s">
        <v>97</v>
      </c>
      <c r="D14" s="661"/>
      <c r="E14" s="42">
        <v>39.799999999999997</v>
      </c>
      <c r="F14" s="152">
        <v>3187</v>
      </c>
      <c r="G14" s="145">
        <f t="shared" si="11"/>
        <v>126842.59999999999</v>
      </c>
      <c r="H14" s="37" t="s">
        <v>91</v>
      </c>
      <c r="I14" s="150">
        <v>17</v>
      </c>
      <c r="J14" s="39">
        <v>1500</v>
      </c>
      <c r="K14" s="17">
        <f t="shared" si="1"/>
        <v>88.235294117647058</v>
      </c>
      <c r="L14" s="150">
        <v>17</v>
      </c>
      <c r="M14" s="18">
        <f t="shared" si="12"/>
        <v>1437.7443609022557</v>
      </c>
      <c r="N14" s="17">
        <f t="shared" si="3"/>
        <v>84.573197700132695</v>
      </c>
      <c r="O14" s="19">
        <f t="shared" si="4"/>
        <v>0</v>
      </c>
      <c r="P14" s="20">
        <f t="shared" si="5"/>
        <v>-3.6620964175143627</v>
      </c>
      <c r="Q14" s="146">
        <f t="shared" si="6"/>
        <v>0.95849624060150385</v>
      </c>
      <c r="R14" s="637"/>
      <c r="S14" s="40">
        <v>0.55347222222222203</v>
      </c>
      <c r="T14" s="40">
        <v>0.64583333333333315</v>
      </c>
      <c r="U14" s="145">
        <f t="shared" si="14"/>
        <v>57.999999999999957</v>
      </c>
      <c r="V14" s="151">
        <f t="shared" si="13"/>
        <v>133</v>
      </c>
      <c r="W14" s="23"/>
      <c r="X14" s="23"/>
      <c r="Y14" s="26"/>
      <c r="Z14" s="26"/>
      <c r="AA14" s="627"/>
      <c r="AB14" s="628"/>
      <c r="AC14" s="25"/>
      <c r="AD14" s="25"/>
      <c r="AE14" s="19">
        <f t="shared" si="8"/>
        <v>-62.255639097744279</v>
      </c>
      <c r="AF14" s="146">
        <f t="shared" si="9"/>
        <v>0.95849624060150385</v>
      </c>
      <c r="AG14" s="637"/>
    </row>
    <row r="15" spans="1:33" ht="16.5" customHeight="1">
      <c r="A15" s="659" t="s">
        <v>509</v>
      </c>
      <c r="B15" s="42" t="s">
        <v>510</v>
      </c>
      <c r="C15" s="638"/>
      <c r="D15" s="638"/>
      <c r="E15" s="147"/>
      <c r="F15" s="39"/>
      <c r="G15" s="18"/>
      <c r="H15" s="152"/>
      <c r="I15" s="29">
        <v>17.399999999999999</v>
      </c>
      <c r="J15" s="39">
        <v>1500</v>
      </c>
      <c r="K15" s="17">
        <f t="shared" si="1"/>
        <v>86.206896551724142</v>
      </c>
      <c r="L15" s="29">
        <v>17.399999999999999</v>
      </c>
      <c r="M15" s="18">
        <f>AVERAGE(M10:M14)</f>
        <v>1431.4943193858824</v>
      </c>
      <c r="N15" s="17">
        <f t="shared" si="3"/>
        <v>82.269788470453022</v>
      </c>
      <c r="O15" s="19">
        <f t="shared" si="4"/>
        <v>0</v>
      </c>
      <c r="P15" s="20">
        <f t="shared" si="5"/>
        <v>-3.9371080812711199</v>
      </c>
      <c r="Q15" s="146">
        <f t="shared" si="6"/>
        <v>0.95432954625725497</v>
      </c>
      <c r="R15" s="637"/>
      <c r="S15" s="40"/>
      <c r="T15" s="40"/>
      <c r="U15" s="17"/>
      <c r="V15" s="151"/>
      <c r="W15" s="17"/>
      <c r="X15" s="17"/>
      <c r="Y15" s="30">
        <f>SUM(Y10:Y14)</f>
        <v>0</v>
      </c>
      <c r="Z15" s="30">
        <f>SUM(Z10:Z14)</f>
        <v>0</v>
      </c>
      <c r="AA15" s="631"/>
      <c r="AB15" s="631"/>
      <c r="AC15" s="30">
        <v>5</v>
      </c>
      <c r="AD15" s="30">
        <f>SUM(AD10:AD14)</f>
        <v>0</v>
      </c>
      <c r="AE15" s="19">
        <f t="shared" si="8"/>
        <v>-68.505680614117637</v>
      </c>
      <c r="AF15" s="146">
        <f t="shared" si="9"/>
        <v>0.95432954625725486</v>
      </c>
      <c r="AG15" s="637"/>
    </row>
    <row r="16" spans="1:33" ht="16.5" customHeight="1">
      <c r="A16" s="657" t="s">
        <v>511</v>
      </c>
      <c r="B16" s="152" t="s">
        <v>101</v>
      </c>
      <c r="C16" s="653" t="s">
        <v>102</v>
      </c>
      <c r="D16" s="653"/>
      <c r="E16" s="42">
        <v>31.11</v>
      </c>
      <c r="F16" s="152">
        <v>3749</v>
      </c>
      <c r="G16" s="145">
        <f t="shared" ref="G16:G23" si="15">E16*F16</f>
        <v>116631.39</v>
      </c>
      <c r="H16" s="37" t="s">
        <v>91</v>
      </c>
      <c r="I16" s="150">
        <v>14</v>
      </c>
      <c r="J16" s="39">
        <v>2000</v>
      </c>
      <c r="K16" s="17">
        <f t="shared" si="1"/>
        <v>142.85714285714286</v>
      </c>
      <c r="L16" s="150">
        <v>14</v>
      </c>
      <c r="M16" s="18">
        <f t="shared" ref="M16:M23" si="16">F16/V16*60</f>
        <v>1906.2711864406776</v>
      </c>
      <c r="N16" s="17">
        <f t="shared" si="3"/>
        <v>136.16222760290555</v>
      </c>
      <c r="O16" s="19">
        <f t="shared" si="4"/>
        <v>0</v>
      </c>
      <c r="P16" s="20">
        <f t="shared" si="5"/>
        <v>-6.6949152542373156</v>
      </c>
      <c r="Q16" s="146">
        <f t="shared" si="6"/>
        <v>0.95313559322033881</v>
      </c>
      <c r="R16" s="637">
        <f>Q24</f>
        <v>0.96040785439236831</v>
      </c>
      <c r="S16" s="40">
        <v>0.20833333333333334</v>
      </c>
      <c r="T16" s="40">
        <v>0.2902777777777778</v>
      </c>
      <c r="U16" s="145"/>
      <c r="V16" s="151">
        <f t="shared" ref="V16:V23" si="17">(T16-S16)*24*60</f>
        <v>118.00000000000001</v>
      </c>
      <c r="W16" s="23"/>
      <c r="X16" s="23"/>
      <c r="Y16" s="28"/>
      <c r="Z16" s="28"/>
      <c r="AA16" s="632"/>
      <c r="AB16" s="632"/>
      <c r="AC16" s="25">
        <v>8</v>
      </c>
      <c r="AD16" s="25"/>
      <c r="AE16" s="19">
        <f t="shared" si="8"/>
        <v>-93.728813559322361</v>
      </c>
      <c r="AF16" s="146">
        <f t="shared" si="9"/>
        <v>0.95313559322033881</v>
      </c>
      <c r="AG16" s="637">
        <f>AF24</f>
        <v>0.96040785439236831</v>
      </c>
    </row>
    <row r="17" spans="1:33" ht="16.5" customHeight="1">
      <c r="A17" s="658" t="s">
        <v>511</v>
      </c>
      <c r="B17" s="152" t="s">
        <v>103</v>
      </c>
      <c r="C17" s="653" t="s">
        <v>104</v>
      </c>
      <c r="D17" s="653"/>
      <c r="E17" s="42">
        <v>38.619999999999997</v>
      </c>
      <c r="F17" s="152">
        <v>2261</v>
      </c>
      <c r="G17" s="145">
        <f t="shared" si="15"/>
        <v>87319.819999999992</v>
      </c>
      <c r="H17" s="37" t="s">
        <v>91</v>
      </c>
      <c r="I17" s="150">
        <v>24</v>
      </c>
      <c r="J17" s="39">
        <v>1500</v>
      </c>
      <c r="K17" s="17">
        <f t="shared" si="1"/>
        <v>62.5</v>
      </c>
      <c r="L17" s="150">
        <v>24</v>
      </c>
      <c r="M17" s="18">
        <f t="shared" si="16"/>
        <v>1443.1914893617022</v>
      </c>
      <c r="N17" s="17">
        <f t="shared" si="3"/>
        <v>60.132978723404257</v>
      </c>
      <c r="O17" s="19">
        <f t="shared" si="4"/>
        <v>0</v>
      </c>
      <c r="P17" s="20">
        <f t="shared" si="5"/>
        <v>-2.367021276595743</v>
      </c>
      <c r="Q17" s="146">
        <f t="shared" si="6"/>
        <v>0.96212765957446811</v>
      </c>
      <c r="R17" s="637"/>
      <c r="S17" s="40">
        <v>0.29375000000000001</v>
      </c>
      <c r="T17" s="40">
        <v>0.35902777777777778</v>
      </c>
      <c r="U17" s="145">
        <f t="shared" ref="U17:U23" si="18">IF(S17=TIME(17,0,0),"",(S17-T16)*24*60)</f>
        <v>4.9999999999999822</v>
      </c>
      <c r="V17" s="151">
        <f t="shared" si="17"/>
        <v>93.999999999999986</v>
      </c>
      <c r="W17" s="23"/>
      <c r="X17" s="23"/>
      <c r="Y17" s="23"/>
      <c r="Z17" s="23"/>
      <c r="AA17" s="632"/>
      <c r="AB17" s="632"/>
      <c r="AC17" s="25"/>
      <c r="AD17" s="25"/>
      <c r="AE17" s="19">
        <f t="shared" si="8"/>
        <v>-56.808510638297776</v>
      </c>
      <c r="AF17" s="146">
        <f t="shared" si="9"/>
        <v>0.96212765957446811</v>
      </c>
      <c r="AG17" s="637"/>
    </row>
    <row r="18" spans="1:33" ht="16.5" customHeight="1">
      <c r="A18" s="658" t="s">
        <v>511</v>
      </c>
      <c r="B18" s="152" t="s">
        <v>103</v>
      </c>
      <c r="C18" s="653" t="s">
        <v>105</v>
      </c>
      <c r="D18" s="653"/>
      <c r="E18" s="42">
        <v>41</v>
      </c>
      <c r="F18" s="152">
        <v>1850</v>
      </c>
      <c r="G18" s="145">
        <f t="shared" si="15"/>
        <v>75850</v>
      </c>
      <c r="H18" s="37" t="s">
        <v>91</v>
      </c>
      <c r="I18" s="150">
        <v>26</v>
      </c>
      <c r="J18" s="39">
        <v>1500</v>
      </c>
      <c r="K18" s="17">
        <f t="shared" si="1"/>
        <v>57.692307692307693</v>
      </c>
      <c r="L18" s="150">
        <v>26</v>
      </c>
      <c r="M18" s="18">
        <f t="shared" si="16"/>
        <v>1441.5584415584419</v>
      </c>
      <c r="N18" s="17">
        <f t="shared" si="3"/>
        <v>55.444555444555462</v>
      </c>
      <c r="O18" s="19">
        <f t="shared" si="4"/>
        <v>0</v>
      </c>
      <c r="P18" s="20">
        <f t="shared" si="5"/>
        <v>-2.2477522477522314</v>
      </c>
      <c r="Q18" s="146">
        <f t="shared" si="6"/>
        <v>0.96103896103896136</v>
      </c>
      <c r="R18" s="637"/>
      <c r="S18" s="40">
        <v>0.36249999999999999</v>
      </c>
      <c r="T18" s="40">
        <v>0.41597222222222219</v>
      </c>
      <c r="U18" s="145">
        <f t="shared" si="18"/>
        <v>4.9999999999999822</v>
      </c>
      <c r="V18" s="151">
        <f t="shared" si="17"/>
        <v>76.999999999999972</v>
      </c>
      <c r="W18" s="23"/>
      <c r="X18" s="23"/>
      <c r="Y18" s="23"/>
      <c r="Z18" s="23"/>
      <c r="AA18" s="632"/>
      <c r="AB18" s="632"/>
      <c r="AC18" s="25"/>
      <c r="AD18" s="25"/>
      <c r="AE18" s="19">
        <f t="shared" si="8"/>
        <v>-58.441558441558072</v>
      </c>
      <c r="AF18" s="146">
        <f t="shared" si="9"/>
        <v>0.96103896103896125</v>
      </c>
      <c r="AG18" s="637"/>
    </row>
    <row r="19" spans="1:33" ht="16.5" customHeight="1">
      <c r="A19" s="658" t="s">
        <v>511</v>
      </c>
      <c r="B19" s="152" t="s">
        <v>92</v>
      </c>
      <c r="C19" s="653" t="s">
        <v>106</v>
      </c>
      <c r="D19" s="653"/>
      <c r="E19" s="42">
        <v>37.03</v>
      </c>
      <c r="F19" s="152">
        <v>3446</v>
      </c>
      <c r="G19" s="145">
        <f t="shared" si="15"/>
        <v>127605.38</v>
      </c>
      <c r="H19" s="37" t="s">
        <v>91</v>
      </c>
      <c r="I19" s="150">
        <v>13</v>
      </c>
      <c r="J19" s="39">
        <v>1500</v>
      </c>
      <c r="K19" s="17">
        <f t="shared" si="1"/>
        <v>115.38461538461539</v>
      </c>
      <c r="L19" s="150">
        <v>13</v>
      </c>
      <c r="M19" s="18">
        <f t="shared" si="16"/>
        <v>1435.8333333333337</v>
      </c>
      <c r="N19" s="17">
        <f t="shared" si="3"/>
        <v>110.44871794871798</v>
      </c>
      <c r="O19" s="19">
        <f t="shared" si="4"/>
        <v>0</v>
      </c>
      <c r="P19" s="20">
        <f t="shared" si="5"/>
        <v>-4.9358974358974024</v>
      </c>
      <c r="Q19" s="146">
        <f t="shared" si="6"/>
        <v>0.95722222222222253</v>
      </c>
      <c r="R19" s="637"/>
      <c r="S19" s="40">
        <v>0.42083333333333328</v>
      </c>
      <c r="T19" s="40">
        <v>0.52083333333333326</v>
      </c>
      <c r="U19" s="145">
        <f t="shared" si="18"/>
        <v>6.9999999999999751</v>
      </c>
      <c r="V19" s="151">
        <f t="shared" si="17"/>
        <v>143.99999999999997</v>
      </c>
      <c r="W19" s="23"/>
      <c r="X19" s="23"/>
      <c r="Y19" s="23"/>
      <c r="Z19" s="23"/>
      <c r="AA19" s="632"/>
      <c r="AB19" s="632"/>
      <c r="AC19" s="25"/>
      <c r="AD19" s="25"/>
      <c r="AE19" s="19">
        <f t="shared" si="8"/>
        <v>-64.166666666666288</v>
      </c>
      <c r="AF19" s="146">
        <f t="shared" si="9"/>
        <v>0.95722222222222253</v>
      </c>
      <c r="AG19" s="637"/>
    </row>
    <row r="20" spans="1:33" ht="16.5" customHeight="1">
      <c r="A20" s="658" t="s">
        <v>512</v>
      </c>
      <c r="B20" s="152" t="s">
        <v>92</v>
      </c>
      <c r="C20" s="653" t="s">
        <v>108</v>
      </c>
      <c r="D20" s="653"/>
      <c r="E20" s="42">
        <v>54.5</v>
      </c>
      <c r="F20" s="152">
        <v>1887</v>
      </c>
      <c r="G20" s="145">
        <f t="shared" si="15"/>
        <v>102841.5</v>
      </c>
      <c r="H20" s="37" t="s">
        <v>91</v>
      </c>
      <c r="I20" s="150">
        <v>20</v>
      </c>
      <c r="J20" s="39">
        <v>1500</v>
      </c>
      <c r="K20" s="17">
        <f t="shared" si="1"/>
        <v>75</v>
      </c>
      <c r="L20" s="150">
        <v>20</v>
      </c>
      <c r="M20" s="18">
        <f t="shared" si="16"/>
        <v>1433.1645569620246</v>
      </c>
      <c r="N20" s="17">
        <f t="shared" si="3"/>
        <v>71.658227848101234</v>
      </c>
      <c r="O20" s="19">
        <f t="shared" si="4"/>
        <v>0</v>
      </c>
      <c r="P20" s="20">
        <f t="shared" si="5"/>
        <v>-3.3417721518987662</v>
      </c>
      <c r="Q20" s="146">
        <f t="shared" si="6"/>
        <v>0.95544303797468311</v>
      </c>
      <c r="R20" s="637"/>
      <c r="S20" s="40">
        <v>0.70833333333333337</v>
      </c>
      <c r="T20" s="40">
        <v>0.76319444444444451</v>
      </c>
      <c r="U20" s="145" t="str">
        <f t="shared" si="18"/>
        <v/>
      </c>
      <c r="V20" s="151">
        <f t="shared" si="17"/>
        <v>79.000000000000043</v>
      </c>
      <c r="W20" s="23"/>
      <c r="X20" s="23"/>
      <c r="Y20" s="23"/>
      <c r="Z20" s="23"/>
      <c r="AA20" s="632"/>
      <c r="AB20" s="632"/>
      <c r="AC20" s="25"/>
      <c r="AD20" s="25"/>
      <c r="AE20" s="19">
        <f t="shared" si="8"/>
        <v>-66.835443037975438</v>
      </c>
      <c r="AF20" s="146">
        <f t="shared" si="9"/>
        <v>0.955443037974683</v>
      </c>
      <c r="AG20" s="637"/>
    </row>
    <row r="21" spans="1:33" ht="16.5" customHeight="1">
      <c r="A21" s="658" t="s">
        <v>511</v>
      </c>
      <c r="B21" s="152" t="s">
        <v>92</v>
      </c>
      <c r="C21" s="148" t="s">
        <v>107</v>
      </c>
      <c r="D21" s="149"/>
      <c r="E21" s="42">
        <v>50.67</v>
      </c>
      <c r="F21" s="152">
        <v>1710</v>
      </c>
      <c r="G21" s="145">
        <f t="shared" si="15"/>
        <v>86645.7</v>
      </c>
      <c r="H21" s="37" t="s">
        <v>91</v>
      </c>
      <c r="I21" s="150">
        <v>17</v>
      </c>
      <c r="J21" s="39">
        <v>2000</v>
      </c>
      <c r="K21" s="17">
        <f t="shared" si="1"/>
        <v>117.64705882352941</v>
      </c>
      <c r="L21" s="150">
        <v>17</v>
      </c>
      <c r="M21" s="18">
        <f t="shared" si="16"/>
        <v>1935.8490566037747</v>
      </c>
      <c r="N21" s="17">
        <f t="shared" si="3"/>
        <v>113.87347391786909</v>
      </c>
      <c r="O21" s="19">
        <f t="shared" si="4"/>
        <v>0</v>
      </c>
      <c r="P21" s="20">
        <f t="shared" si="5"/>
        <v>-3.7735849056603143</v>
      </c>
      <c r="Q21" s="146">
        <f t="shared" si="6"/>
        <v>0.96792452830188735</v>
      </c>
      <c r="R21" s="637"/>
      <c r="S21" s="40">
        <v>0.76666666666666672</v>
      </c>
      <c r="T21" s="40">
        <v>0.80347222222222225</v>
      </c>
      <c r="U21" s="145">
        <f t="shared" si="18"/>
        <v>4.9999999999999822</v>
      </c>
      <c r="V21" s="151">
        <f t="shared" si="17"/>
        <v>52.999999999999972</v>
      </c>
      <c r="W21" s="23"/>
      <c r="X21" s="23"/>
      <c r="Y21" s="26"/>
      <c r="Z21" s="26"/>
      <c r="AA21" s="143"/>
      <c r="AB21" s="144"/>
      <c r="AC21" s="25"/>
      <c r="AD21" s="25"/>
      <c r="AE21" s="19">
        <f t="shared" si="8"/>
        <v>-64.15094339622533</v>
      </c>
      <c r="AF21" s="146">
        <f t="shared" si="9"/>
        <v>0.96792452830188735</v>
      </c>
      <c r="AG21" s="637"/>
    </row>
    <row r="22" spans="1:33" ht="16.5" customHeight="1">
      <c r="A22" s="658" t="s">
        <v>511</v>
      </c>
      <c r="B22" s="152" t="s">
        <v>92</v>
      </c>
      <c r="C22" s="148" t="s">
        <v>95</v>
      </c>
      <c r="D22" s="149"/>
      <c r="E22" s="42">
        <v>50.67</v>
      </c>
      <c r="F22" s="152">
        <v>1467</v>
      </c>
      <c r="G22" s="145">
        <f t="shared" si="15"/>
        <v>74332.89</v>
      </c>
      <c r="H22" s="37" t="s">
        <v>91</v>
      </c>
      <c r="I22" s="150">
        <v>15</v>
      </c>
      <c r="J22" s="39">
        <v>2000</v>
      </c>
      <c r="K22" s="17">
        <f t="shared" si="1"/>
        <v>133.33333333333334</v>
      </c>
      <c r="L22" s="150">
        <v>15</v>
      </c>
      <c r="M22" s="18">
        <f t="shared" si="16"/>
        <v>1913.4782608695652</v>
      </c>
      <c r="N22" s="17">
        <f t="shared" si="3"/>
        <v>127.56521739130434</v>
      </c>
      <c r="O22" s="19">
        <f t="shared" si="4"/>
        <v>0</v>
      </c>
      <c r="P22" s="20">
        <f t="shared" si="5"/>
        <v>-5.7681159420289987</v>
      </c>
      <c r="Q22" s="146">
        <f t="shared" si="6"/>
        <v>0.95673913043478254</v>
      </c>
      <c r="R22" s="637"/>
      <c r="S22" s="40">
        <v>0.80763888888888891</v>
      </c>
      <c r="T22" s="40">
        <v>0.83958333333333335</v>
      </c>
      <c r="U22" s="145">
        <f t="shared" si="18"/>
        <v>5.9999999999999787</v>
      </c>
      <c r="V22" s="151">
        <f t="shared" si="17"/>
        <v>46</v>
      </c>
      <c r="W22" s="23">
        <f>T22</f>
        <v>0.83958333333333335</v>
      </c>
      <c r="X22" s="23">
        <f>S23</f>
        <v>0.87986111111111109</v>
      </c>
      <c r="Y22" s="26"/>
      <c r="Z22" s="26"/>
      <c r="AA22" s="143"/>
      <c r="AB22" s="144"/>
      <c r="AC22" s="25"/>
      <c r="AD22" s="25"/>
      <c r="AE22" s="19">
        <f t="shared" si="8"/>
        <v>-86.521739130434753</v>
      </c>
      <c r="AF22" s="146">
        <f t="shared" si="9"/>
        <v>0.95673913043478265</v>
      </c>
      <c r="AG22" s="637"/>
    </row>
    <row r="23" spans="1:33" ht="16.5" customHeight="1">
      <c r="A23" s="658" t="s">
        <v>511</v>
      </c>
      <c r="B23" s="152" t="s">
        <v>92</v>
      </c>
      <c r="C23" s="148" t="s">
        <v>114</v>
      </c>
      <c r="D23" s="149"/>
      <c r="E23" s="42">
        <v>54.09</v>
      </c>
      <c r="F23" s="152">
        <v>1420</v>
      </c>
      <c r="G23" s="145">
        <f t="shared" si="15"/>
        <v>76807.8</v>
      </c>
      <c r="H23" s="37" t="s">
        <v>91</v>
      </c>
      <c r="I23" s="150">
        <v>18</v>
      </c>
      <c r="J23" s="39">
        <v>2000</v>
      </c>
      <c r="K23" s="17">
        <f t="shared" si="1"/>
        <v>111.11111111111111</v>
      </c>
      <c r="L23" s="150">
        <v>18</v>
      </c>
      <c r="M23" s="18">
        <f t="shared" si="16"/>
        <v>1936.3636363636365</v>
      </c>
      <c r="N23" s="17">
        <f t="shared" si="3"/>
        <v>107.57575757575758</v>
      </c>
      <c r="O23" s="19">
        <f t="shared" si="4"/>
        <v>0</v>
      </c>
      <c r="P23" s="20">
        <f t="shared" si="5"/>
        <v>-3.5353535353535364</v>
      </c>
      <c r="Q23" s="146">
        <f t="shared" si="6"/>
        <v>0.96818181818181814</v>
      </c>
      <c r="R23" s="637"/>
      <c r="S23" s="40">
        <v>0.87986111111111109</v>
      </c>
      <c r="T23" s="40">
        <v>0.91041666666666665</v>
      </c>
      <c r="U23" s="145">
        <f t="shared" si="18"/>
        <v>57.999999999999957</v>
      </c>
      <c r="V23" s="151">
        <f t="shared" si="17"/>
        <v>44</v>
      </c>
      <c r="W23" s="23"/>
      <c r="X23" s="23"/>
      <c r="Y23" s="26"/>
      <c r="Z23" s="26"/>
      <c r="AA23" s="143"/>
      <c r="AB23" s="144"/>
      <c r="AC23" s="25"/>
      <c r="AD23" s="25"/>
      <c r="AE23" s="19">
        <f t="shared" si="8"/>
        <v>-63.636363636363512</v>
      </c>
      <c r="AF23" s="146">
        <f t="shared" si="9"/>
        <v>0.96818181818181825</v>
      </c>
      <c r="AG23" s="637"/>
    </row>
    <row r="24" spans="1:33" ht="16.5" customHeight="1">
      <c r="A24" s="658" t="s">
        <v>511</v>
      </c>
      <c r="B24" s="42" t="s">
        <v>508</v>
      </c>
      <c r="C24" s="638"/>
      <c r="D24" s="638"/>
      <c r="E24" s="147"/>
      <c r="F24" s="44"/>
      <c r="G24" s="17"/>
      <c r="H24" s="152"/>
      <c r="I24" s="29">
        <v>18.375</v>
      </c>
      <c r="J24" s="39">
        <v>1750</v>
      </c>
      <c r="K24" s="17">
        <f t="shared" si="1"/>
        <v>95.238095238095241</v>
      </c>
      <c r="L24" s="29">
        <v>18.375</v>
      </c>
      <c r="M24" s="18">
        <f>AVERAGE(M16:M23)</f>
        <v>1680.7137451866445</v>
      </c>
      <c r="N24" s="17">
        <f t="shared" si="3"/>
        <v>91.467414704035079</v>
      </c>
      <c r="O24" s="19">
        <f t="shared" si="4"/>
        <v>0</v>
      </c>
      <c r="P24" s="20">
        <f t="shared" si="5"/>
        <v>-3.7706805340601619</v>
      </c>
      <c r="Q24" s="146">
        <f t="shared" si="6"/>
        <v>0.96040785439236831</v>
      </c>
      <c r="R24" s="637"/>
      <c r="S24" s="40"/>
      <c r="T24" s="40"/>
      <c r="U24" s="145"/>
      <c r="V24" s="151"/>
      <c r="W24" s="17"/>
      <c r="X24" s="17"/>
      <c r="Y24" s="30">
        <f>SUM(Y16:Y23)</f>
        <v>0</v>
      </c>
      <c r="Z24" s="30">
        <f>SUM(Z16:Z23)</f>
        <v>0</v>
      </c>
      <c r="AA24" s="631"/>
      <c r="AB24" s="631"/>
      <c r="AC24" s="30">
        <v>8</v>
      </c>
      <c r="AD24" s="30">
        <f>SUM(AD16:AD23)</f>
        <v>0</v>
      </c>
      <c r="AE24" s="19">
        <f t="shared" si="8"/>
        <v>-69.286254813355526</v>
      </c>
      <c r="AF24" s="146">
        <f t="shared" si="9"/>
        <v>0.96040785439236831</v>
      </c>
      <c r="AG24" s="637"/>
    </row>
    <row r="25" spans="1:33" ht="15.75" customHeight="1">
      <c r="A25" s="655" t="s">
        <v>513</v>
      </c>
      <c r="B25" s="42" t="s">
        <v>92</v>
      </c>
      <c r="C25" s="653" t="s">
        <v>110</v>
      </c>
      <c r="D25" s="653"/>
      <c r="E25" s="42">
        <v>50.67</v>
      </c>
      <c r="F25" s="152">
        <v>1820</v>
      </c>
      <c r="G25" s="145">
        <f t="shared" ref="G25:G32" si="19">E25*F25</f>
        <v>92219.400000000009</v>
      </c>
      <c r="H25" s="37" t="s">
        <v>91</v>
      </c>
      <c r="I25" s="150">
        <v>17</v>
      </c>
      <c r="J25" s="39">
        <v>2000</v>
      </c>
      <c r="K25" s="17">
        <f t="shared" si="1"/>
        <v>117.64705882352941</v>
      </c>
      <c r="L25" s="150">
        <v>17</v>
      </c>
      <c r="M25" s="18">
        <f t="shared" ref="M25:M32" si="20">F25/V25*60</f>
        <v>1915.7894736842106</v>
      </c>
      <c r="N25" s="17">
        <f t="shared" si="3"/>
        <v>112.69349845201239</v>
      </c>
      <c r="O25" s="19">
        <f t="shared" si="4"/>
        <v>0</v>
      </c>
      <c r="P25" s="20">
        <f t="shared" si="5"/>
        <v>-4.953560371517014</v>
      </c>
      <c r="Q25" s="146">
        <f t="shared" si="6"/>
        <v>0.95789473684210535</v>
      </c>
      <c r="R25" s="637">
        <f>Q33</f>
        <v>0.95886875454765907</v>
      </c>
      <c r="S25" s="40">
        <v>0.20833333333333334</v>
      </c>
      <c r="T25" s="40">
        <v>0.24791666666666667</v>
      </c>
      <c r="U25" s="145"/>
      <c r="V25" s="151">
        <f t="shared" ref="V25:V32" si="21">(T25-S25)*24*60</f>
        <v>57</v>
      </c>
      <c r="W25" s="23"/>
      <c r="X25" s="23"/>
      <c r="Y25" s="28"/>
      <c r="Z25" s="28"/>
      <c r="AA25" s="632"/>
      <c r="AB25" s="632"/>
      <c r="AC25" s="25">
        <v>8</v>
      </c>
      <c r="AD25" s="25"/>
      <c r="AE25" s="19">
        <f t="shared" si="8"/>
        <v>-84.210526315789366</v>
      </c>
      <c r="AF25" s="146">
        <f t="shared" si="9"/>
        <v>0.95789473684210535</v>
      </c>
      <c r="AG25" s="637">
        <f>AF33</f>
        <v>0.95886875454765919</v>
      </c>
    </row>
    <row r="26" spans="1:33" ht="15.75" customHeight="1">
      <c r="A26" s="656" t="s">
        <v>513</v>
      </c>
      <c r="B26" s="42" t="s">
        <v>92</v>
      </c>
      <c r="C26" s="653" t="s">
        <v>111</v>
      </c>
      <c r="D26" s="653"/>
      <c r="E26" s="42">
        <v>57.73</v>
      </c>
      <c r="F26" s="152">
        <v>2544</v>
      </c>
      <c r="G26" s="145">
        <f t="shared" si="19"/>
        <v>146865.12</v>
      </c>
      <c r="H26" s="37" t="s">
        <v>91</v>
      </c>
      <c r="I26" s="150">
        <v>14</v>
      </c>
      <c r="J26" s="39">
        <v>2000</v>
      </c>
      <c r="K26" s="17">
        <f t="shared" si="1"/>
        <v>142.85714285714286</v>
      </c>
      <c r="L26" s="150">
        <v>14</v>
      </c>
      <c r="M26" s="18">
        <f t="shared" si="20"/>
        <v>1907.9999999999993</v>
      </c>
      <c r="N26" s="17">
        <f t="shared" si="3"/>
        <v>136.28571428571425</v>
      </c>
      <c r="O26" s="19">
        <f t="shared" si="4"/>
        <v>0</v>
      </c>
      <c r="P26" s="20">
        <f t="shared" si="5"/>
        <v>-6.571428571428612</v>
      </c>
      <c r="Q26" s="146">
        <f t="shared" si="6"/>
        <v>0.95399999999999974</v>
      </c>
      <c r="R26" s="637"/>
      <c r="S26" s="40">
        <v>0.25277777777777777</v>
      </c>
      <c r="T26" s="40">
        <v>0.30833333333333335</v>
      </c>
      <c r="U26" s="145">
        <f t="shared" ref="U26:U32" si="22">IF(S26=TIME(17,0,0),"",(S26-T25)*24*60)</f>
        <v>6.9999999999999751</v>
      </c>
      <c r="V26" s="151">
        <f t="shared" si="21"/>
        <v>80.000000000000028</v>
      </c>
      <c r="W26" s="23"/>
      <c r="X26" s="145"/>
      <c r="Y26" s="145"/>
      <c r="Z26" s="145"/>
      <c r="AA26" s="632"/>
      <c r="AB26" s="632"/>
      <c r="AC26" s="25"/>
      <c r="AD26" s="25"/>
      <c r="AE26" s="19">
        <f t="shared" si="8"/>
        <v>-92.000000000000682</v>
      </c>
      <c r="AF26" s="146">
        <f t="shared" si="9"/>
        <v>0.95399999999999963</v>
      </c>
      <c r="AG26" s="637"/>
    </row>
    <row r="27" spans="1:33" ht="15.75" customHeight="1">
      <c r="A27" s="656" t="s">
        <v>514</v>
      </c>
      <c r="B27" s="42" t="s">
        <v>92</v>
      </c>
      <c r="C27" s="653" t="s">
        <v>112</v>
      </c>
      <c r="D27" s="653"/>
      <c r="E27" s="42">
        <v>53.27</v>
      </c>
      <c r="F27" s="152">
        <v>1432</v>
      </c>
      <c r="G27" s="145">
        <f t="shared" si="19"/>
        <v>76282.64</v>
      </c>
      <c r="H27" s="37" t="s">
        <v>91</v>
      </c>
      <c r="I27" s="150">
        <v>16</v>
      </c>
      <c r="J27" s="39">
        <v>2000</v>
      </c>
      <c r="K27" s="17">
        <f t="shared" si="1"/>
        <v>125</v>
      </c>
      <c r="L27" s="150">
        <v>16</v>
      </c>
      <c r="M27" s="18">
        <f t="shared" si="20"/>
        <v>1909.3333333333335</v>
      </c>
      <c r="N27" s="17">
        <f t="shared" si="3"/>
        <v>119.33333333333334</v>
      </c>
      <c r="O27" s="19">
        <f t="shared" si="4"/>
        <v>0</v>
      </c>
      <c r="P27" s="20">
        <f t="shared" si="5"/>
        <v>-5.6666666666666572</v>
      </c>
      <c r="Q27" s="146">
        <f t="shared" si="6"/>
        <v>0.95466666666666677</v>
      </c>
      <c r="R27" s="637"/>
      <c r="S27" s="40">
        <v>0.31180555555555556</v>
      </c>
      <c r="T27" s="40">
        <v>0.34305555555555556</v>
      </c>
      <c r="U27" s="145">
        <f t="shared" si="22"/>
        <v>4.9999999999999822</v>
      </c>
      <c r="V27" s="151">
        <f t="shared" si="21"/>
        <v>45</v>
      </c>
      <c r="W27" s="23"/>
      <c r="X27" s="145"/>
      <c r="Y27" s="145"/>
      <c r="Z27" s="145"/>
      <c r="AA27" s="632"/>
      <c r="AB27" s="632"/>
      <c r="AC27" s="25"/>
      <c r="AD27" s="25"/>
      <c r="AE27" s="19">
        <f t="shared" si="8"/>
        <v>-90.666666666666515</v>
      </c>
      <c r="AF27" s="146">
        <f t="shared" si="9"/>
        <v>0.95466666666666677</v>
      </c>
      <c r="AG27" s="637"/>
    </row>
    <row r="28" spans="1:33" ht="15.75" customHeight="1">
      <c r="A28" s="656" t="s">
        <v>514</v>
      </c>
      <c r="B28" s="42" t="s">
        <v>92</v>
      </c>
      <c r="C28" s="653" t="s">
        <v>113</v>
      </c>
      <c r="D28" s="653"/>
      <c r="E28" s="42">
        <v>56.43</v>
      </c>
      <c r="F28" s="152">
        <v>1438</v>
      </c>
      <c r="G28" s="145">
        <f t="shared" si="19"/>
        <v>81146.34</v>
      </c>
      <c r="H28" s="37" t="s">
        <v>91</v>
      </c>
      <c r="I28" s="150">
        <v>13</v>
      </c>
      <c r="J28" s="39">
        <v>2000</v>
      </c>
      <c r="K28" s="17">
        <f t="shared" si="1"/>
        <v>153.84615384615384</v>
      </c>
      <c r="L28" s="150">
        <v>13</v>
      </c>
      <c r="M28" s="18">
        <f t="shared" si="20"/>
        <v>1917.3333333333333</v>
      </c>
      <c r="N28" s="17">
        <f t="shared" si="3"/>
        <v>147.48717948717947</v>
      </c>
      <c r="O28" s="19">
        <f t="shared" si="4"/>
        <v>0</v>
      </c>
      <c r="P28" s="20">
        <f t="shared" si="5"/>
        <v>-6.3589743589743648</v>
      </c>
      <c r="Q28" s="146">
        <f t="shared" si="6"/>
        <v>0.95866666666666667</v>
      </c>
      <c r="R28" s="637"/>
      <c r="S28" s="40">
        <v>0.70833333333333337</v>
      </c>
      <c r="T28" s="40">
        <v>0.73958333333333337</v>
      </c>
      <c r="U28" s="145" t="str">
        <f t="shared" si="22"/>
        <v/>
      </c>
      <c r="V28" s="151">
        <f t="shared" si="21"/>
        <v>45</v>
      </c>
      <c r="W28" s="23"/>
      <c r="X28" s="145"/>
      <c r="Y28" s="145"/>
      <c r="Z28" s="145"/>
      <c r="AA28" s="632"/>
      <c r="AB28" s="632"/>
      <c r="AC28" s="25"/>
      <c r="AD28" s="25"/>
      <c r="AE28" s="19">
        <f t="shared" si="8"/>
        <v>-82.666666666666742</v>
      </c>
      <c r="AF28" s="146">
        <f t="shared" si="9"/>
        <v>0.95866666666666667</v>
      </c>
      <c r="AG28" s="637"/>
    </row>
    <row r="29" spans="1:33" ht="15.75" customHeight="1">
      <c r="A29" s="656" t="s">
        <v>513</v>
      </c>
      <c r="B29" s="42" t="s">
        <v>92</v>
      </c>
      <c r="C29" s="653" t="s">
        <v>114</v>
      </c>
      <c r="D29" s="653"/>
      <c r="E29" s="42">
        <v>54.09</v>
      </c>
      <c r="F29" s="152">
        <v>1000</v>
      </c>
      <c r="G29" s="145">
        <f t="shared" si="19"/>
        <v>54090</v>
      </c>
      <c r="H29" s="37">
        <v>2</v>
      </c>
      <c r="I29" s="150">
        <v>18</v>
      </c>
      <c r="J29" s="39">
        <v>2000</v>
      </c>
      <c r="K29" s="17">
        <f t="shared" si="1"/>
        <v>111.11111111111111</v>
      </c>
      <c r="L29" s="150">
        <v>18</v>
      </c>
      <c r="M29" s="18">
        <f t="shared" si="20"/>
        <v>1935.483870967739</v>
      </c>
      <c r="N29" s="17">
        <f t="shared" si="3"/>
        <v>107.52688172042994</v>
      </c>
      <c r="O29" s="19">
        <f t="shared" si="4"/>
        <v>0</v>
      </c>
      <c r="P29" s="20">
        <f t="shared" si="5"/>
        <v>-3.5842293906811733</v>
      </c>
      <c r="Q29" s="146">
        <f t="shared" si="6"/>
        <v>0.96774193548386944</v>
      </c>
      <c r="R29" s="637"/>
      <c r="S29" s="40">
        <v>0.74305555555555558</v>
      </c>
      <c r="T29" s="40">
        <v>0.76458333333333339</v>
      </c>
      <c r="U29" s="145">
        <f t="shared" si="22"/>
        <v>4.9999999999999822</v>
      </c>
      <c r="V29" s="151">
        <f t="shared" si="21"/>
        <v>31.00000000000005</v>
      </c>
      <c r="W29" s="23"/>
      <c r="X29" s="23"/>
      <c r="Y29" s="145"/>
      <c r="Z29" s="145"/>
      <c r="AA29" s="632"/>
      <c r="AB29" s="632"/>
      <c r="AC29" s="25"/>
      <c r="AD29" s="25"/>
      <c r="AE29" s="19">
        <f t="shared" si="8"/>
        <v>-64.516129032261006</v>
      </c>
      <c r="AF29" s="146">
        <f t="shared" si="9"/>
        <v>0.96774193548386944</v>
      </c>
      <c r="AG29" s="637"/>
    </row>
    <row r="30" spans="1:33" ht="15.75" customHeight="1">
      <c r="A30" s="656" t="s">
        <v>513</v>
      </c>
      <c r="B30" s="42" t="s">
        <v>92</v>
      </c>
      <c r="C30" s="653" t="s">
        <v>115</v>
      </c>
      <c r="D30" s="653"/>
      <c r="E30" s="42">
        <v>57.3</v>
      </c>
      <c r="F30" s="152">
        <v>2013</v>
      </c>
      <c r="G30" s="145">
        <f t="shared" si="19"/>
        <v>115344.9</v>
      </c>
      <c r="H30" s="37" t="s">
        <v>91</v>
      </c>
      <c r="I30" s="150">
        <v>16</v>
      </c>
      <c r="J30" s="39">
        <v>2000</v>
      </c>
      <c r="K30" s="17">
        <f t="shared" si="1"/>
        <v>125</v>
      </c>
      <c r="L30" s="150">
        <v>16</v>
      </c>
      <c r="M30" s="18">
        <f t="shared" si="20"/>
        <v>1917.1428571428592</v>
      </c>
      <c r="N30" s="17">
        <f t="shared" si="3"/>
        <v>119.8214285714287</v>
      </c>
      <c r="O30" s="19">
        <f t="shared" si="4"/>
        <v>0</v>
      </c>
      <c r="P30" s="20">
        <f t="shared" si="5"/>
        <v>-5.1785714285713027</v>
      </c>
      <c r="Q30" s="146">
        <f t="shared" si="6"/>
        <v>0.95857142857142963</v>
      </c>
      <c r="R30" s="637"/>
      <c r="S30" s="40">
        <v>0.7680555555555556</v>
      </c>
      <c r="T30" s="40">
        <v>0.81180555555555556</v>
      </c>
      <c r="U30" s="145">
        <f t="shared" si="22"/>
        <v>4.9999999999999822</v>
      </c>
      <c r="V30" s="151">
        <f t="shared" si="21"/>
        <v>62.999999999999936</v>
      </c>
      <c r="W30" s="23"/>
      <c r="X30" s="28"/>
      <c r="Y30" s="28"/>
      <c r="Z30" s="28"/>
      <c r="AA30" s="632"/>
      <c r="AB30" s="632"/>
      <c r="AC30" s="25"/>
      <c r="AD30" s="25"/>
      <c r="AE30" s="19">
        <f t="shared" si="8"/>
        <v>-82.857142857140843</v>
      </c>
      <c r="AF30" s="146">
        <f t="shared" si="9"/>
        <v>0.95857142857142963</v>
      </c>
      <c r="AG30" s="637"/>
    </row>
    <row r="31" spans="1:33" ht="15.75" customHeight="1">
      <c r="A31" s="656" t="s">
        <v>514</v>
      </c>
      <c r="B31" s="42" t="s">
        <v>92</v>
      </c>
      <c r="C31" s="679" t="s">
        <v>140</v>
      </c>
      <c r="D31" s="680"/>
      <c r="E31" s="42">
        <v>51.06</v>
      </c>
      <c r="F31" s="152">
        <v>1000</v>
      </c>
      <c r="G31" s="145">
        <f t="shared" si="19"/>
        <v>51060</v>
      </c>
      <c r="H31" s="37">
        <v>2</v>
      </c>
      <c r="I31" s="150">
        <v>13</v>
      </c>
      <c r="J31" s="39">
        <v>2000</v>
      </c>
      <c r="K31" s="17">
        <f t="shared" si="1"/>
        <v>153.84615384615384</v>
      </c>
      <c r="L31" s="150">
        <v>13</v>
      </c>
      <c r="M31" s="18">
        <f t="shared" si="20"/>
        <v>1935.483870967739</v>
      </c>
      <c r="N31" s="17">
        <f t="shared" si="3"/>
        <v>148.88337468982607</v>
      </c>
      <c r="O31" s="19">
        <f t="shared" si="4"/>
        <v>0</v>
      </c>
      <c r="P31" s="20">
        <f t="shared" si="5"/>
        <v>-4.9627791563277697</v>
      </c>
      <c r="Q31" s="146">
        <f t="shared" si="6"/>
        <v>0.96774193548386944</v>
      </c>
      <c r="R31" s="637"/>
      <c r="S31" s="40">
        <v>0.81597222222222221</v>
      </c>
      <c r="T31" s="40">
        <v>0.83750000000000002</v>
      </c>
      <c r="U31" s="145">
        <f t="shared" si="22"/>
        <v>5.9999999999999787</v>
      </c>
      <c r="V31" s="151">
        <f t="shared" si="21"/>
        <v>31.00000000000005</v>
      </c>
      <c r="W31" s="23">
        <f>T31</f>
        <v>0.83750000000000002</v>
      </c>
      <c r="X31" s="23">
        <f>S32</f>
        <v>0.87708333333333333</v>
      </c>
      <c r="Y31" s="136"/>
      <c r="Z31" s="136"/>
      <c r="AA31" s="627"/>
      <c r="AB31" s="628"/>
      <c r="AC31" s="25"/>
      <c r="AD31" s="25"/>
      <c r="AE31" s="19">
        <f t="shared" si="8"/>
        <v>-64.516129032261006</v>
      </c>
      <c r="AF31" s="146">
        <f t="shared" si="9"/>
        <v>0.96774193548386944</v>
      </c>
      <c r="AG31" s="637"/>
    </row>
    <row r="32" spans="1:33" ht="15.75" customHeight="1">
      <c r="A32" s="656" t="s">
        <v>513</v>
      </c>
      <c r="B32" s="42" t="s">
        <v>92</v>
      </c>
      <c r="C32" s="148" t="s">
        <v>140</v>
      </c>
      <c r="D32" s="149"/>
      <c r="E32" s="42">
        <v>51.06</v>
      </c>
      <c r="F32" s="152">
        <v>2284</v>
      </c>
      <c r="G32" s="145">
        <f t="shared" si="19"/>
        <v>116621.04000000001</v>
      </c>
      <c r="H32" s="37" t="s">
        <v>91</v>
      </c>
      <c r="I32" s="150">
        <v>13</v>
      </c>
      <c r="J32" s="39">
        <v>2000</v>
      </c>
      <c r="K32" s="17">
        <f t="shared" si="1"/>
        <v>153.84615384615384</v>
      </c>
      <c r="L32" s="150">
        <v>13</v>
      </c>
      <c r="M32" s="18">
        <f t="shared" si="20"/>
        <v>1903.3333333333319</v>
      </c>
      <c r="N32" s="17">
        <f t="shared" si="3"/>
        <v>146.4102564102563</v>
      </c>
      <c r="O32" s="19">
        <f t="shared" si="4"/>
        <v>0</v>
      </c>
      <c r="P32" s="20">
        <f t="shared" si="5"/>
        <v>-7.4358974358975445</v>
      </c>
      <c r="Q32" s="146">
        <f t="shared" si="6"/>
        <v>0.95166666666666599</v>
      </c>
      <c r="R32" s="637"/>
      <c r="S32" s="40">
        <v>0.87708333333333333</v>
      </c>
      <c r="T32" s="40">
        <v>0.92708333333333337</v>
      </c>
      <c r="U32" s="145">
        <f t="shared" si="22"/>
        <v>56.999999999999957</v>
      </c>
      <c r="V32" s="151">
        <f t="shared" si="21"/>
        <v>72.000000000000057</v>
      </c>
      <c r="W32" s="23"/>
      <c r="X32" s="23"/>
      <c r="Y32" s="26"/>
      <c r="Z32" s="26"/>
      <c r="AA32" s="143"/>
      <c r="AB32" s="144"/>
      <c r="AC32" s="25"/>
      <c r="AD32" s="25"/>
      <c r="AE32" s="19">
        <f t="shared" si="8"/>
        <v>-96.666666666668107</v>
      </c>
      <c r="AF32" s="146">
        <f t="shared" si="9"/>
        <v>0.95166666666666599</v>
      </c>
      <c r="AG32" s="637"/>
    </row>
    <row r="33" spans="1:33" ht="15.75" customHeight="1">
      <c r="A33" s="656" t="s">
        <v>514</v>
      </c>
      <c r="B33" s="42" t="s">
        <v>515</v>
      </c>
      <c r="C33" s="638"/>
      <c r="D33" s="638"/>
      <c r="E33" s="147"/>
      <c r="F33" s="152"/>
      <c r="G33" s="145"/>
      <c r="H33" s="152"/>
      <c r="I33" s="29">
        <v>15</v>
      </c>
      <c r="J33" s="39">
        <v>2000</v>
      </c>
      <c r="K33" s="17">
        <f t="shared" si="1"/>
        <v>133.33333333333334</v>
      </c>
      <c r="L33" s="29">
        <v>15</v>
      </c>
      <c r="M33" s="18">
        <f>AVERAGE(M25:M32)</f>
        <v>1917.7375090953183</v>
      </c>
      <c r="N33" s="17">
        <f t="shared" si="3"/>
        <v>127.84916727302122</v>
      </c>
      <c r="O33" s="19">
        <f t="shared" si="4"/>
        <v>0</v>
      </c>
      <c r="P33" s="20">
        <f t="shared" si="5"/>
        <v>-5.4841660603121198</v>
      </c>
      <c r="Q33" s="146">
        <f t="shared" si="6"/>
        <v>0.95886875454765907</v>
      </c>
      <c r="R33" s="637"/>
      <c r="S33" s="40"/>
      <c r="T33" s="40"/>
      <c r="U33" s="17"/>
      <c r="V33" s="151"/>
      <c r="W33" s="17"/>
      <c r="X33" s="17"/>
      <c r="Y33" s="30">
        <f>SUM(Y25:Y32)</f>
        <v>0</v>
      </c>
      <c r="Z33" s="30">
        <f>SUM(Z25:Z32)</f>
        <v>0</v>
      </c>
      <c r="AA33" s="631"/>
      <c r="AB33" s="631"/>
      <c r="AC33" s="30">
        <v>8</v>
      </c>
      <c r="AD33" s="30">
        <f>SUM(AD25:AD32)</f>
        <v>0</v>
      </c>
      <c r="AE33" s="19">
        <f t="shared" si="8"/>
        <v>-82.262490904681727</v>
      </c>
      <c r="AF33" s="146">
        <f t="shared" si="9"/>
        <v>0.95886875454765919</v>
      </c>
      <c r="AG33" s="637"/>
    </row>
    <row r="34" spans="1:33" ht="15.75" customHeight="1">
      <c r="A34" s="654" t="s">
        <v>516</v>
      </c>
      <c r="B34" s="42" t="s">
        <v>116</v>
      </c>
      <c r="C34" s="653" t="s">
        <v>117</v>
      </c>
      <c r="D34" s="653"/>
      <c r="E34" s="42">
        <v>31.29</v>
      </c>
      <c r="F34" s="152">
        <v>5700</v>
      </c>
      <c r="G34" s="145">
        <f t="shared" ref="G34:G40" si="23">E34*F34</f>
        <v>178353</v>
      </c>
      <c r="H34" s="37">
        <v>2</v>
      </c>
      <c r="I34" s="150">
        <v>18</v>
      </c>
      <c r="J34" s="39">
        <v>2400</v>
      </c>
      <c r="K34" s="17">
        <f t="shared" si="1"/>
        <v>133.33333333333334</v>
      </c>
      <c r="L34" s="150">
        <v>18</v>
      </c>
      <c r="M34" s="18">
        <f t="shared" ref="M34:M40" si="24">F34/V34*60</f>
        <v>2295.3020134228186</v>
      </c>
      <c r="N34" s="17">
        <f t="shared" si="3"/>
        <v>127.51677852348992</v>
      </c>
      <c r="O34" s="19">
        <f t="shared" si="4"/>
        <v>0</v>
      </c>
      <c r="P34" s="20">
        <f t="shared" si="5"/>
        <v>-5.8165548098434243</v>
      </c>
      <c r="Q34" s="146">
        <f t="shared" si="6"/>
        <v>0.95637583892617428</v>
      </c>
      <c r="R34" s="637">
        <f>Q41</f>
        <v>0.95480160285507321</v>
      </c>
      <c r="S34" s="40">
        <v>8.3333333333333329E-2</v>
      </c>
      <c r="T34" s="40">
        <v>0.18680555555555556</v>
      </c>
      <c r="U34" s="145"/>
      <c r="V34" s="151">
        <f t="shared" ref="V34:V40" si="25">(T34-S34)*24*60</f>
        <v>149</v>
      </c>
      <c r="W34" s="23">
        <f>T34</f>
        <v>0.18680555555555556</v>
      </c>
      <c r="X34" s="23">
        <f>S35</f>
        <v>0.20555555555555555</v>
      </c>
      <c r="Y34" s="23"/>
      <c r="Z34" s="23"/>
      <c r="AA34" s="632"/>
      <c r="AB34" s="632"/>
      <c r="AC34" s="25">
        <v>7</v>
      </c>
      <c r="AD34" s="25"/>
      <c r="AE34" s="19">
        <f t="shared" si="8"/>
        <v>-104.69798657718138</v>
      </c>
      <c r="AF34" s="146">
        <f t="shared" si="9"/>
        <v>0.95637583892617439</v>
      </c>
      <c r="AG34" s="637">
        <f>AF41</f>
        <v>0.95480160285507321</v>
      </c>
    </row>
    <row r="35" spans="1:33" ht="15.75" customHeight="1">
      <c r="A35" s="654" t="s">
        <v>516</v>
      </c>
      <c r="B35" s="42" t="s">
        <v>116</v>
      </c>
      <c r="C35" s="653" t="s">
        <v>118</v>
      </c>
      <c r="D35" s="653"/>
      <c r="E35" s="42">
        <v>26.37</v>
      </c>
      <c r="F35" s="152">
        <v>6567</v>
      </c>
      <c r="G35" s="145">
        <f t="shared" si="23"/>
        <v>173171.79</v>
      </c>
      <c r="H35" s="37" t="s">
        <v>91</v>
      </c>
      <c r="I35" s="150">
        <v>18</v>
      </c>
      <c r="J35" s="39">
        <v>2400</v>
      </c>
      <c r="K35" s="17">
        <f t="shared" si="1"/>
        <v>133.33333333333334</v>
      </c>
      <c r="L35" s="150">
        <v>18</v>
      </c>
      <c r="M35" s="18">
        <f t="shared" si="24"/>
        <v>2290.8139534883717</v>
      </c>
      <c r="N35" s="17">
        <f t="shared" si="3"/>
        <v>127.2674418604651</v>
      </c>
      <c r="O35" s="19">
        <f t="shared" si="4"/>
        <v>0</v>
      </c>
      <c r="P35" s="20">
        <f t="shared" si="5"/>
        <v>-6.0658914728682447</v>
      </c>
      <c r="Q35" s="146">
        <f t="shared" si="6"/>
        <v>0.95450581395348821</v>
      </c>
      <c r="R35" s="637"/>
      <c r="S35" s="40">
        <v>0.20555555555555555</v>
      </c>
      <c r="T35" s="40">
        <v>0.32500000000000001</v>
      </c>
      <c r="U35" s="145">
        <f t="shared" ref="U35:U40" si="26">(S35-T34)*24*60</f>
        <v>26.999999999999986</v>
      </c>
      <c r="V35" s="151">
        <f t="shared" si="25"/>
        <v>172.00000000000003</v>
      </c>
      <c r="W35" s="23"/>
      <c r="X35" s="23"/>
      <c r="Y35" s="23"/>
      <c r="Z35" s="23"/>
      <c r="AA35" s="632"/>
      <c r="AB35" s="632"/>
      <c r="AC35" s="25"/>
      <c r="AD35" s="25"/>
      <c r="AE35" s="19">
        <f t="shared" si="8"/>
        <v>-109.18604651162832</v>
      </c>
      <c r="AF35" s="146">
        <f t="shared" si="9"/>
        <v>0.95450581395348821</v>
      </c>
      <c r="AG35" s="637"/>
    </row>
    <row r="36" spans="1:33" ht="15.75" customHeight="1">
      <c r="A36" s="654" t="s">
        <v>516</v>
      </c>
      <c r="B36" s="42" t="s">
        <v>116</v>
      </c>
      <c r="C36" s="653" t="s">
        <v>124</v>
      </c>
      <c r="D36" s="653"/>
      <c r="E36" s="42">
        <v>24.43</v>
      </c>
      <c r="F36" s="152">
        <v>4000</v>
      </c>
      <c r="G36" s="145">
        <f t="shared" si="23"/>
        <v>97720</v>
      </c>
      <c r="H36" s="37">
        <v>2</v>
      </c>
      <c r="I36" s="150">
        <v>14</v>
      </c>
      <c r="J36" s="39">
        <v>2400</v>
      </c>
      <c r="K36" s="17">
        <f t="shared" si="1"/>
        <v>171.42857142857142</v>
      </c>
      <c r="L36" s="150">
        <v>14</v>
      </c>
      <c r="M36" s="18">
        <f t="shared" si="24"/>
        <v>2285.7142857142853</v>
      </c>
      <c r="N36" s="17">
        <f t="shared" si="3"/>
        <v>163.26530612244895</v>
      </c>
      <c r="O36" s="19">
        <f t="shared" si="4"/>
        <v>0</v>
      </c>
      <c r="P36" s="20">
        <f t="shared" si="5"/>
        <v>-8.1632653061224687</v>
      </c>
      <c r="Q36" s="146">
        <f t="shared" si="6"/>
        <v>0.95238095238095222</v>
      </c>
      <c r="R36" s="637"/>
      <c r="S36" s="40">
        <v>0.32916666666666666</v>
      </c>
      <c r="T36" s="40">
        <v>0.40208333333333335</v>
      </c>
      <c r="U36" s="145">
        <f t="shared" si="26"/>
        <v>5.9999999999999787</v>
      </c>
      <c r="V36" s="151">
        <f t="shared" si="25"/>
        <v>105.00000000000003</v>
      </c>
      <c r="W36" s="23"/>
      <c r="X36" s="23"/>
      <c r="Y36" s="23"/>
      <c r="Z36" s="23"/>
      <c r="AA36" s="632"/>
      <c r="AB36" s="632"/>
      <c r="AC36" s="25"/>
      <c r="AD36" s="25"/>
      <c r="AE36" s="19">
        <f t="shared" si="8"/>
        <v>-114.28571428571468</v>
      </c>
      <c r="AF36" s="146">
        <f t="shared" si="9"/>
        <v>0.95238095238095222</v>
      </c>
      <c r="AG36" s="637"/>
    </row>
    <row r="37" spans="1:33" ht="15.75" customHeight="1">
      <c r="A37" s="654" t="s">
        <v>516</v>
      </c>
      <c r="B37" s="42" t="s">
        <v>116</v>
      </c>
      <c r="C37" s="653" t="s">
        <v>147</v>
      </c>
      <c r="D37" s="653"/>
      <c r="E37" s="42">
        <v>25.98</v>
      </c>
      <c r="F37" s="152">
        <v>2984</v>
      </c>
      <c r="G37" s="145">
        <f t="shared" si="23"/>
        <v>77524.320000000007</v>
      </c>
      <c r="H37" s="37" t="s">
        <v>91</v>
      </c>
      <c r="I37" s="150">
        <v>17</v>
      </c>
      <c r="J37" s="39">
        <v>2400</v>
      </c>
      <c r="K37" s="17">
        <f t="shared" si="1"/>
        <v>141.1764705882353</v>
      </c>
      <c r="L37" s="150">
        <v>17</v>
      </c>
      <c r="M37" s="18">
        <f t="shared" si="24"/>
        <v>2295.3846153846139</v>
      </c>
      <c r="N37" s="17">
        <f t="shared" si="3"/>
        <v>135.02262443438906</v>
      </c>
      <c r="O37" s="19">
        <f t="shared" si="4"/>
        <v>0</v>
      </c>
      <c r="P37" s="20">
        <f t="shared" si="5"/>
        <v>-6.1538461538462457</v>
      </c>
      <c r="Q37" s="146">
        <f t="shared" si="6"/>
        <v>0.95641025641025579</v>
      </c>
      <c r="R37" s="637"/>
      <c r="S37" s="40">
        <v>0.40625</v>
      </c>
      <c r="T37" s="40">
        <v>0.4604166666666667</v>
      </c>
      <c r="U37" s="145">
        <f t="shared" si="26"/>
        <v>5.9999999999999787</v>
      </c>
      <c r="V37" s="151">
        <f t="shared" si="25"/>
        <v>78.000000000000043</v>
      </c>
      <c r="W37" s="23"/>
      <c r="X37" s="23"/>
      <c r="Y37" s="23"/>
      <c r="Z37" s="23"/>
      <c r="AA37" s="632"/>
      <c r="AB37" s="632"/>
      <c r="AC37" s="25"/>
      <c r="AD37" s="25"/>
      <c r="AE37" s="19">
        <f t="shared" si="8"/>
        <v>-104.61538461538612</v>
      </c>
      <c r="AF37" s="146">
        <f t="shared" si="9"/>
        <v>0.95641025641025579</v>
      </c>
      <c r="AG37" s="637"/>
    </row>
    <row r="38" spans="1:33" ht="15.75" customHeight="1">
      <c r="A38" s="654" t="s">
        <v>516</v>
      </c>
      <c r="B38" s="42" t="s">
        <v>116</v>
      </c>
      <c r="C38" s="653" t="s">
        <v>122</v>
      </c>
      <c r="D38" s="653"/>
      <c r="E38" s="42">
        <v>20.21</v>
      </c>
      <c r="F38" s="152">
        <v>2252</v>
      </c>
      <c r="G38" s="145">
        <f t="shared" si="23"/>
        <v>45512.920000000006</v>
      </c>
      <c r="H38" s="37" t="s">
        <v>91</v>
      </c>
      <c r="I38" s="150">
        <v>18</v>
      </c>
      <c r="J38" s="39">
        <v>2400</v>
      </c>
      <c r="K38" s="17">
        <f t="shared" si="1"/>
        <v>133.33333333333334</v>
      </c>
      <c r="L38" s="150">
        <v>18</v>
      </c>
      <c r="M38" s="18">
        <f t="shared" si="24"/>
        <v>2290.1694915254257</v>
      </c>
      <c r="N38" s="17">
        <f t="shared" si="3"/>
        <v>127.2316384180792</v>
      </c>
      <c r="O38" s="19">
        <f t="shared" si="4"/>
        <v>0</v>
      </c>
      <c r="P38" s="20">
        <f t="shared" si="5"/>
        <v>-6.1016949152541429</v>
      </c>
      <c r="Q38" s="146">
        <f t="shared" si="6"/>
        <v>0.95423728813559394</v>
      </c>
      <c r="R38" s="637"/>
      <c r="S38" s="40">
        <v>0.46388888888888891</v>
      </c>
      <c r="T38" s="40">
        <v>0.50486111111111109</v>
      </c>
      <c r="U38" s="145">
        <f t="shared" si="26"/>
        <v>4.9999999999999822</v>
      </c>
      <c r="V38" s="151">
        <f t="shared" si="25"/>
        <v>58.99999999999995</v>
      </c>
      <c r="W38" s="23">
        <f>T38</f>
        <v>0.50486111111111109</v>
      </c>
      <c r="X38" s="23">
        <f>S39</f>
        <v>0.54513888888888884</v>
      </c>
      <c r="Y38" s="23"/>
      <c r="Z38" s="23"/>
      <c r="AA38" s="632"/>
      <c r="AB38" s="632"/>
      <c r="AC38" s="25"/>
      <c r="AD38" s="25"/>
      <c r="AE38" s="19">
        <f t="shared" si="8"/>
        <v>-109.83050847457434</v>
      </c>
      <c r="AF38" s="146">
        <f t="shared" si="9"/>
        <v>0.95423728813559405</v>
      </c>
      <c r="AG38" s="637"/>
    </row>
    <row r="39" spans="1:33" ht="15.75" customHeight="1">
      <c r="A39" s="654" t="s">
        <v>516</v>
      </c>
      <c r="B39" s="42" t="s">
        <v>116</v>
      </c>
      <c r="C39" s="653" t="s">
        <v>117</v>
      </c>
      <c r="D39" s="653"/>
      <c r="E39" s="42">
        <v>31.29</v>
      </c>
      <c r="F39" s="152">
        <v>4305</v>
      </c>
      <c r="G39" s="145">
        <f t="shared" si="23"/>
        <v>134703.44999999998</v>
      </c>
      <c r="H39" s="37" t="s">
        <v>91</v>
      </c>
      <c r="I39" s="150">
        <v>18</v>
      </c>
      <c r="J39" s="39">
        <v>2400</v>
      </c>
      <c r="K39" s="17">
        <f t="shared" si="1"/>
        <v>133.33333333333334</v>
      </c>
      <c r="L39" s="150">
        <v>18</v>
      </c>
      <c r="M39" s="18">
        <f t="shared" si="24"/>
        <v>2285.8407079645999</v>
      </c>
      <c r="N39" s="17">
        <f t="shared" si="3"/>
        <v>126.99115044247777</v>
      </c>
      <c r="O39" s="19">
        <f t="shared" si="4"/>
        <v>0</v>
      </c>
      <c r="P39" s="20">
        <f t="shared" si="5"/>
        <v>-6.3421828908555682</v>
      </c>
      <c r="Q39" s="146">
        <f t="shared" si="6"/>
        <v>0.95243362831858325</v>
      </c>
      <c r="R39" s="637"/>
      <c r="S39" s="40">
        <v>0.54513888888888884</v>
      </c>
      <c r="T39" s="40">
        <v>0.62361111111111112</v>
      </c>
      <c r="U39" s="145">
        <f t="shared" si="26"/>
        <v>57.999999999999957</v>
      </c>
      <c r="V39" s="151">
        <f t="shared" si="25"/>
        <v>113.00000000000009</v>
      </c>
      <c r="W39" s="23"/>
      <c r="X39" s="23"/>
      <c r="Y39" s="23"/>
      <c r="Z39" s="23"/>
      <c r="AA39" s="632"/>
      <c r="AB39" s="632"/>
      <c r="AC39" s="25"/>
      <c r="AD39" s="25"/>
      <c r="AE39" s="19">
        <f t="shared" si="8"/>
        <v>-114.15929203540009</v>
      </c>
      <c r="AF39" s="146">
        <f t="shared" si="9"/>
        <v>0.95243362831858325</v>
      </c>
      <c r="AG39" s="637"/>
    </row>
    <row r="40" spans="1:33" ht="15.75" customHeight="1">
      <c r="A40" s="654" t="s">
        <v>516</v>
      </c>
      <c r="B40" s="42" t="s">
        <v>116</v>
      </c>
      <c r="C40" s="653" t="s">
        <v>124</v>
      </c>
      <c r="D40" s="653"/>
      <c r="E40" s="42">
        <v>24.43</v>
      </c>
      <c r="F40" s="152">
        <v>3293</v>
      </c>
      <c r="G40" s="145">
        <f t="shared" si="23"/>
        <v>80447.990000000005</v>
      </c>
      <c r="H40" s="37" t="s">
        <v>91</v>
      </c>
      <c r="I40" s="150">
        <v>14</v>
      </c>
      <c r="J40" s="39">
        <v>2400</v>
      </c>
      <c r="K40" s="17">
        <f t="shared" si="1"/>
        <v>171.42857142857142</v>
      </c>
      <c r="L40" s="150">
        <v>14</v>
      </c>
      <c r="M40" s="18">
        <f t="shared" si="24"/>
        <v>2297.4418604651155</v>
      </c>
      <c r="N40" s="17">
        <f t="shared" si="3"/>
        <v>164.10299003322254</v>
      </c>
      <c r="O40" s="19">
        <f t="shared" si="4"/>
        <v>0</v>
      </c>
      <c r="P40" s="20">
        <f t="shared" si="5"/>
        <v>-7.3255813953488769</v>
      </c>
      <c r="Q40" s="146">
        <f t="shared" si="6"/>
        <v>0.95726744186046486</v>
      </c>
      <c r="R40" s="637"/>
      <c r="S40" s="40">
        <v>0.62708333333333333</v>
      </c>
      <c r="T40" s="40">
        <v>0.68680555555555556</v>
      </c>
      <c r="U40" s="145">
        <f t="shared" si="26"/>
        <v>4.9999999999999822</v>
      </c>
      <c r="V40" s="151">
        <f t="shared" si="25"/>
        <v>86.000000000000014</v>
      </c>
      <c r="W40" s="23"/>
      <c r="X40" s="23"/>
      <c r="Y40" s="23"/>
      <c r="Z40" s="23"/>
      <c r="AA40" s="632"/>
      <c r="AB40" s="632"/>
      <c r="AC40" s="25"/>
      <c r="AD40" s="25"/>
      <c r="AE40" s="19">
        <f t="shared" si="8"/>
        <v>-102.5581395348845</v>
      </c>
      <c r="AF40" s="146">
        <f t="shared" si="9"/>
        <v>0.95726744186046475</v>
      </c>
      <c r="AG40" s="637"/>
    </row>
    <row r="41" spans="1:33" ht="15.75" customHeight="1">
      <c r="A41" s="654" t="s">
        <v>516</v>
      </c>
      <c r="B41" s="42" t="s">
        <v>515</v>
      </c>
      <c r="C41" s="638"/>
      <c r="D41" s="638"/>
      <c r="E41" s="147"/>
      <c r="F41" s="152"/>
      <c r="G41" s="145"/>
      <c r="H41" s="152"/>
      <c r="I41" s="29">
        <v>16.714285714285715</v>
      </c>
      <c r="J41" s="39">
        <v>2400</v>
      </c>
      <c r="K41" s="17">
        <f t="shared" si="1"/>
        <v>143.58974358974359</v>
      </c>
      <c r="L41" s="29">
        <v>16.714285714285715</v>
      </c>
      <c r="M41" s="18">
        <f>AVERAGE(M34:M40)</f>
        <v>2291.5238468521757</v>
      </c>
      <c r="N41" s="17">
        <f t="shared" si="3"/>
        <v>137.09971733303615</v>
      </c>
      <c r="O41" s="19">
        <f t="shared" si="4"/>
        <v>0</v>
      </c>
      <c r="P41" s="20">
        <f t="shared" si="5"/>
        <v>-6.4900262567074378</v>
      </c>
      <c r="Q41" s="146">
        <f t="shared" si="6"/>
        <v>0.95480160285507321</v>
      </c>
      <c r="R41" s="637"/>
      <c r="S41" s="40"/>
      <c r="T41" s="40"/>
      <c r="U41" s="145"/>
      <c r="V41" s="151"/>
      <c r="W41" s="145"/>
      <c r="X41" s="145"/>
      <c r="Y41" s="30">
        <f>SUM(Y34:Y40)</f>
        <v>0</v>
      </c>
      <c r="Z41" s="30">
        <f>SUM(Z34:Z40)</f>
        <v>0</v>
      </c>
      <c r="AA41" s="631"/>
      <c r="AB41" s="631"/>
      <c r="AC41" s="30">
        <v>7</v>
      </c>
      <c r="AD41" s="30">
        <f>SUM(AD34:AD40)</f>
        <v>0</v>
      </c>
      <c r="AE41" s="19">
        <f t="shared" si="8"/>
        <v>-108.47615314782433</v>
      </c>
      <c r="AF41" s="146">
        <f t="shared" si="9"/>
        <v>0.95480160285507321</v>
      </c>
      <c r="AG41" s="637"/>
    </row>
    <row r="42" spans="1:33" ht="15.75" customHeight="1">
      <c r="A42" s="651" t="s">
        <v>517</v>
      </c>
      <c r="B42" s="42" t="s">
        <v>116</v>
      </c>
      <c r="C42" s="633" t="s">
        <v>123</v>
      </c>
      <c r="D42" s="633"/>
      <c r="E42" s="42">
        <v>26.18</v>
      </c>
      <c r="F42" s="152">
        <v>3600</v>
      </c>
      <c r="G42" s="145">
        <f t="shared" ref="G42:G49" si="27">E42*F42</f>
        <v>94248</v>
      </c>
      <c r="H42" s="37">
        <v>2</v>
      </c>
      <c r="I42" s="150">
        <v>20</v>
      </c>
      <c r="J42" s="39">
        <v>2400</v>
      </c>
      <c r="K42" s="17">
        <f t="shared" si="1"/>
        <v>120</v>
      </c>
      <c r="L42" s="150">
        <v>20</v>
      </c>
      <c r="M42" s="18">
        <f t="shared" ref="M42:M49" si="28">F42/V42*60</f>
        <v>2297.8723404255315</v>
      </c>
      <c r="N42" s="17">
        <f t="shared" si="3"/>
        <v>114.89361702127658</v>
      </c>
      <c r="O42" s="19">
        <f t="shared" si="4"/>
        <v>0</v>
      </c>
      <c r="P42" s="20">
        <f t="shared" si="5"/>
        <v>-5.106382978723417</v>
      </c>
      <c r="Q42" s="146">
        <f t="shared" si="6"/>
        <v>0.95744680851063824</v>
      </c>
      <c r="R42" s="637">
        <f>Q50</f>
        <v>0.95532978266263335</v>
      </c>
      <c r="S42" s="40">
        <v>8.3333333333333329E-2</v>
      </c>
      <c r="T42" s="40">
        <v>0.14861111111111111</v>
      </c>
      <c r="U42" s="145"/>
      <c r="V42" s="151">
        <f t="shared" ref="V42:V49" si="29">(T42-S42)*24*60</f>
        <v>94.000000000000014</v>
      </c>
      <c r="W42" s="28">
        <f>T42</f>
        <v>0.14861111111111111</v>
      </c>
      <c r="X42" s="28">
        <f>S43</f>
        <v>0.1673611111111111</v>
      </c>
      <c r="Y42" s="28"/>
      <c r="Z42" s="28"/>
      <c r="AA42" s="632"/>
      <c r="AB42" s="632"/>
      <c r="AC42" s="25">
        <v>8</v>
      </c>
      <c r="AD42" s="25"/>
      <c r="AE42" s="19">
        <f t="shared" si="8"/>
        <v>-102.12765957446845</v>
      </c>
      <c r="AF42" s="146">
        <f t="shared" si="9"/>
        <v>0.95744680851063813</v>
      </c>
      <c r="AG42" s="637">
        <f>AF50</f>
        <v>0.95532978266263335</v>
      </c>
    </row>
    <row r="43" spans="1:33" ht="15.75" customHeight="1">
      <c r="A43" s="651" t="s">
        <v>517</v>
      </c>
      <c r="B43" s="42" t="s">
        <v>116</v>
      </c>
      <c r="C43" s="633" t="s">
        <v>125</v>
      </c>
      <c r="D43" s="633"/>
      <c r="E43" s="42">
        <v>25.98</v>
      </c>
      <c r="F43" s="152">
        <v>3490</v>
      </c>
      <c r="G43" s="145">
        <f t="shared" si="27"/>
        <v>90670.2</v>
      </c>
      <c r="H43" s="37" t="s">
        <v>91</v>
      </c>
      <c r="I43" s="150">
        <v>20</v>
      </c>
      <c r="J43" s="39">
        <v>2400</v>
      </c>
      <c r="K43" s="17">
        <f t="shared" si="1"/>
        <v>120</v>
      </c>
      <c r="L43" s="150">
        <v>20</v>
      </c>
      <c r="M43" s="18">
        <f t="shared" si="28"/>
        <v>2301.098901098901</v>
      </c>
      <c r="N43" s="17">
        <f t="shared" si="3"/>
        <v>115.05494505494505</v>
      </c>
      <c r="O43" s="19">
        <f t="shared" si="4"/>
        <v>0</v>
      </c>
      <c r="P43" s="20">
        <f t="shared" si="5"/>
        <v>-4.9450549450549488</v>
      </c>
      <c r="Q43" s="146">
        <f t="shared" si="6"/>
        <v>0.95879120879120872</v>
      </c>
      <c r="R43" s="637"/>
      <c r="S43" s="40">
        <v>0.1673611111111111</v>
      </c>
      <c r="T43" s="40">
        <v>0.23055555555555554</v>
      </c>
      <c r="U43" s="145">
        <f t="shared" ref="U43:U49" si="30">(S43-T42)*24*60</f>
        <v>26.999999999999986</v>
      </c>
      <c r="V43" s="151">
        <f t="shared" si="29"/>
        <v>91</v>
      </c>
      <c r="W43" s="145"/>
      <c r="X43" s="145"/>
      <c r="Y43" s="145"/>
      <c r="Z43" s="145"/>
      <c r="AA43" s="632"/>
      <c r="AB43" s="632"/>
      <c r="AC43" s="25"/>
      <c r="AD43" s="25"/>
      <c r="AE43" s="19">
        <f t="shared" si="8"/>
        <v>-98.901098901098976</v>
      </c>
      <c r="AF43" s="146">
        <f t="shared" si="9"/>
        <v>0.95879120879120872</v>
      </c>
      <c r="AG43" s="637"/>
    </row>
    <row r="44" spans="1:33">
      <c r="A44" s="652" t="s">
        <v>517</v>
      </c>
      <c r="B44" s="42" t="s">
        <v>116</v>
      </c>
      <c r="C44" s="633" t="s">
        <v>119</v>
      </c>
      <c r="D44" s="633"/>
      <c r="E44" s="42">
        <v>26.18</v>
      </c>
      <c r="F44" s="152">
        <v>4700</v>
      </c>
      <c r="G44" s="145">
        <f t="shared" si="27"/>
        <v>123046</v>
      </c>
      <c r="H44" s="37">
        <v>2</v>
      </c>
      <c r="I44" s="150">
        <v>18</v>
      </c>
      <c r="J44" s="39">
        <v>2400</v>
      </c>
      <c r="K44" s="17">
        <f t="shared" si="1"/>
        <v>133.33333333333334</v>
      </c>
      <c r="L44" s="150">
        <v>18</v>
      </c>
      <c r="M44" s="18">
        <f t="shared" si="28"/>
        <v>2292.6829268292686</v>
      </c>
      <c r="N44" s="17">
        <f t="shared" si="3"/>
        <v>127.37127371273715</v>
      </c>
      <c r="O44" s="19">
        <f t="shared" si="4"/>
        <v>0</v>
      </c>
      <c r="P44" s="20">
        <f t="shared" si="5"/>
        <v>-5.9620596205961931</v>
      </c>
      <c r="Q44" s="146">
        <f t="shared" si="6"/>
        <v>0.9552845528455286</v>
      </c>
      <c r="R44" s="637"/>
      <c r="S44" s="40">
        <v>0.23402777777777775</v>
      </c>
      <c r="T44" s="40">
        <v>0.31944444444444442</v>
      </c>
      <c r="U44" s="145">
        <f t="shared" si="30"/>
        <v>4.9999999999999822</v>
      </c>
      <c r="V44" s="151">
        <f t="shared" si="29"/>
        <v>122.99999999999999</v>
      </c>
      <c r="W44" s="145"/>
      <c r="X44" s="145"/>
      <c r="Y44" s="145"/>
      <c r="Z44" s="145"/>
      <c r="AA44" s="632"/>
      <c r="AB44" s="632"/>
      <c r="AC44" s="25"/>
      <c r="AD44" s="25"/>
      <c r="AE44" s="19">
        <f t="shared" si="8"/>
        <v>-107.31707317073142</v>
      </c>
      <c r="AF44" s="146">
        <f t="shared" si="9"/>
        <v>0.9552845528455286</v>
      </c>
      <c r="AG44" s="637"/>
    </row>
    <row r="45" spans="1:33">
      <c r="A45" s="652" t="s">
        <v>517</v>
      </c>
      <c r="B45" s="42" t="s">
        <v>116</v>
      </c>
      <c r="C45" s="633" t="s">
        <v>121</v>
      </c>
      <c r="D45" s="633"/>
      <c r="E45" s="42">
        <v>25.99</v>
      </c>
      <c r="F45" s="152">
        <v>4096</v>
      </c>
      <c r="G45" s="145">
        <f t="shared" si="27"/>
        <v>106455.03999999999</v>
      </c>
      <c r="H45" s="37" t="s">
        <v>91</v>
      </c>
      <c r="I45" s="150">
        <v>14</v>
      </c>
      <c r="J45" s="39">
        <v>2400</v>
      </c>
      <c r="K45" s="17">
        <f t="shared" si="1"/>
        <v>171.42857142857142</v>
      </c>
      <c r="L45" s="150">
        <v>14</v>
      </c>
      <c r="M45" s="18">
        <f t="shared" si="28"/>
        <v>2296.8224299065419</v>
      </c>
      <c r="N45" s="17">
        <f t="shared" si="3"/>
        <v>164.05874499332441</v>
      </c>
      <c r="O45" s="19">
        <f t="shared" si="4"/>
        <v>0</v>
      </c>
      <c r="P45" s="20">
        <f t="shared" si="5"/>
        <v>-7.3698264352470062</v>
      </c>
      <c r="Q45" s="146">
        <f t="shared" si="6"/>
        <v>0.95700934579439245</v>
      </c>
      <c r="R45" s="637"/>
      <c r="S45" s="40">
        <v>0.32291666666666663</v>
      </c>
      <c r="T45" s="40">
        <v>0.3972222222222222</v>
      </c>
      <c r="U45" s="145">
        <f t="shared" si="30"/>
        <v>4.9999999999999822</v>
      </c>
      <c r="V45" s="151">
        <f t="shared" si="29"/>
        <v>107.00000000000001</v>
      </c>
      <c r="W45" s="23"/>
      <c r="X45" s="23"/>
      <c r="Y45" s="23"/>
      <c r="Z45" s="23"/>
      <c r="AA45" s="632"/>
      <c r="AB45" s="632"/>
      <c r="AC45" s="25"/>
      <c r="AD45" s="25"/>
      <c r="AE45" s="19">
        <f t="shared" si="8"/>
        <v>-103.17757009345814</v>
      </c>
      <c r="AF45" s="146">
        <f t="shared" si="9"/>
        <v>0.95700934579439245</v>
      </c>
      <c r="AG45" s="637"/>
    </row>
    <row r="46" spans="1:33">
      <c r="A46" s="652" t="s">
        <v>517</v>
      </c>
      <c r="B46" s="42" t="s">
        <v>116</v>
      </c>
      <c r="C46" s="633" t="s">
        <v>126</v>
      </c>
      <c r="D46" s="633"/>
      <c r="E46" s="42">
        <v>34.1</v>
      </c>
      <c r="F46" s="152">
        <v>3700</v>
      </c>
      <c r="G46" s="145">
        <f t="shared" si="27"/>
        <v>126170</v>
      </c>
      <c r="H46" s="37">
        <v>2</v>
      </c>
      <c r="I46" s="150">
        <v>17</v>
      </c>
      <c r="J46" s="39">
        <v>1600</v>
      </c>
      <c r="K46" s="17">
        <f t="shared" si="1"/>
        <v>94.117647058823536</v>
      </c>
      <c r="L46" s="150">
        <v>17</v>
      </c>
      <c r="M46" s="18">
        <f t="shared" si="28"/>
        <v>1520.547945205479</v>
      </c>
      <c r="N46" s="17">
        <f t="shared" si="3"/>
        <v>89.443996776792886</v>
      </c>
      <c r="O46" s="19">
        <f t="shared" si="4"/>
        <v>0</v>
      </c>
      <c r="P46" s="20">
        <f t="shared" si="5"/>
        <v>-4.6736502820306498</v>
      </c>
      <c r="Q46" s="146">
        <f t="shared" si="6"/>
        <v>0.9503424657534244</v>
      </c>
      <c r="R46" s="637"/>
      <c r="S46" s="40">
        <v>0.40208333333333329</v>
      </c>
      <c r="T46" s="40">
        <v>0.50347222222222221</v>
      </c>
      <c r="U46" s="145">
        <f t="shared" si="30"/>
        <v>6.9999999999999751</v>
      </c>
      <c r="V46" s="151">
        <f t="shared" si="29"/>
        <v>146.00000000000003</v>
      </c>
      <c r="W46" s="23">
        <f>T46</f>
        <v>0.50347222222222221</v>
      </c>
      <c r="X46" s="23">
        <f>S47</f>
        <v>0.54513888888888884</v>
      </c>
      <c r="Y46" s="23"/>
      <c r="Z46" s="23"/>
      <c r="AA46" s="632"/>
      <c r="AB46" s="632"/>
      <c r="AC46" s="25"/>
      <c r="AD46" s="25"/>
      <c r="AE46" s="19">
        <f t="shared" si="8"/>
        <v>-79.452054794521018</v>
      </c>
      <c r="AF46" s="146">
        <f t="shared" si="9"/>
        <v>0.9503424657534244</v>
      </c>
      <c r="AG46" s="637"/>
    </row>
    <row r="47" spans="1:33">
      <c r="A47" s="652" t="s">
        <v>517</v>
      </c>
      <c r="B47" s="42" t="s">
        <v>116</v>
      </c>
      <c r="C47" s="633" t="s">
        <v>123</v>
      </c>
      <c r="D47" s="633"/>
      <c r="E47" s="42">
        <v>26.18</v>
      </c>
      <c r="F47" s="152">
        <v>2705</v>
      </c>
      <c r="G47" s="145">
        <f t="shared" si="27"/>
        <v>70816.899999999994</v>
      </c>
      <c r="H47" s="37" t="s">
        <v>91</v>
      </c>
      <c r="I47" s="150">
        <v>20</v>
      </c>
      <c r="J47" s="39">
        <v>2400</v>
      </c>
      <c r="K47" s="17">
        <f t="shared" si="1"/>
        <v>120</v>
      </c>
      <c r="L47" s="150">
        <v>20</v>
      </c>
      <c r="M47" s="18">
        <f t="shared" si="28"/>
        <v>2285.9154929577439</v>
      </c>
      <c r="N47" s="17">
        <f t="shared" si="3"/>
        <v>114.2957746478872</v>
      </c>
      <c r="O47" s="19">
        <f t="shared" si="4"/>
        <v>0</v>
      </c>
      <c r="P47" s="20">
        <f t="shared" si="5"/>
        <v>-5.7042253521128004</v>
      </c>
      <c r="Q47" s="146">
        <f t="shared" si="6"/>
        <v>0.95246478873239337</v>
      </c>
      <c r="R47" s="637"/>
      <c r="S47" s="40">
        <v>0.54513888888888884</v>
      </c>
      <c r="T47" s="40">
        <v>0.59444444444444444</v>
      </c>
      <c r="U47" s="145">
        <f t="shared" si="30"/>
        <v>59.999999999999943</v>
      </c>
      <c r="V47" s="151">
        <f t="shared" si="29"/>
        <v>71.000000000000071</v>
      </c>
      <c r="W47" s="23"/>
      <c r="X47" s="23"/>
      <c r="Y47" s="23"/>
      <c r="Z47" s="23"/>
      <c r="AA47" s="632"/>
      <c r="AB47" s="632"/>
      <c r="AC47" s="25"/>
      <c r="AD47" s="25"/>
      <c r="AE47" s="19">
        <f t="shared" si="8"/>
        <v>-114.08450704225606</v>
      </c>
      <c r="AF47" s="146">
        <f t="shared" si="9"/>
        <v>0.95246478873239326</v>
      </c>
      <c r="AG47" s="637"/>
    </row>
    <row r="48" spans="1:33">
      <c r="A48" s="652" t="s">
        <v>517</v>
      </c>
      <c r="B48" s="42" t="s">
        <v>116</v>
      </c>
      <c r="C48" s="633" t="s">
        <v>119</v>
      </c>
      <c r="D48" s="633"/>
      <c r="E48" s="42">
        <v>26.18</v>
      </c>
      <c r="F48" s="152">
        <v>3696</v>
      </c>
      <c r="G48" s="145">
        <f t="shared" si="27"/>
        <v>96761.279999999999</v>
      </c>
      <c r="H48" s="37" t="s">
        <v>91</v>
      </c>
      <c r="I48" s="150">
        <v>18</v>
      </c>
      <c r="J48" s="39">
        <v>2400</v>
      </c>
      <c r="K48" s="17">
        <f t="shared" si="1"/>
        <v>133.33333333333334</v>
      </c>
      <c r="L48" s="150">
        <v>18</v>
      </c>
      <c r="M48" s="18">
        <f t="shared" si="28"/>
        <v>2286.18556701031</v>
      </c>
      <c r="N48" s="17">
        <f t="shared" si="3"/>
        <v>127.01030927835056</v>
      </c>
      <c r="O48" s="19">
        <f t="shared" si="4"/>
        <v>0</v>
      </c>
      <c r="P48" s="20">
        <f t="shared" si="5"/>
        <v>-6.3230240549827812</v>
      </c>
      <c r="Q48" s="146">
        <f t="shared" si="6"/>
        <v>0.95257731958762915</v>
      </c>
      <c r="R48" s="637"/>
      <c r="S48" s="40">
        <v>0.59861111111111109</v>
      </c>
      <c r="T48" s="40">
        <v>0.66597222222222219</v>
      </c>
      <c r="U48" s="145">
        <f t="shared" si="30"/>
        <v>5.9999999999999787</v>
      </c>
      <c r="V48" s="151">
        <f t="shared" si="29"/>
        <v>96.999999999999972</v>
      </c>
      <c r="W48" s="23"/>
      <c r="X48" s="23"/>
      <c r="Y48" s="26"/>
      <c r="Z48" s="26"/>
      <c r="AA48" s="627"/>
      <c r="AB48" s="628"/>
      <c r="AC48" s="25"/>
      <c r="AD48" s="25"/>
      <c r="AE48" s="19">
        <f t="shared" si="8"/>
        <v>-113.81443298968998</v>
      </c>
      <c r="AF48" s="146">
        <f t="shared" si="9"/>
        <v>0.95257731958762915</v>
      </c>
      <c r="AG48" s="637"/>
    </row>
    <row r="49" spans="1:33">
      <c r="A49" s="652" t="s">
        <v>517</v>
      </c>
      <c r="B49" s="42" t="s">
        <v>116</v>
      </c>
      <c r="C49" s="633" t="s">
        <v>126</v>
      </c>
      <c r="D49" s="633"/>
      <c r="E49" s="42">
        <v>34.1</v>
      </c>
      <c r="F49" s="152">
        <v>2861</v>
      </c>
      <c r="G49" s="145">
        <f t="shared" si="27"/>
        <v>97560.1</v>
      </c>
      <c r="H49" s="37" t="s">
        <v>91</v>
      </c>
      <c r="I49" s="150">
        <v>17</v>
      </c>
      <c r="J49" s="39">
        <v>1600</v>
      </c>
      <c r="K49" s="17">
        <f t="shared" si="1"/>
        <v>94.117647058823536</v>
      </c>
      <c r="L49" s="150">
        <v>17</v>
      </c>
      <c r="M49" s="18">
        <f t="shared" si="28"/>
        <v>1532.6785714285725</v>
      </c>
      <c r="N49" s="17">
        <f t="shared" si="3"/>
        <v>90.157563025210152</v>
      </c>
      <c r="O49" s="19">
        <f t="shared" si="4"/>
        <v>0</v>
      </c>
      <c r="P49" s="20">
        <f t="shared" si="5"/>
        <v>-3.9600840336133842</v>
      </c>
      <c r="Q49" s="146">
        <f t="shared" si="6"/>
        <v>0.95792410714285781</v>
      </c>
      <c r="R49" s="637"/>
      <c r="S49" s="40">
        <v>0.67013888888888884</v>
      </c>
      <c r="T49" s="40">
        <v>0.74791666666666656</v>
      </c>
      <c r="U49" s="145">
        <f t="shared" si="30"/>
        <v>5.9999999999999787</v>
      </c>
      <c r="V49" s="151">
        <f t="shared" si="29"/>
        <v>111.99999999999991</v>
      </c>
      <c r="W49" s="23"/>
      <c r="X49" s="23"/>
      <c r="Y49" s="26"/>
      <c r="Z49" s="26"/>
      <c r="AA49" s="627"/>
      <c r="AB49" s="628"/>
      <c r="AC49" s="25"/>
      <c r="AD49" s="25"/>
      <c r="AE49" s="19">
        <f t="shared" si="8"/>
        <v>-67.321428571427532</v>
      </c>
      <c r="AF49" s="146">
        <f t="shared" si="9"/>
        <v>0.95792410714285781</v>
      </c>
      <c r="AG49" s="637"/>
    </row>
    <row r="50" spans="1:33">
      <c r="A50" s="652" t="s">
        <v>517</v>
      </c>
      <c r="B50" s="44" t="s">
        <v>515</v>
      </c>
      <c r="C50" s="638"/>
      <c r="D50" s="638"/>
      <c r="E50" s="147"/>
      <c r="F50" s="44"/>
      <c r="G50" s="17"/>
      <c r="H50" s="152"/>
      <c r="I50" s="29">
        <v>18</v>
      </c>
      <c r="J50" s="39">
        <v>2200</v>
      </c>
      <c r="K50" s="17">
        <f t="shared" si="1"/>
        <v>122.22222222222223</v>
      </c>
      <c r="L50" s="29">
        <v>18</v>
      </c>
      <c r="M50" s="18">
        <f>AVERAGE(M42:M49)</f>
        <v>2101.7255218577934</v>
      </c>
      <c r="N50" s="17">
        <f t="shared" si="3"/>
        <v>116.76252899209963</v>
      </c>
      <c r="O50" s="19">
        <f t="shared" si="4"/>
        <v>0</v>
      </c>
      <c r="P50" s="20">
        <f t="shared" si="5"/>
        <v>-5.4596932301225962</v>
      </c>
      <c r="Q50" s="146">
        <f t="shared" si="6"/>
        <v>0.95532978266263335</v>
      </c>
      <c r="R50" s="637"/>
      <c r="S50" s="40"/>
      <c r="T50" s="40"/>
      <c r="U50" s="17"/>
      <c r="V50" s="151"/>
      <c r="W50" s="17"/>
      <c r="X50" s="17"/>
      <c r="Y50" s="30">
        <f>SUM(Y42:Y49)</f>
        <v>0</v>
      </c>
      <c r="Z50" s="30">
        <f>SUM(Z42:Z49)</f>
        <v>0</v>
      </c>
      <c r="AA50" s="631"/>
      <c r="AB50" s="631"/>
      <c r="AC50" s="30">
        <v>8</v>
      </c>
      <c r="AD50" s="30">
        <f>SUM(AD42:AD49)</f>
        <v>0</v>
      </c>
      <c r="AE50" s="19">
        <f t="shared" si="8"/>
        <v>-98.27447814220659</v>
      </c>
      <c r="AF50" s="146">
        <f t="shared" si="9"/>
        <v>0.95532978266263335</v>
      </c>
      <c r="AG50" s="637"/>
    </row>
    <row r="51" spans="1:33" ht="15.75" customHeight="1">
      <c r="A51" s="648" t="s">
        <v>518</v>
      </c>
      <c r="B51" s="42" t="s">
        <v>127</v>
      </c>
      <c r="C51" s="625" t="s">
        <v>128</v>
      </c>
      <c r="D51" s="626"/>
      <c r="E51" s="42">
        <v>21.13</v>
      </c>
      <c r="F51" s="152">
        <v>5840</v>
      </c>
      <c r="G51" s="145">
        <f t="shared" ref="G51:G54" si="31">E51*F51</f>
        <v>123399.2</v>
      </c>
      <c r="H51" s="37" t="s">
        <v>91</v>
      </c>
      <c r="I51" s="150">
        <v>10</v>
      </c>
      <c r="J51" s="39">
        <v>3000</v>
      </c>
      <c r="K51" s="17">
        <f t="shared" si="1"/>
        <v>300</v>
      </c>
      <c r="L51" s="150">
        <v>10</v>
      </c>
      <c r="M51" s="18">
        <f t="shared" ref="M51:M54" si="32">F51/V51*60</f>
        <v>2872.1311475409839</v>
      </c>
      <c r="N51" s="18">
        <f t="shared" si="3"/>
        <v>287.2131147540984</v>
      </c>
      <c r="O51" s="19">
        <f t="shared" si="4"/>
        <v>0</v>
      </c>
      <c r="P51" s="20">
        <f t="shared" si="5"/>
        <v>-12.786885245901601</v>
      </c>
      <c r="Q51" s="146">
        <f t="shared" si="6"/>
        <v>0.95737704918032795</v>
      </c>
      <c r="R51" s="643">
        <f>Q55</f>
        <v>0.96081316181661292</v>
      </c>
      <c r="S51" s="40">
        <v>0.20833333333333334</v>
      </c>
      <c r="T51" s="40">
        <v>0.29305555555555557</v>
      </c>
      <c r="U51" s="28"/>
      <c r="V51" s="151">
        <f t="shared" ref="V51:V54" si="33">(T51-S51)*24*60</f>
        <v>122</v>
      </c>
      <c r="W51" s="23"/>
      <c r="X51" s="23"/>
      <c r="Y51" s="26"/>
      <c r="Z51" s="26"/>
      <c r="AA51" s="627"/>
      <c r="AB51" s="628"/>
      <c r="AC51" s="25">
        <v>4</v>
      </c>
      <c r="AD51" s="25"/>
      <c r="AE51" s="19">
        <f t="shared" si="8"/>
        <v>-127.86885245901613</v>
      </c>
      <c r="AF51" s="146">
        <f t="shared" si="9"/>
        <v>0.95737704918032795</v>
      </c>
      <c r="AG51" s="643">
        <f>AF55</f>
        <v>0.96081316181661292</v>
      </c>
    </row>
    <row r="52" spans="1:33" ht="15.75" customHeight="1">
      <c r="A52" s="649" t="s">
        <v>518</v>
      </c>
      <c r="B52" s="42" t="s">
        <v>127</v>
      </c>
      <c r="C52" s="625" t="s">
        <v>129</v>
      </c>
      <c r="D52" s="626"/>
      <c r="E52" s="42">
        <v>27.17</v>
      </c>
      <c r="F52" s="152">
        <v>5251</v>
      </c>
      <c r="G52" s="145">
        <f t="shared" si="31"/>
        <v>142669.67000000001</v>
      </c>
      <c r="H52" s="37" t="s">
        <v>91</v>
      </c>
      <c r="I52" s="150">
        <v>10</v>
      </c>
      <c r="J52" s="39">
        <v>3000</v>
      </c>
      <c r="K52" s="17">
        <f t="shared" si="1"/>
        <v>300</v>
      </c>
      <c r="L52" s="150">
        <v>10</v>
      </c>
      <c r="M52" s="18">
        <f t="shared" si="32"/>
        <v>2864.1818181818176</v>
      </c>
      <c r="N52" s="18">
        <f t="shared" si="3"/>
        <v>286.41818181818178</v>
      </c>
      <c r="O52" s="19">
        <f t="shared" si="4"/>
        <v>0</v>
      </c>
      <c r="P52" s="20">
        <f t="shared" si="5"/>
        <v>-13.581818181818221</v>
      </c>
      <c r="Q52" s="146">
        <f t="shared" si="6"/>
        <v>0.95472727272727265</v>
      </c>
      <c r="R52" s="644"/>
      <c r="S52" s="40">
        <v>0.29722222222222222</v>
      </c>
      <c r="T52" s="40">
        <v>0.37361111111111112</v>
      </c>
      <c r="U52" s="145">
        <f t="shared" ref="U52:U54" si="34">(S52-T51)*24*60</f>
        <v>5.9999999999999787</v>
      </c>
      <c r="V52" s="151">
        <f t="shared" si="33"/>
        <v>110.00000000000001</v>
      </c>
      <c r="W52" s="23"/>
      <c r="X52" s="23"/>
      <c r="Y52" s="26"/>
      <c r="Z52" s="26"/>
      <c r="AA52" s="627"/>
      <c r="AB52" s="628"/>
      <c r="AC52" s="25"/>
      <c r="AD52" s="25"/>
      <c r="AE52" s="19">
        <f t="shared" si="8"/>
        <v>-135.81818181818244</v>
      </c>
      <c r="AF52" s="146">
        <f t="shared" si="9"/>
        <v>0.95472727272727254</v>
      </c>
      <c r="AG52" s="644"/>
    </row>
    <row r="53" spans="1:33" ht="15.75" customHeight="1">
      <c r="A53" s="649" t="s">
        <v>518</v>
      </c>
      <c r="B53" s="42" t="s">
        <v>127</v>
      </c>
      <c r="C53" s="625" t="s">
        <v>130</v>
      </c>
      <c r="D53" s="626"/>
      <c r="E53" s="42">
        <v>35.869999999999997</v>
      </c>
      <c r="F53" s="152">
        <v>2118</v>
      </c>
      <c r="G53" s="145">
        <f t="shared" si="31"/>
        <v>75972.659999999989</v>
      </c>
      <c r="H53" s="37" t="s">
        <v>91</v>
      </c>
      <c r="I53" s="150">
        <v>9</v>
      </c>
      <c r="J53" s="39">
        <v>3000</v>
      </c>
      <c r="K53" s="17">
        <f t="shared" si="1"/>
        <v>333.33333333333331</v>
      </c>
      <c r="L53" s="150">
        <v>9</v>
      </c>
      <c r="M53" s="18">
        <f t="shared" si="32"/>
        <v>2888.181818181818</v>
      </c>
      <c r="N53" s="18">
        <f t="shared" si="3"/>
        <v>320.90909090909088</v>
      </c>
      <c r="O53" s="19">
        <f t="shared" si="4"/>
        <v>0</v>
      </c>
      <c r="P53" s="20">
        <f t="shared" si="5"/>
        <v>-12.424242424242436</v>
      </c>
      <c r="Q53" s="146">
        <f t="shared" si="6"/>
        <v>0.96272727272727265</v>
      </c>
      <c r="R53" s="644"/>
      <c r="S53" s="40">
        <v>0.37916666666666665</v>
      </c>
      <c r="T53" s="40">
        <v>0.40972222222222221</v>
      </c>
      <c r="U53" s="145">
        <f t="shared" si="34"/>
        <v>7.9999999999999716</v>
      </c>
      <c r="V53" s="151">
        <f t="shared" si="33"/>
        <v>44</v>
      </c>
      <c r="W53" s="23"/>
      <c r="X53" s="23"/>
      <c r="Y53" s="26"/>
      <c r="Z53" s="26"/>
      <c r="AA53" s="627"/>
      <c r="AB53" s="628"/>
      <c r="AC53" s="25"/>
      <c r="AD53" s="25"/>
      <c r="AE53" s="19">
        <f t="shared" si="8"/>
        <v>-111.81818181818198</v>
      </c>
      <c r="AF53" s="146">
        <f t="shared" si="9"/>
        <v>0.96272727272727265</v>
      </c>
      <c r="AG53" s="644"/>
    </row>
    <row r="54" spans="1:33" ht="15.75" customHeight="1">
      <c r="A54" s="649" t="s">
        <v>518</v>
      </c>
      <c r="B54" s="42" t="s">
        <v>127</v>
      </c>
      <c r="C54" s="625" t="s">
        <v>131</v>
      </c>
      <c r="D54" s="626"/>
      <c r="E54" s="42">
        <v>34.35</v>
      </c>
      <c r="F54" s="152">
        <v>920</v>
      </c>
      <c r="G54" s="145">
        <f t="shared" si="31"/>
        <v>31602</v>
      </c>
      <c r="H54" s="37" t="s">
        <v>91</v>
      </c>
      <c r="I54" s="150">
        <v>8</v>
      </c>
      <c r="J54" s="39">
        <v>3000</v>
      </c>
      <c r="K54" s="17">
        <f t="shared" si="1"/>
        <v>375</v>
      </c>
      <c r="L54" s="150">
        <v>8</v>
      </c>
      <c r="M54" s="18">
        <f t="shared" si="32"/>
        <v>2905.2631578947344</v>
      </c>
      <c r="N54" s="18">
        <f t="shared" si="3"/>
        <v>363.1578947368418</v>
      </c>
      <c r="O54" s="19">
        <f t="shared" si="4"/>
        <v>0</v>
      </c>
      <c r="P54" s="20">
        <f t="shared" si="5"/>
        <v>-11.842105263158203</v>
      </c>
      <c r="Q54" s="146">
        <f t="shared" si="6"/>
        <v>0.96842105263157807</v>
      </c>
      <c r="R54" s="644"/>
      <c r="S54" s="40">
        <v>0.41319444444444442</v>
      </c>
      <c r="T54" s="40">
        <v>0.42638888888888887</v>
      </c>
      <c r="U54" s="145">
        <f t="shared" si="34"/>
        <v>4.9999999999999822</v>
      </c>
      <c r="V54" s="151">
        <f t="shared" si="33"/>
        <v>19.000000000000014</v>
      </c>
      <c r="W54" s="23"/>
      <c r="X54" s="23"/>
      <c r="Y54" s="26"/>
      <c r="Z54" s="26"/>
      <c r="AA54" s="627"/>
      <c r="AB54" s="628"/>
      <c r="AC54" s="25"/>
      <c r="AD54" s="25"/>
      <c r="AE54" s="19">
        <f t="shared" si="8"/>
        <v>-94.736842105265623</v>
      </c>
      <c r="AF54" s="146">
        <f t="shared" si="9"/>
        <v>0.96842105263157807</v>
      </c>
      <c r="AG54" s="644"/>
    </row>
    <row r="55" spans="1:33" ht="15.75" customHeight="1">
      <c r="A55" s="650" t="s">
        <v>518</v>
      </c>
      <c r="B55" s="42" t="s">
        <v>515</v>
      </c>
      <c r="C55" s="629"/>
      <c r="D55" s="630"/>
      <c r="E55" s="139"/>
      <c r="F55" s="152"/>
      <c r="G55" s="145"/>
      <c r="H55" s="152"/>
      <c r="I55" s="29">
        <v>9.25</v>
      </c>
      <c r="J55" s="39">
        <v>3000</v>
      </c>
      <c r="K55" s="17">
        <f t="shared" si="1"/>
        <v>324.32432432432432</v>
      </c>
      <c r="L55" s="29">
        <v>9.25</v>
      </c>
      <c r="M55" s="18">
        <f>AVERAGE(M51:M54)</f>
        <v>2882.4394854498387</v>
      </c>
      <c r="N55" s="17">
        <f t="shared" si="3"/>
        <v>311.61507950809067</v>
      </c>
      <c r="O55" s="19">
        <f t="shared" si="4"/>
        <v>0</v>
      </c>
      <c r="P55" s="20">
        <f t="shared" si="5"/>
        <v>-12.70924481623365</v>
      </c>
      <c r="Q55" s="146">
        <f t="shared" si="6"/>
        <v>0.96081316181661292</v>
      </c>
      <c r="R55" s="645"/>
      <c r="S55" s="40"/>
      <c r="T55" s="40"/>
      <c r="U55" s="145"/>
      <c r="V55" s="151"/>
      <c r="W55" s="23"/>
      <c r="X55" s="23"/>
      <c r="Y55" s="30">
        <f>SUM(Y51:Y54)</f>
        <v>0</v>
      </c>
      <c r="Z55" s="30">
        <f>SUM(Z51:Z54)</f>
        <v>0</v>
      </c>
      <c r="AA55" s="646"/>
      <c r="AB55" s="647"/>
      <c r="AC55" s="30">
        <v>4</v>
      </c>
      <c r="AD55" s="30">
        <f>SUM(AD51:AD54)</f>
        <v>0</v>
      </c>
      <c r="AE55" s="19">
        <f t="shared" si="8"/>
        <v>-117.56051455016132</v>
      </c>
      <c r="AF55" s="146">
        <f t="shared" si="9"/>
        <v>0.96081316181661292</v>
      </c>
      <c r="AG55" s="645"/>
    </row>
    <row r="56" spans="1:33" ht="15.75" customHeight="1">
      <c r="A56" s="641" t="s">
        <v>519</v>
      </c>
      <c r="B56" s="42" t="s">
        <v>92</v>
      </c>
      <c r="C56" s="633" t="s">
        <v>133</v>
      </c>
      <c r="D56" s="633"/>
      <c r="E56" s="42">
        <v>59.04</v>
      </c>
      <c r="F56" s="48">
        <v>1644</v>
      </c>
      <c r="G56" s="145">
        <f t="shared" ref="G56:G64" si="35">E56*F56</f>
        <v>97061.759999999995</v>
      </c>
      <c r="H56" s="37" t="s">
        <v>91</v>
      </c>
      <c r="I56" s="150">
        <v>19</v>
      </c>
      <c r="J56" s="39">
        <v>2000</v>
      </c>
      <c r="K56" s="17">
        <f t="shared" si="1"/>
        <v>105.26315789473684</v>
      </c>
      <c r="L56" s="150">
        <v>19</v>
      </c>
      <c r="M56" s="18">
        <f t="shared" ref="M56" si="36">F56/V56*60</f>
        <v>1934.1176470588225</v>
      </c>
      <c r="N56" s="18">
        <f t="shared" si="3"/>
        <v>101.79566563467488</v>
      </c>
      <c r="O56" s="19">
        <f t="shared" si="4"/>
        <v>0</v>
      </c>
      <c r="P56" s="20">
        <f t="shared" si="5"/>
        <v>-3.4674922600619595</v>
      </c>
      <c r="Q56" s="146">
        <f t="shared" si="6"/>
        <v>0.96705882352941142</v>
      </c>
      <c r="R56" s="637">
        <f>Q65</f>
        <v>0.96013226305831711</v>
      </c>
      <c r="S56" s="40">
        <v>0.20833333333333334</v>
      </c>
      <c r="T56" s="40">
        <v>0.24375000000000002</v>
      </c>
      <c r="U56" s="28"/>
      <c r="V56" s="151">
        <f t="shared" ref="V56:V64" si="37">(T56-S56)*24*60</f>
        <v>51.000000000000021</v>
      </c>
      <c r="W56" s="23"/>
      <c r="X56" s="23"/>
      <c r="Y56" s="28"/>
      <c r="Z56" s="28"/>
      <c r="AA56" s="632"/>
      <c r="AB56" s="632"/>
      <c r="AC56" s="25">
        <v>9</v>
      </c>
      <c r="AD56" s="25"/>
      <c r="AE56" s="19">
        <f t="shared" si="8"/>
        <v>-65.882352941177487</v>
      </c>
      <c r="AF56" s="146">
        <f t="shared" si="9"/>
        <v>0.9670588235294113</v>
      </c>
      <c r="AG56" s="637">
        <f>AF65</f>
        <v>0.96013226305831711</v>
      </c>
    </row>
    <row r="57" spans="1:33" ht="15.75" customHeight="1">
      <c r="A57" s="641" t="s">
        <v>519</v>
      </c>
      <c r="B57" s="42" t="s">
        <v>103</v>
      </c>
      <c r="C57" s="633" t="s">
        <v>132</v>
      </c>
      <c r="D57" s="633"/>
      <c r="E57" s="42">
        <v>51.44</v>
      </c>
      <c r="F57" s="48">
        <v>4090</v>
      </c>
      <c r="G57" s="145">
        <f t="shared" si="35"/>
        <v>210389.59999999998</v>
      </c>
      <c r="H57" s="37" t="s">
        <v>91</v>
      </c>
      <c r="I57" s="150">
        <v>18</v>
      </c>
      <c r="J57" s="39">
        <v>2000</v>
      </c>
      <c r="K57" s="17">
        <f t="shared" si="1"/>
        <v>111.11111111111111</v>
      </c>
      <c r="L57" s="150">
        <v>18</v>
      </c>
      <c r="M57" s="18">
        <f>F57/V57*60</f>
        <v>1902.3255813953492</v>
      </c>
      <c r="N57" s="18">
        <f t="shared" si="3"/>
        <v>105.68475452196384</v>
      </c>
      <c r="O57" s="19">
        <f t="shared" si="4"/>
        <v>0</v>
      </c>
      <c r="P57" s="20">
        <f t="shared" si="5"/>
        <v>-5.4263565891472751</v>
      </c>
      <c r="Q57" s="146">
        <f t="shared" si="6"/>
        <v>0.95116279069767451</v>
      </c>
      <c r="R57" s="637"/>
      <c r="S57" s="40">
        <v>0.24861111111111114</v>
      </c>
      <c r="T57" s="40">
        <v>0.33819444444444446</v>
      </c>
      <c r="U57" s="145">
        <f t="shared" ref="U57:U64" si="38">IF(S57=TIME(17,0,0),"",(S57-T56)*24*60)</f>
        <v>7.0000000000000151</v>
      </c>
      <c r="V57" s="151">
        <f t="shared" si="37"/>
        <v>128.99999999999997</v>
      </c>
      <c r="W57" s="23"/>
      <c r="X57" s="23"/>
      <c r="Y57" s="23"/>
      <c r="Z57" s="23"/>
      <c r="AA57" s="632"/>
      <c r="AB57" s="632"/>
      <c r="AC57" s="25"/>
      <c r="AD57" s="25"/>
      <c r="AE57" s="19">
        <f t="shared" si="8"/>
        <v>-97.674418604650782</v>
      </c>
      <c r="AF57" s="146">
        <f t="shared" si="9"/>
        <v>0.95116279069767462</v>
      </c>
      <c r="AG57" s="637"/>
    </row>
    <row r="58" spans="1:33" ht="15.75" customHeight="1">
      <c r="A58" s="641" t="s">
        <v>519</v>
      </c>
      <c r="B58" s="42" t="s">
        <v>92</v>
      </c>
      <c r="C58" s="625" t="s">
        <v>134</v>
      </c>
      <c r="D58" s="626"/>
      <c r="E58" s="42">
        <v>56.43</v>
      </c>
      <c r="F58" s="48">
        <v>1250</v>
      </c>
      <c r="G58" s="145">
        <f t="shared" si="35"/>
        <v>70537.5</v>
      </c>
      <c r="H58" s="37" t="s">
        <v>91</v>
      </c>
      <c r="I58" s="150">
        <v>22</v>
      </c>
      <c r="J58" s="39">
        <v>2000</v>
      </c>
      <c r="K58" s="17">
        <f t="shared" si="1"/>
        <v>90.909090909090907</v>
      </c>
      <c r="L58" s="150">
        <v>22</v>
      </c>
      <c r="M58" s="18">
        <f t="shared" ref="M58:M64" si="39">F58/V58*60</f>
        <v>1923.0769230769222</v>
      </c>
      <c r="N58" s="18">
        <f t="shared" si="3"/>
        <v>87.412587412587371</v>
      </c>
      <c r="O58" s="19">
        <f t="shared" si="4"/>
        <v>0</v>
      </c>
      <c r="P58" s="20">
        <f t="shared" si="5"/>
        <v>-3.4965034965035358</v>
      </c>
      <c r="Q58" s="146">
        <f t="shared" si="6"/>
        <v>0.96153846153846112</v>
      </c>
      <c r="R58" s="637"/>
      <c r="S58" s="40">
        <v>0.34166666666666667</v>
      </c>
      <c r="T58" s="40">
        <v>0.36875000000000002</v>
      </c>
      <c r="U58" s="145">
        <f t="shared" si="38"/>
        <v>4.9999999999999822</v>
      </c>
      <c r="V58" s="151">
        <f t="shared" si="37"/>
        <v>39.000000000000021</v>
      </c>
      <c r="W58" s="23"/>
      <c r="X58" s="23"/>
      <c r="Y58" s="26"/>
      <c r="Z58" s="26"/>
      <c r="AA58" s="632"/>
      <c r="AB58" s="632"/>
      <c r="AC58" s="25"/>
      <c r="AD58" s="25"/>
      <c r="AE58" s="19">
        <f t="shared" si="8"/>
        <v>-76.923076923077815</v>
      </c>
      <c r="AF58" s="146">
        <f t="shared" si="9"/>
        <v>0.96153846153846112</v>
      </c>
      <c r="AG58" s="637"/>
    </row>
    <row r="59" spans="1:33" ht="15.75" customHeight="1">
      <c r="A59" s="641" t="s">
        <v>519</v>
      </c>
      <c r="B59" s="42" t="s">
        <v>92</v>
      </c>
      <c r="C59" s="141" t="s">
        <v>135</v>
      </c>
      <c r="D59" s="142"/>
      <c r="E59" s="42">
        <v>51.44</v>
      </c>
      <c r="F59" s="48">
        <v>1801</v>
      </c>
      <c r="G59" s="145">
        <f t="shared" si="35"/>
        <v>92643.44</v>
      </c>
      <c r="H59" s="37" t="s">
        <v>91</v>
      </c>
      <c r="I59" s="150">
        <v>25</v>
      </c>
      <c r="J59" s="39">
        <v>2000</v>
      </c>
      <c r="K59" s="17">
        <f t="shared" si="1"/>
        <v>80</v>
      </c>
      <c r="L59" s="150">
        <v>25</v>
      </c>
      <c r="M59" s="18">
        <f t="shared" si="39"/>
        <v>1929.6428571428587</v>
      </c>
      <c r="N59" s="18">
        <f t="shared" si="3"/>
        <v>77.185714285714354</v>
      </c>
      <c r="O59" s="19">
        <f t="shared" si="4"/>
        <v>0</v>
      </c>
      <c r="P59" s="20">
        <f t="shared" si="5"/>
        <v>-2.8142857142856457</v>
      </c>
      <c r="Q59" s="146">
        <f t="shared" si="6"/>
        <v>0.96482142857142938</v>
      </c>
      <c r="R59" s="637"/>
      <c r="S59" s="40">
        <v>0.37291666666666667</v>
      </c>
      <c r="T59" s="40">
        <v>0.41180555555555554</v>
      </c>
      <c r="U59" s="145">
        <f t="shared" si="38"/>
        <v>5.9999999999999787</v>
      </c>
      <c r="V59" s="151">
        <f t="shared" si="37"/>
        <v>55.999999999999957</v>
      </c>
      <c r="W59" s="23"/>
      <c r="X59" s="23"/>
      <c r="Y59" s="26"/>
      <c r="Z59" s="26"/>
      <c r="AA59" s="632"/>
      <c r="AB59" s="632"/>
      <c r="AC59" s="25"/>
      <c r="AD59" s="25"/>
      <c r="AE59" s="19">
        <f t="shared" si="8"/>
        <v>-70.357142857141298</v>
      </c>
      <c r="AF59" s="146">
        <f t="shared" si="9"/>
        <v>0.96482142857142938</v>
      </c>
      <c r="AG59" s="637"/>
    </row>
    <row r="60" spans="1:33" ht="15.75" customHeight="1">
      <c r="A60" s="641" t="s">
        <v>519</v>
      </c>
      <c r="B60" s="42" t="s">
        <v>96</v>
      </c>
      <c r="C60" s="141" t="s">
        <v>136</v>
      </c>
      <c r="D60" s="142"/>
      <c r="E60" s="42">
        <v>46</v>
      </c>
      <c r="F60" s="48">
        <v>1726</v>
      </c>
      <c r="G60" s="145">
        <f t="shared" si="35"/>
        <v>79396</v>
      </c>
      <c r="H60" s="37" t="s">
        <v>91</v>
      </c>
      <c r="I60" s="150">
        <v>16</v>
      </c>
      <c r="J60" s="39">
        <v>2000</v>
      </c>
      <c r="K60" s="17">
        <f t="shared" si="1"/>
        <v>125</v>
      </c>
      <c r="L60" s="150">
        <v>16</v>
      </c>
      <c r="M60" s="18">
        <f t="shared" si="39"/>
        <v>1917.7777777777787</v>
      </c>
      <c r="N60" s="18">
        <f t="shared" si="3"/>
        <v>119.86111111111117</v>
      </c>
      <c r="O60" s="19">
        <f t="shared" si="4"/>
        <v>0</v>
      </c>
      <c r="P60" s="20">
        <f t="shared" si="5"/>
        <v>-5.1388888888888289</v>
      </c>
      <c r="Q60" s="146">
        <f t="shared" si="6"/>
        <v>0.95888888888888935</v>
      </c>
      <c r="R60" s="637"/>
      <c r="S60" s="40">
        <v>0.41527777777777775</v>
      </c>
      <c r="T60" s="40">
        <v>0.45277777777777772</v>
      </c>
      <c r="U60" s="145">
        <f t="shared" si="38"/>
        <v>4.9999999999999822</v>
      </c>
      <c r="V60" s="151">
        <f t="shared" si="37"/>
        <v>53.999999999999972</v>
      </c>
      <c r="W60" s="23"/>
      <c r="X60" s="23"/>
      <c r="Y60" s="26"/>
      <c r="Z60" s="26"/>
      <c r="AA60" s="632"/>
      <c r="AB60" s="632"/>
      <c r="AC60" s="25"/>
      <c r="AD60" s="25"/>
      <c r="AE60" s="19">
        <f t="shared" si="8"/>
        <v>-82.222222222221262</v>
      </c>
      <c r="AF60" s="146">
        <f t="shared" si="9"/>
        <v>0.95888888888888935</v>
      </c>
      <c r="AG60" s="637"/>
    </row>
    <row r="61" spans="1:33" ht="15.75" customHeight="1">
      <c r="A61" s="641" t="s">
        <v>519</v>
      </c>
      <c r="B61" s="42" t="s">
        <v>96</v>
      </c>
      <c r="C61" s="625" t="s">
        <v>137</v>
      </c>
      <c r="D61" s="626"/>
      <c r="E61" s="42">
        <v>46</v>
      </c>
      <c r="F61" s="48">
        <v>1923</v>
      </c>
      <c r="G61" s="145">
        <f t="shared" si="35"/>
        <v>88458</v>
      </c>
      <c r="H61" s="37" t="s">
        <v>91</v>
      </c>
      <c r="I61" s="150">
        <v>17</v>
      </c>
      <c r="J61" s="39">
        <v>2000</v>
      </c>
      <c r="K61" s="17">
        <f t="shared" si="1"/>
        <v>117.64705882352941</v>
      </c>
      <c r="L61" s="150">
        <v>17</v>
      </c>
      <c r="M61" s="18">
        <f t="shared" si="39"/>
        <v>1922.9999999999991</v>
      </c>
      <c r="N61" s="18">
        <f t="shared" si="3"/>
        <v>113.11764705882348</v>
      </c>
      <c r="O61" s="19">
        <f t="shared" si="4"/>
        <v>0</v>
      </c>
      <c r="P61" s="20">
        <f t="shared" si="5"/>
        <v>-4.5294117647059267</v>
      </c>
      <c r="Q61" s="146">
        <f t="shared" si="6"/>
        <v>0.96149999999999958</v>
      </c>
      <c r="R61" s="637"/>
      <c r="S61" s="40">
        <v>0.45624999999999993</v>
      </c>
      <c r="T61" s="40">
        <v>0.49791666666666662</v>
      </c>
      <c r="U61" s="145">
        <f t="shared" si="38"/>
        <v>4.9999999999999822</v>
      </c>
      <c r="V61" s="151">
        <f t="shared" si="37"/>
        <v>60.000000000000028</v>
      </c>
      <c r="W61" s="23"/>
      <c r="X61" s="23"/>
      <c r="Y61" s="26"/>
      <c r="Z61" s="26"/>
      <c r="AA61" s="627"/>
      <c r="AB61" s="628"/>
      <c r="AC61" s="25"/>
      <c r="AD61" s="25"/>
      <c r="AE61" s="19">
        <f t="shared" si="8"/>
        <v>-77.000000000000909</v>
      </c>
      <c r="AF61" s="146">
        <f t="shared" si="9"/>
        <v>0.96149999999999958</v>
      </c>
      <c r="AG61" s="637"/>
    </row>
    <row r="62" spans="1:33" ht="15.75" customHeight="1">
      <c r="A62" s="641" t="s">
        <v>519</v>
      </c>
      <c r="B62" s="42" t="s">
        <v>92</v>
      </c>
      <c r="C62" s="625" t="s">
        <v>138</v>
      </c>
      <c r="D62" s="626"/>
      <c r="E62" s="42">
        <v>55.56</v>
      </c>
      <c r="F62" s="48">
        <v>2830</v>
      </c>
      <c r="G62" s="145">
        <f t="shared" si="35"/>
        <v>157234.80000000002</v>
      </c>
      <c r="H62" s="37" t="s">
        <v>91</v>
      </c>
      <c r="I62" s="150">
        <v>17</v>
      </c>
      <c r="J62" s="39">
        <v>2000</v>
      </c>
      <c r="K62" s="17">
        <f t="shared" si="1"/>
        <v>117.64705882352941</v>
      </c>
      <c r="L62" s="150">
        <v>17</v>
      </c>
      <c r="M62" s="18">
        <f t="shared" si="39"/>
        <v>1907.8651685393259</v>
      </c>
      <c r="N62" s="18">
        <f t="shared" si="3"/>
        <v>112.22736285525446</v>
      </c>
      <c r="O62" s="19">
        <f t="shared" si="4"/>
        <v>0</v>
      </c>
      <c r="P62" s="20">
        <f t="shared" si="5"/>
        <v>-5.4196959682749508</v>
      </c>
      <c r="Q62" s="146">
        <f t="shared" si="6"/>
        <v>0.95393258426966288</v>
      </c>
      <c r="R62" s="637"/>
      <c r="S62" s="40">
        <v>0.70833333333333337</v>
      </c>
      <c r="T62" s="40">
        <v>0.77013888888888893</v>
      </c>
      <c r="U62" s="145" t="str">
        <f t="shared" si="38"/>
        <v/>
      </c>
      <c r="V62" s="151">
        <f t="shared" si="37"/>
        <v>89</v>
      </c>
      <c r="W62" s="23"/>
      <c r="X62" s="23"/>
      <c r="Y62" s="26"/>
      <c r="Z62" s="26"/>
      <c r="AA62" s="627"/>
      <c r="AB62" s="628"/>
      <c r="AC62" s="25"/>
      <c r="AD62" s="25"/>
      <c r="AE62" s="19">
        <f t="shared" si="8"/>
        <v>-92.13483146067415</v>
      </c>
      <c r="AF62" s="146">
        <f t="shared" si="9"/>
        <v>0.95393258426966288</v>
      </c>
      <c r="AG62" s="637"/>
    </row>
    <row r="63" spans="1:33" ht="15.75" customHeight="1">
      <c r="A63" s="641" t="s">
        <v>519</v>
      </c>
      <c r="B63" s="42" t="s">
        <v>92</v>
      </c>
      <c r="C63" s="625" t="s">
        <v>420</v>
      </c>
      <c r="D63" s="626"/>
      <c r="E63" s="42">
        <v>58.17</v>
      </c>
      <c r="F63" s="48">
        <v>2000</v>
      </c>
      <c r="G63" s="145">
        <f t="shared" si="35"/>
        <v>116340</v>
      </c>
      <c r="H63" s="37">
        <v>2</v>
      </c>
      <c r="I63" s="150">
        <v>13</v>
      </c>
      <c r="J63" s="39">
        <v>2000</v>
      </c>
      <c r="K63" s="17">
        <f t="shared" si="1"/>
        <v>153.84615384615384</v>
      </c>
      <c r="L63" s="150">
        <v>13</v>
      </c>
      <c r="M63" s="18">
        <f t="shared" si="39"/>
        <v>1935.4838709677435</v>
      </c>
      <c r="N63" s="18">
        <f t="shared" si="3"/>
        <v>148.88337468982644</v>
      </c>
      <c r="O63" s="19">
        <f t="shared" si="4"/>
        <v>0</v>
      </c>
      <c r="P63" s="20">
        <f t="shared" si="5"/>
        <v>-4.9627791563274002</v>
      </c>
      <c r="Q63" s="146">
        <f t="shared" si="6"/>
        <v>0.96774193548387188</v>
      </c>
      <c r="R63" s="637"/>
      <c r="S63" s="40">
        <v>0.77500000000000002</v>
      </c>
      <c r="T63" s="40">
        <v>0.81805555555555554</v>
      </c>
      <c r="U63" s="145">
        <f t="shared" si="38"/>
        <v>6.9999999999999751</v>
      </c>
      <c r="V63" s="151">
        <f t="shared" si="37"/>
        <v>61.999999999999943</v>
      </c>
      <c r="W63" s="23">
        <f>T63</f>
        <v>0.81805555555555554</v>
      </c>
      <c r="X63" s="23">
        <f>S64</f>
        <v>0.85833333333333328</v>
      </c>
      <c r="Y63" s="26"/>
      <c r="Z63" s="26"/>
      <c r="AA63" s="627"/>
      <c r="AB63" s="628"/>
      <c r="AC63" s="25"/>
      <c r="AD63" s="25"/>
      <c r="AE63" s="19">
        <f t="shared" si="8"/>
        <v>-64.516129032256458</v>
      </c>
      <c r="AF63" s="146">
        <f t="shared" si="9"/>
        <v>0.96774193548387177</v>
      </c>
      <c r="AG63" s="637"/>
    </row>
    <row r="64" spans="1:33">
      <c r="A64" s="641" t="s">
        <v>519</v>
      </c>
      <c r="B64" s="42" t="s">
        <v>92</v>
      </c>
      <c r="C64" s="141" t="s">
        <v>420</v>
      </c>
      <c r="D64" s="142"/>
      <c r="E64" s="42">
        <v>58.17</v>
      </c>
      <c r="F64" s="48">
        <v>2800</v>
      </c>
      <c r="G64" s="145">
        <f t="shared" si="35"/>
        <v>162876</v>
      </c>
      <c r="H64" s="37" t="s">
        <v>91</v>
      </c>
      <c r="I64" s="150">
        <v>13</v>
      </c>
      <c r="J64" s="39">
        <v>2000</v>
      </c>
      <c r="K64" s="17">
        <f t="shared" si="1"/>
        <v>153.84615384615384</v>
      </c>
      <c r="L64" s="150">
        <v>13</v>
      </c>
      <c r="M64" s="18">
        <f t="shared" si="39"/>
        <v>1909.090909090909</v>
      </c>
      <c r="N64" s="18">
        <f t="shared" si="3"/>
        <v>146.85314685314685</v>
      </c>
      <c r="O64" s="19">
        <f t="shared" si="4"/>
        <v>0</v>
      </c>
      <c r="P64" s="20">
        <f t="shared" si="5"/>
        <v>-6.9930069930069862</v>
      </c>
      <c r="Q64" s="146">
        <f t="shared" si="6"/>
        <v>0.95454545454545459</v>
      </c>
      <c r="R64" s="637"/>
      <c r="S64" s="40">
        <v>0.85833333333333328</v>
      </c>
      <c r="T64" s="40">
        <v>0.9194444444444444</v>
      </c>
      <c r="U64" s="145">
        <f t="shared" si="38"/>
        <v>57.999999999999957</v>
      </c>
      <c r="V64" s="151">
        <f t="shared" si="37"/>
        <v>88</v>
      </c>
      <c r="W64" s="23"/>
      <c r="X64" s="23"/>
      <c r="Y64" s="26"/>
      <c r="Z64" s="26"/>
      <c r="AA64" s="143"/>
      <c r="AB64" s="144"/>
      <c r="AC64" s="25"/>
      <c r="AD64" s="25"/>
      <c r="AE64" s="19">
        <f t="shared" si="8"/>
        <v>-90.909090909090992</v>
      </c>
      <c r="AF64" s="146">
        <f t="shared" si="9"/>
        <v>0.95454545454545447</v>
      </c>
      <c r="AG64" s="637"/>
    </row>
    <row r="65" spans="1:33">
      <c r="A65" s="642" t="s">
        <v>519</v>
      </c>
      <c r="B65" s="42" t="s">
        <v>515</v>
      </c>
      <c r="C65" s="638"/>
      <c r="D65" s="638"/>
      <c r="E65" s="147"/>
      <c r="F65" s="44"/>
      <c r="G65" s="17"/>
      <c r="H65" s="152"/>
      <c r="I65" s="29">
        <v>17.777777777777779</v>
      </c>
      <c r="J65" s="39">
        <v>2000</v>
      </c>
      <c r="K65" s="17">
        <f t="shared" si="1"/>
        <v>112.5</v>
      </c>
      <c r="L65" s="29">
        <v>17.777777777777779</v>
      </c>
      <c r="M65" s="18">
        <f>AVERAGE(M56:M64)</f>
        <v>1920.2645261166342</v>
      </c>
      <c r="N65" s="17">
        <f t="shared" si="3"/>
        <v>108.01487959406067</v>
      </c>
      <c r="O65" s="19">
        <f t="shared" si="4"/>
        <v>0</v>
      </c>
      <c r="P65" s="20">
        <f t="shared" si="5"/>
        <v>-4.4851204059393268</v>
      </c>
      <c r="Q65" s="146">
        <f t="shared" si="6"/>
        <v>0.96013226305831711</v>
      </c>
      <c r="R65" s="637"/>
      <c r="S65" s="40"/>
      <c r="T65" s="40"/>
      <c r="U65" s="145"/>
      <c r="V65" s="151"/>
      <c r="W65" s="17"/>
      <c r="X65" s="17"/>
      <c r="Y65" s="30">
        <f>SUM(Y56:Y64)</f>
        <v>0</v>
      </c>
      <c r="Z65" s="30">
        <f>SUM(Z56:Z64)</f>
        <v>0</v>
      </c>
      <c r="AA65" s="631"/>
      <c r="AB65" s="631"/>
      <c r="AC65" s="30">
        <v>9</v>
      </c>
      <c r="AD65" s="30">
        <f>SUM(AD56:AD64)</f>
        <v>0</v>
      </c>
      <c r="AE65" s="19">
        <f>M65-J65</f>
        <v>-79.735473883365785</v>
      </c>
      <c r="AF65" s="146">
        <f t="shared" si="9"/>
        <v>0.96013226305831711</v>
      </c>
      <c r="AG65" s="637"/>
    </row>
    <row r="66" spans="1:33" ht="15.75" customHeight="1">
      <c r="A66" s="639" t="s">
        <v>520</v>
      </c>
      <c r="B66" s="152" t="s">
        <v>127</v>
      </c>
      <c r="C66" s="633" t="s">
        <v>141</v>
      </c>
      <c r="D66" s="633"/>
      <c r="E66" s="42">
        <v>35.119999999999997</v>
      </c>
      <c r="F66" s="48">
        <v>4778</v>
      </c>
      <c r="G66" s="145">
        <f t="shared" ref="G66:G69" si="40">E66*F66</f>
        <v>167803.36</v>
      </c>
      <c r="H66" s="37" t="s">
        <v>91</v>
      </c>
      <c r="I66" s="150">
        <v>10</v>
      </c>
      <c r="J66" s="39">
        <v>3000</v>
      </c>
      <c r="K66" s="17">
        <f t="shared" si="1"/>
        <v>300</v>
      </c>
      <c r="L66" s="150">
        <v>10</v>
      </c>
      <c r="M66" s="18">
        <f t="shared" ref="M66:M69" si="41">F66/V66*60</f>
        <v>2866.8</v>
      </c>
      <c r="N66" s="17">
        <f t="shared" si="3"/>
        <v>286.68</v>
      </c>
      <c r="O66" s="19">
        <f t="shared" si="4"/>
        <v>0</v>
      </c>
      <c r="P66" s="20">
        <f t="shared" si="5"/>
        <v>-13.319999999999993</v>
      </c>
      <c r="Q66" s="146">
        <f t="shared" si="6"/>
        <v>0.9556</v>
      </c>
      <c r="R66" s="637">
        <f>Q70</f>
        <v>0.95610390653523158</v>
      </c>
      <c r="S66" s="40">
        <v>0.20833333333333334</v>
      </c>
      <c r="T66" s="40">
        <v>0.27777777777777779</v>
      </c>
      <c r="U66" s="145"/>
      <c r="V66" s="151">
        <f t="shared" ref="V66:V69" si="42">(T66-S66)*24*60</f>
        <v>100</v>
      </c>
      <c r="W66" s="23"/>
      <c r="X66" s="23"/>
      <c r="Y66" s="28"/>
      <c r="Z66" s="28"/>
      <c r="AA66" s="632"/>
      <c r="AB66" s="632"/>
      <c r="AC66" s="25">
        <v>4</v>
      </c>
      <c r="AD66" s="25"/>
      <c r="AE66" s="19">
        <f t="shared" ref="AE66:AE80" si="43">M66-J66</f>
        <v>-133.19999999999982</v>
      </c>
      <c r="AF66" s="146">
        <f t="shared" si="9"/>
        <v>0.95560000000000012</v>
      </c>
      <c r="AG66" s="637">
        <f>AF70</f>
        <v>0.9561039065352317</v>
      </c>
    </row>
    <row r="67" spans="1:33" ht="15.75" customHeight="1">
      <c r="A67" s="639" t="s">
        <v>520</v>
      </c>
      <c r="B67" s="152" t="s">
        <v>127</v>
      </c>
      <c r="C67" s="633" t="s">
        <v>142</v>
      </c>
      <c r="D67" s="633"/>
      <c r="E67" s="42">
        <v>26.78</v>
      </c>
      <c r="F67" s="48">
        <v>2631</v>
      </c>
      <c r="G67" s="145">
        <f t="shared" si="40"/>
        <v>70458.180000000008</v>
      </c>
      <c r="H67" s="37" t="s">
        <v>91</v>
      </c>
      <c r="I67" s="150">
        <v>10</v>
      </c>
      <c r="J67" s="39">
        <v>3000</v>
      </c>
      <c r="K67" s="17">
        <f t="shared" si="1"/>
        <v>300</v>
      </c>
      <c r="L67" s="150">
        <v>10</v>
      </c>
      <c r="M67" s="18">
        <f t="shared" si="41"/>
        <v>2870.1818181818198</v>
      </c>
      <c r="N67" s="17">
        <f t="shared" si="3"/>
        <v>287.01818181818197</v>
      </c>
      <c r="O67" s="19">
        <f t="shared" si="4"/>
        <v>0</v>
      </c>
      <c r="P67" s="20">
        <f t="shared" si="5"/>
        <v>-12.981818181818028</v>
      </c>
      <c r="Q67" s="146">
        <f t="shared" si="6"/>
        <v>0.9567272727272732</v>
      </c>
      <c r="R67" s="637"/>
      <c r="S67" s="40">
        <v>0.28125</v>
      </c>
      <c r="T67" s="40">
        <v>0.31944444444444442</v>
      </c>
      <c r="U67" s="145">
        <f t="shared" ref="U67:U69" si="44">(S67-T66)*24*60</f>
        <v>4.9999999999999822</v>
      </c>
      <c r="V67" s="151">
        <f t="shared" si="42"/>
        <v>54.999999999999964</v>
      </c>
      <c r="W67" s="145"/>
      <c r="X67" s="145"/>
      <c r="Y67" s="145"/>
      <c r="Z67" s="145"/>
      <c r="AA67" s="632"/>
      <c r="AB67" s="632"/>
      <c r="AC67" s="25"/>
      <c r="AD67" s="25"/>
      <c r="AE67" s="19">
        <f t="shared" si="43"/>
        <v>-129.81818181818016</v>
      </c>
      <c r="AF67" s="146">
        <f t="shared" si="9"/>
        <v>0.95672727272727331</v>
      </c>
      <c r="AG67" s="637"/>
    </row>
    <row r="68" spans="1:33" ht="15.75" customHeight="1">
      <c r="A68" s="639" t="s">
        <v>520</v>
      </c>
      <c r="B68" s="152" t="s">
        <v>127</v>
      </c>
      <c r="C68" s="633" t="s">
        <v>143</v>
      </c>
      <c r="D68" s="633"/>
      <c r="E68" s="42">
        <v>36.14</v>
      </c>
      <c r="F68" s="48">
        <v>1722</v>
      </c>
      <c r="G68" s="145">
        <f t="shared" si="40"/>
        <v>62233.08</v>
      </c>
      <c r="H68" s="37" t="s">
        <v>91</v>
      </c>
      <c r="I68" s="150">
        <v>11</v>
      </c>
      <c r="J68" s="39">
        <v>3000</v>
      </c>
      <c r="K68" s="17">
        <f t="shared" si="1"/>
        <v>272.72727272727275</v>
      </c>
      <c r="L68" s="150">
        <v>11</v>
      </c>
      <c r="M68" s="18">
        <f t="shared" si="41"/>
        <v>2869.9999999999977</v>
      </c>
      <c r="N68" s="17">
        <f t="shared" si="3"/>
        <v>260.90909090909071</v>
      </c>
      <c r="O68" s="19">
        <f t="shared" si="4"/>
        <v>0</v>
      </c>
      <c r="P68" s="20">
        <f t="shared" si="5"/>
        <v>-11.81818181818204</v>
      </c>
      <c r="Q68" s="146">
        <f t="shared" si="6"/>
        <v>0.95666666666666589</v>
      </c>
      <c r="R68" s="637"/>
      <c r="S68" s="40">
        <v>0.32430555555555551</v>
      </c>
      <c r="T68" s="40">
        <v>0.34930555555555554</v>
      </c>
      <c r="U68" s="145">
        <f t="shared" si="44"/>
        <v>6.9999999999999751</v>
      </c>
      <c r="V68" s="151">
        <f t="shared" si="42"/>
        <v>36.000000000000028</v>
      </c>
      <c r="W68" s="145"/>
      <c r="X68" s="145"/>
      <c r="Y68" s="145"/>
      <c r="Z68" s="145"/>
      <c r="AA68" s="632"/>
      <c r="AB68" s="632"/>
      <c r="AC68" s="25"/>
      <c r="AD68" s="25"/>
      <c r="AE68" s="19">
        <f t="shared" si="43"/>
        <v>-130.00000000000227</v>
      </c>
      <c r="AF68" s="146">
        <f t="shared" si="9"/>
        <v>0.95666666666666589</v>
      </c>
      <c r="AG68" s="637"/>
    </row>
    <row r="69" spans="1:33" ht="15.75" customHeight="1">
      <c r="A69" s="639" t="s">
        <v>520</v>
      </c>
      <c r="B69" s="152" t="s">
        <v>127</v>
      </c>
      <c r="C69" s="633" t="s">
        <v>144</v>
      </c>
      <c r="D69" s="633"/>
      <c r="E69" s="42">
        <v>35.869999999999997</v>
      </c>
      <c r="F69" s="48">
        <v>3965</v>
      </c>
      <c r="G69" s="145">
        <f t="shared" si="40"/>
        <v>142224.54999999999</v>
      </c>
      <c r="H69" s="37" t="s">
        <v>91</v>
      </c>
      <c r="I69" s="150">
        <v>10</v>
      </c>
      <c r="J69" s="39">
        <v>3000</v>
      </c>
      <c r="K69" s="17">
        <f t="shared" ref="K69:K80" si="45">J69/I69</f>
        <v>300</v>
      </c>
      <c r="L69" s="150">
        <v>10</v>
      </c>
      <c r="M69" s="18">
        <f t="shared" si="41"/>
        <v>2866.2650602409626</v>
      </c>
      <c r="N69" s="17">
        <f t="shared" ref="N69:N80" si="46">M69/L69</f>
        <v>286.62650602409627</v>
      </c>
      <c r="O69" s="19">
        <f t="shared" ref="O69:O80" si="47">L69-I69</f>
        <v>0</v>
      </c>
      <c r="P69" s="20">
        <f t="shared" ref="P69:P80" si="48">N69-K69</f>
        <v>-13.373493975903727</v>
      </c>
      <c r="Q69" s="146">
        <f t="shared" ref="Q69:Q80" si="49">N69/K69</f>
        <v>0.95542168674698758</v>
      </c>
      <c r="R69" s="637"/>
      <c r="S69" s="40">
        <v>0.35486111111111107</v>
      </c>
      <c r="T69" s="40">
        <v>0.41249999999999998</v>
      </c>
      <c r="U69" s="145">
        <f t="shared" si="44"/>
        <v>7.9999999999999716</v>
      </c>
      <c r="V69" s="151">
        <f t="shared" si="42"/>
        <v>83.000000000000028</v>
      </c>
      <c r="W69" s="145"/>
      <c r="X69" s="145"/>
      <c r="Y69" s="145"/>
      <c r="Z69" s="145"/>
      <c r="AA69" s="632"/>
      <c r="AB69" s="632"/>
      <c r="AC69" s="25"/>
      <c r="AD69" s="25"/>
      <c r="AE69" s="19">
        <f t="shared" si="43"/>
        <v>-133.73493975903739</v>
      </c>
      <c r="AF69" s="146">
        <f t="shared" ref="AF69:AF80" si="50">M69/J69</f>
        <v>0.95542168674698758</v>
      </c>
      <c r="AG69" s="637"/>
    </row>
    <row r="70" spans="1:33">
      <c r="A70" s="640" t="s">
        <v>520</v>
      </c>
      <c r="B70" s="42" t="s">
        <v>515</v>
      </c>
      <c r="C70" s="638"/>
      <c r="D70" s="638"/>
      <c r="E70" s="147"/>
      <c r="F70" s="44"/>
      <c r="G70" s="17"/>
      <c r="H70" s="152"/>
      <c r="I70" s="29">
        <v>10.25</v>
      </c>
      <c r="J70" s="39">
        <v>3000</v>
      </c>
      <c r="K70" s="17">
        <f t="shared" si="45"/>
        <v>292.6829268292683</v>
      </c>
      <c r="L70" s="29">
        <v>10.25</v>
      </c>
      <c r="M70" s="18">
        <f>AVERAGE(M66:M69)</f>
        <v>2868.3117196056951</v>
      </c>
      <c r="N70" s="17">
        <f t="shared" si="46"/>
        <v>279.83528971762877</v>
      </c>
      <c r="O70" s="19">
        <f t="shared" si="47"/>
        <v>0</v>
      </c>
      <c r="P70" s="20">
        <f t="shared" si="48"/>
        <v>-12.847637111639528</v>
      </c>
      <c r="Q70" s="146">
        <f t="shared" si="49"/>
        <v>0.95610390653523158</v>
      </c>
      <c r="R70" s="637"/>
      <c r="S70" s="40"/>
      <c r="T70" s="40"/>
      <c r="U70" s="17"/>
      <c r="V70" s="151"/>
      <c r="W70" s="17"/>
      <c r="X70" s="17"/>
      <c r="Y70" s="30">
        <f>SUM(Y66:Y69)</f>
        <v>0</v>
      </c>
      <c r="Z70" s="30">
        <f>SUM(Z66:Z69)</f>
        <v>0</v>
      </c>
      <c r="AA70" s="631"/>
      <c r="AB70" s="631"/>
      <c r="AC70" s="30">
        <v>4</v>
      </c>
      <c r="AD70" s="30">
        <f>SUM(AD66:AD69)</f>
        <v>0</v>
      </c>
      <c r="AE70" s="19">
        <f t="shared" si="43"/>
        <v>-131.68828039430491</v>
      </c>
      <c r="AF70" s="146">
        <f t="shared" si="50"/>
        <v>0.9561039065352317</v>
      </c>
      <c r="AG70" s="637"/>
    </row>
    <row r="71" spans="1:33" ht="15.75" customHeight="1">
      <c r="A71" s="634" t="s">
        <v>521</v>
      </c>
      <c r="B71" s="152" t="s">
        <v>116</v>
      </c>
      <c r="C71" s="633" t="s">
        <v>145</v>
      </c>
      <c r="D71" s="633"/>
      <c r="E71" s="42">
        <v>19.02</v>
      </c>
      <c r="F71" s="152">
        <v>5900</v>
      </c>
      <c r="G71" s="145">
        <f t="shared" ref="G71:G79" si="51">E71*F71</f>
        <v>112218</v>
      </c>
      <c r="H71" s="37">
        <v>2</v>
      </c>
      <c r="I71" s="150">
        <v>14</v>
      </c>
      <c r="J71" s="39">
        <v>2400</v>
      </c>
      <c r="K71" s="17">
        <f t="shared" si="45"/>
        <v>171.42857142857142</v>
      </c>
      <c r="L71" s="150">
        <v>14</v>
      </c>
      <c r="M71" s="18">
        <f t="shared" ref="M71:M79" si="52">F71/V71*60</f>
        <v>2283.8709677419356</v>
      </c>
      <c r="N71" s="17">
        <f t="shared" si="46"/>
        <v>163.13364055299539</v>
      </c>
      <c r="O71" s="19">
        <f t="shared" si="47"/>
        <v>0</v>
      </c>
      <c r="P71" s="20">
        <f t="shared" si="48"/>
        <v>-8.2949308755760285</v>
      </c>
      <c r="Q71" s="146">
        <f t="shared" si="49"/>
        <v>0.95161290322580649</v>
      </c>
      <c r="R71" s="637">
        <f>Q80</f>
        <v>0.95668425222935793</v>
      </c>
      <c r="S71" s="40">
        <v>8.3333333333333329E-2</v>
      </c>
      <c r="T71" s="40">
        <v>0.19097222222222221</v>
      </c>
      <c r="U71" s="28"/>
      <c r="V71" s="151">
        <f t="shared" ref="V71:V79" si="53">(T71-S71)*24*60</f>
        <v>154.99999999999997</v>
      </c>
      <c r="W71" s="23">
        <f>T71</f>
        <v>0.19097222222222221</v>
      </c>
      <c r="X71" s="23">
        <f>S72</f>
        <v>0.21041666666666664</v>
      </c>
      <c r="Y71" s="23"/>
      <c r="Z71" s="23"/>
      <c r="AA71" s="632"/>
      <c r="AB71" s="632"/>
      <c r="AC71" s="25">
        <v>9</v>
      </c>
      <c r="AD71" s="25"/>
      <c r="AE71" s="19">
        <f t="shared" si="43"/>
        <v>-116.1290322580644</v>
      </c>
      <c r="AF71" s="146">
        <f t="shared" si="50"/>
        <v>0.95161290322580649</v>
      </c>
      <c r="AG71" s="637">
        <f>AF80</f>
        <v>0.95668425222935793</v>
      </c>
    </row>
    <row r="72" spans="1:33" ht="15.75" customHeight="1">
      <c r="A72" s="635" t="s">
        <v>521</v>
      </c>
      <c r="B72" s="152" t="s">
        <v>116</v>
      </c>
      <c r="C72" s="633" t="s">
        <v>146</v>
      </c>
      <c r="D72" s="633"/>
      <c r="E72" s="42">
        <v>20.36</v>
      </c>
      <c r="F72" s="152">
        <v>2400</v>
      </c>
      <c r="G72" s="145">
        <f t="shared" si="51"/>
        <v>48864</v>
      </c>
      <c r="H72" s="37">
        <v>2</v>
      </c>
      <c r="I72" s="150">
        <v>17</v>
      </c>
      <c r="J72" s="39">
        <v>2400</v>
      </c>
      <c r="K72" s="17">
        <f t="shared" si="45"/>
        <v>141.1764705882353</v>
      </c>
      <c r="L72" s="150">
        <v>17</v>
      </c>
      <c r="M72" s="18">
        <f t="shared" si="52"/>
        <v>2285.7142857142853</v>
      </c>
      <c r="N72" s="17">
        <f t="shared" si="46"/>
        <v>134.45378151260502</v>
      </c>
      <c r="O72" s="19">
        <f t="shared" si="47"/>
        <v>0</v>
      </c>
      <c r="P72" s="20">
        <f t="shared" si="48"/>
        <v>-6.7226890756302851</v>
      </c>
      <c r="Q72" s="146">
        <f t="shared" si="49"/>
        <v>0.95238095238095211</v>
      </c>
      <c r="R72" s="637"/>
      <c r="S72" s="40">
        <v>0.21041666666666664</v>
      </c>
      <c r="T72" s="40">
        <v>0.25416666666666665</v>
      </c>
      <c r="U72" s="145">
        <f t="shared" ref="U72:U79" si="54">(S72-T71)*24*60</f>
        <v>27.999999999999979</v>
      </c>
      <c r="V72" s="151">
        <f t="shared" si="53"/>
        <v>63.000000000000014</v>
      </c>
      <c r="W72" s="23"/>
      <c r="X72" s="23"/>
      <c r="Y72" s="23"/>
      <c r="Z72" s="23"/>
      <c r="AA72" s="632"/>
      <c r="AB72" s="632"/>
      <c r="AC72" s="25"/>
      <c r="AD72" s="25"/>
      <c r="AE72" s="19">
        <f t="shared" si="43"/>
        <v>-114.28571428571468</v>
      </c>
      <c r="AF72" s="146">
        <f t="shared" si="50"/>
        <v>0.95238095238095222</v>
      </c>
      <c r="AG72" s="637"/>
    </row>
    <row r="73" spans="1:33" ht="15.75" customHeight="1">
      <c r="A73" s="635" t="s">
        <v>521</v>
      </c>
      <c r="B73" s="152" t="s">
        <v>116</v>
      </c>
      <c r="C73" s="633" t="s">
        <v>120</v>
      </c>
      <c r="D73" s="633"/>
      <c r="E73" s="42">
        <v>25.99</v>
      </c>
      <c r="F73" s="152">
        <v>1223</v>
      </c>
      <c r="G73" s="145">
        <f t="shared" si="51"/>
        <v>31785.769999999997</v>
      </c>
      <c r="H73" s="37" t="s">
        <v>91</v>
      </c>
      <c r="I73" s="150">
        <v>18</v>
      </c>
      <c r="J73" s="39">
        <v>2400</v>
      </c>
      <c r="K73" s="17">
        <f t="shared" si="45"/>
        <v>133.33333333333334</v>
      </c>
      <c r="L73" s="150">
        <v>18</v>
      </c>
      <c r="M73" s="18">
        <f t="shared" si="52"/>
        <v>2293.1250000000027</v>
      </c>
      <c r="N73" s="17">
        <f t="shared" si="46"/>
        <v>127.39583333333348</v>
      </c>
      <c r="O73" s="19">
        <f t="shared" si="47"/>
        <v>0</v>
      </c>
      <c r="P73" s="20">
        <f t="shared" si="48"/>
        <v>-5.9374999999998579</v>
      </c>
      <c r="Q73" s="146">
        <f t="shared" si="49"/>
        <v>0.95546875000000109</v>
      </c>
      <c r="R73" s="637"/>
      <c r="S73" s="40">
        <v>0.2583333333333333</v>
      </c>
      <c r="T73" s="40">
        <v>0.2805555555555555</v>
      </c>
      <c r="U73" s="145">
        <f t="shared" si="54"/>
        <v>5.9999999999999787</v>
      </c>
      <c r="V73" s="151">
        <f t="shared" si="53"/>
        <v>31.999999999999964</v>
      </c>
      <c r="W73" s="23"/>
      <c r="X73" s="23"/>
      <c r="Y73" s="23"/>
      <c r="Z73" s="23"/>
      <c r="AA73" s="632"/>
      <c r="AB73" s="632"/>
      <c r="AC73" s="25"/>
      <c r="AD73" s="25"/>
      <c r="AE73" s="19">
        <f t="shared" si="43"/>
        <v>-106.87499999999727</v>
      </c>
      <c r="AF73" s="146">
        <f t="shared" si="50"/>
        <v>0.95546875000000109</v>
      </c>
      <c r="AG73" s="637"/>
    </row>
    <row r="74" spans="1:33" ht="15.75" customHeight="1">
      <c r="A74" s="635" t="s">
        <v>521</v>
      </c>
      <c r="B74" s="152" t="s">
        <v>116</v>
      </c>
      <c r="C74" s="633" t="s">
        <v>148</v>
      </c>
      <c r="D74" s="633"/>
      <c r="E74" s="42">
        <v>28.29</v>
      </c>
      <c r="F74" s="152">
        <v>2500</v>
      </c>
      <c r="G74" s="145">
        <f t="shared" si="51"/>
        <v>70725</v>
      </c>
      <c r="H74" s="37">
        <v>2</v>
      </c>
      <c r="I74" s="150">
        <v>21</v>
      </c>
      <c r="J74" s="39">
        <v>2400</v>
      </c>
      <c r="K74" s="17">
        <f t="shared" si="45"/>
        <v>114.28571428571429</v>
      </c>
      <c r="L74" s="150">
        <v>21</v>
      </c>
      <c r="M74" s="18">
        <f t="shared" si="52"/>
        <v>2307.6923076923072</v>
      </c>
      <c r="N74" s="17">
        <f t="shared" si="46"/>
        <v>109.89010989010987</v>
      </c>
      <c r="O74" s="19">
        <f t="shared" si="47"/>
        <v>0</v>
      </c>
      <c r="P74" s="20">
        <f t="shared" si="48"/>
        <v>-4.3956043956044226</v>
      </c>
      <c r="Q74" s="146">
        <f t="shared" si="49"/>
        <v>0.96153846153846134</v>
      </c>
      <c r="R74" s="637"/>
      <c r="S74" s="40">
        <v>0.2854166666666666</v>
      </c>
      <c r="T74" s="40">
        <v>0.33055555555555549</v>
      </c>
      <c r="U74" s="145">
        <f t="shared" si="54"/>
        <v>6.9999999999999751</v>
      </c>
      <c r="V74" s="151">
        <f t="shared" si="53"/>
        <v>65.000000000000014</v>
      </c>
      <c r="W74" s="23"/>
      <c r="X74" s="23"/>
      <c r="Y74" s="23"/>
      <c r="Z74" s="23"/>
      <c r="AA74" s="632"/>
      <c r="AB74" s="632"/>
      <c r="AC74" s="25"/>
      <c r="AD74" s="25"/>
      <c r="AE74" s="19">
        <f t="shared" si="43"/>
        <v>-92.307692307692832</v>
      </c>
      <c r="AF74" s="146">
        <f t="shared" si="50"/>
        <v>0.96153846153846134</v>
      </c>
      <c r="AG74" s="637"/>
    </row>
    <row r="75" spans="1:33" ht="15.75" customHeight="1">
      <c r="A75" s="635" t="s">
        <v>521</v>
      </c>
      <c r="B75" s="152" t="s">
        <v>116</v>
      </c>
      <c r="C75" s="633" t="s">
        <v>149</v>
      </c>
      <c r="D75" s="633"/>
      <c r="E75" s="42">
        <v>24.25</v>
      </c>
      <c r="F75" s="152">
        <v>4653</v>
      </c>
      <c r="G75" s="145">
        <f t="shared" si="51"/>
        <v>112835.25</v>
      </c>
      <c r="H75" s="37" t="s">
        <v>91</v>
      </c>
      <c r="I75" s="150">
        <v>17</v>
      </c>
      <c r="J75" s="39">
        <v>2400</v>
      </c>
      <c r="K75" s="17">
        <f t="shared" si="45"/>
        <v>141.1764705882353</v>
      </c>
      <c r="L75" s="150">
        <v>17</v>
      </c>
      <c r="M75" s="18">
        <f t="shared" si="52"/>
        <v>2288.3606557377052</v>
      </c>
      <c r="N75" s="17">
        <f t="shared" si="46"/>
        <v>134.60945033751207</v>
      </c>
      <c r="O75" s="19">
        <f t="shared" si="47"/>
        <v>0</v>
      </c>
      <c r="P75" s="20">
        <f t="shared" si="48"/>
        <v>-6.5670202507232318</v>
      </c>
      <c r="Q75" s="146">
        <f t="shared" si="49"/>
        <v>0.95348360655737707</v>
      </c>
      <c r="R75" s="637"/>
      <c r="S75" s="40">
        <v>0.33541666666666659</v>
      </c>
      <c r="T75" s="40">
        <v>0.42013888888888878</v>
      </c>
      <c r="U75" s="145">
        <f t="shared" si="54"/>
        <v>6.9999999999999751</v>
      </c>
      <c r="V75" s="151">
        <f t="shared" si="53"/>
        <v>121.99999999999997</v>
      </c>
      <c r="W75" s="23"/>
      <c r="X75" s="23"/>
      <c r="Y75" s="23"/>
      <c r="Z75" s="23"/>
      <c r="AA75" s="632"/>
      <c r="AB75" s="632"/>
      <c r="AC75" s="25"/>
      <c r="AD75" s="25"/>
      <c r="AE75" s="19">
        <f t="shared" si="43"/>
        <v>-111.6393442622948</v>
      </c>
      <c r="AF75" s="146">
        <f t="shared" si="50"/>
        <v>0.95348360655737718</v>
      </c>
      <c r="AG75" s="637"/>
    </row>
    <row r="76" spans="1:33" ht="15.75" customHeight="1">
      <c r="A76" s="635" t="s">
        <v>521</v>
      </c>
      <c r="B76" s="152" t="s">
        <v>116</v>
      </c>
      <c r="C76" s="633" t="s">
        <v>150</v>
      </c>
      <c r="D76" s="633"/>
      <c r="E76" s="42">
        <v>23.89</v>
      </c>
      <c r="F76" s="152">
        <v>4274</v>
      </c>
      <c r="G76" s="145">
        <f t="shared" si="51"/>
        <v>102105.86</v>
      </c>
      <c r="H76" s="37" t="s">
        <v>91</v>
      </c>
      <c r="I76" s="150">
        <v>13</v>
      </c>
      <c r="J76" s="39">
        <v>2400</v>
      </c>
      <c r="K76" s="17">
        <f t="shared" si="45"/>
        <v>184.61538461538461</v>
      </c>
      <c r="L76" s="150">
        <v>13</v>
      </c>
      <c r="M76" s="18">
        <f t="shared" si="52"/>
        <v>2289.6428571428569</v>
      </c>
      <c r="N76" s="17">
        <f t="shared" si="46"/>
        <v>176.12637362637361</v>
      </c>
      <c r="O76" s="19">
        <f t="shared" si="47"/>
        <v>0</v>
      </c>
      <c r="P76" s="20">
        <f t="shared" si="48"/>
        <v>-8.4890109890110068</v>
      </c>
      <c r="Q76" s="146">
        <f t="shared" si="49"/>
        <v>0.95401785714285703</v>
      </c>
      <c r="R76" s="637"/>
      <c r="S76" s="40">
        <v>0.42361111111111099</v>
      </c>
      <c r="T76" s="40">
        <v>0.50138888888888877</v>
      </c>
      <c r="U76" s="145">
        <f t="shared" si="54"/>
        <v>4.9999999999999822</v>
      </c>
      <c r="V76" s="151">
        <f t="shared" si="53"/>
        <v>112</v>
      </c>
      <c r="W76" s="23">
        <f>T76</f>
        <v>0.50138888888888877</v>
      </c>
      <c r="X76" s="23">
        <f>S77</f>
        <v>0.54166666666666652</v>
      </c>
      <c r="Y76" s="23"/>
      <c r="Z76" s="23"/>
      <c r="AA76" s="632"/>
      <c r="AB76" s="632"/>
      <c r="AC76" s="25"/>
      <c r="AD76" s="25"/>
      <c r="AE76" s="19">
        <f t="shared" si="43"/>
        <v>-110.35714285714312</v>
      </c>
      <c r="AF76" s="146">
        <f t="shared" si="50"/>
        <v>0.95401785714285703</v>
      </c>
      <c r="AG76" s="637"/>
    </row>
    <row r="77" spans="1:33" ht="15.75" customHeight="1">
      <c r="A77" s="635" t="s">
        <v>521</v>
      </c>
      <c r="B77" s="152" t="s">
        <v>116</v>
      </c>
      <c r="C77" s="625" t="s">
        <v>145</v>
      </c>
      <c r="D77" s="626"/>
      <c r="E77" s="42">
        <v>19.02</v>
      </c>
      <c r="F77" s="152">
        <v>5178</v>
      </c>
      <c r="G77" s="145">
        <f t="shared" si="51"/>
        <v>98485.56</v>
      </c>
      <c r="H77" s="37" t="s">
        <v>91</v>
      </c>
      <c r="I77" s="150">
        <v>14</v>
      </c>
      <c r="J77" s="39">
        <v>2400</v>
      </c>
      <c r="K77" s="17">
        <f t="shared" si="45"/>
        <v>171.42857142857142</v>
      </c>
      <c r="L77" s="150">
        <v>14</v>
      </c>
      <c r="M77" s="18">
        <f t="shared" si="52"/>
        <v>2284.411764705882</v>
      </c>
      <c r="N77" s="17">
        <f t="shared" si="46"/>
        <v>163.17226890756299</v>
      </c>
      <c r="O77" s="19">
        <f t="shared" si="47"/>
        <v>0</v>
      </c>
      <c r="P77" s="20">
        <f t="shared" si="48"/>
        <v>-8.256302521008422</v>
      </c>
      <c r="Q77" s="146">
        <f t="shared" si="49"/>
        <v>0.95183823529411749</v>
      </c>
      <c r="R77" s="637"/>
      <c r="S77" s="40">
        <v>0.54166666666666652</v>
      </c>
      <c r="T77" s="40">
        <v>0.63611111111111096</v>
      </c>
      <c r="U77" s="145">
        <f t="shared" si="54"/>
        <v>57.999999999999957</v>
      </c>
      <c r="V77" s="151">
        <f t="shared" si="53"/>
        <v>136</v>
      </c>
      <c r="W77" s="23"/>
      <c r="X77" s="23"/>
      <c r="Y77" s="26"/>
      <c r="Z77" s="26"/>
      <c r="AA77" s="627"/>
      <c r="AB77" s="628"/>
      <c r="AC77" s="25"/>
      <c r="AD77" s="25"/>
      <c r="AE77" s="19">
        <f t="shared" si="43"/>
        <v>-115.58823529411802</v>
      </c>
      <c r="AF77" s="146">
        <f t="shared" si="50"/>
        <v>0.95183823529411749</v>
      </c>
      <c r="AG77" s="637"/>
    </row>
    <row r="78" spans="1:33" ht="15.75" customHeight="1">
      <c r="A78" s="635" t="s">
        <v>521</v>
      </c>
      <c r="B78" s="152" t="s">
        <v>116</v>
      </c>
      <c r="C78" s="625" t="s">
        <v>146</v>
      </c>
      <c r="D78" s="626"/>
      <c r="E78" s="42">
        <v>20.36</v>
      </c>
      <c r="F78" s="152">
        <v>2003</v>
      </c>
      <c r="G78" s="145">
        <f t="shared" si="51"/>
        <v>40781.08</v>
      </c>
      <c r="H78" s="37" t="s">
        <v>91</v>
      </c>
      <c r="I78" s="150">
        <v>17</v>
      </c>
      <c r="J78" s="39">
        <v>2400</v>
      </c>
      <c r="K78" s="17">
        <f t="shared" si="45"/>
        <v>141.1764705882353</v>
      </c>
      <c r="L78" s="150">
        <v>17</v>
      </c>
      <c r="M78" s="18">
        <f t="shared" si="52"/>
        <v>2311.1538461538471</v>
      </c>
      <c r="N78" s="17">
        <f t="shared" si="46"/>
        <v>135.95022624434395</v>
      </c>
      <c r="O78" s="19">
        <f t="shared" si="47"/>
        <v>0</v>
      </c>
      <c r="P78" s="20">
        <f t="shared" si="48"/>
        <v>-5.2262443438913522</v>
      </c>
      <c r="Q78" s="146">
        <f t="shared" si="49"/>
        <v>0.96298076923076958</v>
      </c>
      <c r="R78" s="637"/>
      <c r="S78" s="40">
        <v>0.6416666666666665</v>
      </c>
      <c r="T78" s="40">
        <v>0.67777777777777759</v>
      </c>
      <c r="U78" s="145">
        <f t="shared" si="54"/>
        <v>7.9999999999999716</v>
      </c>
      <c r="V78" s="151">
        <f t="shared" si="53"/>
        <v>51.999999999999972</v>
      </c>
      <c r="W78" s="23"/>
      <c r="X78" s="23"/>
      <c r="Y78" s="26"/>
      <c r="Z78" s="26"/>
      <c r="AA78" s="627"/>
      <c r="AB78" s="628"/>
      <c r="AC78" s="25"/>
      <c r="AD78" s="25"/>
      <c r="AE78" s="19">
        <f t="shared" si="43"/>
        <v>-88.846153846152902</v>
      </c>
      <c r="AF78" s="146">
        <f t="shared" si="50"/>
        <v>0.96298076923076958</v>
      </c>
      <c r="AG78" s="637"/>
    </row>
    <row r="79" spans="1:33" ht="15.75" customHeight="1">
      <c r="A79" s="635" t="s">
        <v>521</v>
      </c>
      <c r="B79" s="152" t="s">
        <v>116</v>
      </c>
      <c r="C79" s="625" t="s">
        <v>148</v>
      </c>
      <c r="D79" s="626"/>
      <c r="E79" s="42">
        <v>28.29</v>
      </c>
      <c r="F79" s="152">
        <v>1895</v>
      </c>
      <c r="G79" s="145">
        <f t="shared" si="51"/>
        <v>53609.549999999996</v>
      </c>
      <c r="H79" s="37" t="s">
        <v>91</v>
      </c>
      <c r="I79" s="150">
        <v>21</v>
      </c>
      <c r="J79" s="39">
        <v>2400</v>
      </c>
      <c r="K79" s="17">
        <f t="shared" si="45"/>
        <v>114.28571428571429</v>
      </c>
      <c r="L79" s="150">
        <v>21</v>
      </c>
      <c r="M79" s="18">
        <f t="shared" si="52"/>
        <v>2320.4081632653069</v>
      </c>
      <c r="N79" s="17">
        <f t="shared" si="46"/>
        <v>110.49562682215748</v>
      </c>
      <c r="O79" s="19">
        <f t="shared" si="47"/>
        <v>0</v>
      </c>
      <c r="P79" s="20">
        <f t="shared" si="48"/>
        <v>-3.7900874635568158</v>
      </c>
      <c r="Q79" s="146">
        <f t="shared" si="49"/>
        <v>0.96683673469387788</v>
      </c>
      <c r="R79" s="637"/>
      <c r="S79" s="40">
        <v>0.6812499999999998</v>
      </c>
      <c r="T79" s="40">
        <v>0.71527777777777757</v>
      </c>
      <c r="U79" s="145">
        <f t="shared" si="54"/>
        <v>4.9999999999999822</v>
      </c>
      <c r="V79" s="151">
        <f t="shared" si="53"/>
        <v>48.999999999999986</v>
      </c>
      <c r="W79" s="23"/>
      <c r="X79" s="23"/>
      <c r="Y79" s="26"/>
      <c r="Z79" s="26"/>
      <c r="AA79" s="627"/>
      <c r="AB79" s="628"/>
      <c r="AC79" s="25"/>
      <c r="AD79" s="25"/>
      <c r="AE79" s="19">
        <f t="shared" si="43"/>
        <v>-79.591836734693061</v>
      </c>
      <c r="AF79" s="146">
        <f t="shared" si="50"/>
        <v>0.96683673469387788</v>
      </c>
      <c r="AG79" s="637"/>
    </row>
    <row r="80" spans="1:33" ht="16.5" customHeight="1">
      <c r="A80" s="636" t="s">
        <v>521</v>
      </c>
      <c r="B80" s="42" t="s">
        <v>515</v>
      </c>
      <c r="C80" s="629"/>
      <c r="D80" s="630"/>
      <c r="E80" s="147"/>
      <c r="F80" s="44"/>
      <c r="G80" s="17"/>
      <c r="H80" s="152"/>
      <c r="I80" s="29">
        <v>16.888888888888889</v>
      </c>
      <c r="J80" s="39">
        <v>2400</v>
      </c>
      <c r="K80" s="17">
        <f t="shared" si="45"/>
        <v>142.10526315789474</v>
      </c>
      <c r="L80" s="29">
        <v>16.888888888888889</v>
      </c>
      <c r="M80" s="18">
        <f>AVERAGE(M71:M79)</f>
        <v>2296.042205350459</v>
      </c>
      <c r="N80" s="17">
        <f t="shared" si="46"/>
        <v>135.94986742206666</v>
      </c>
      <c r="O80" s="19">
        <f t="shared" si="47"/>
        <v>0</v>
      </c>
      <c r="P80" s="20">
        <f t="shared" si="48"/>
        <v>-6.1553957358280798</v>
      </c>
      <c r="Q80" s="146">
        <f t="shared" si="49"/>
        <v>0.95668425222935793</v>
      </c>
      <c r="R80" s="637"/>
      <c r="S80" s="40"/>
      <c r="T80" s="40"/>
      <c r="U80" s="17"/>
      <c r="V80" s="151"/>
      <c r="W80" s="17"/>
      <c r="X80" s="17"/>
      <c r="Y80" s="30">
        <f>SUM(Y71:Y79)</f>
        <v>0</v>
      </c>
      <c r="Z80" s="30">
        <f>SUM(Z71:Z79)</f>
        <v>0</v>
      </c>
      <c r="AA80" s="631"/>
      <c r="AB80" s="631"/>
      <c r="AC80" s="30">
        <v>9</v>
      </c>
      <c r="AD80" s="30">
        <f>SUM(AD71:AD79)</f>
        <v>0</v>
      </c>
      <c r="AE80" s="19">
        <f t="shared" si="43"/>
        <v>-103.95779464954103</v>
      </c>
      <c r="AF80" s="146">
        <f t="shared" si="50"/>
        <v>0.95668425222935793</v>
      </c>
      <c r="AG80" s="637"/>
    </row>
    <row r="81" spans="4:5">
      <c r="D81" s="33"/>
      <c r="E81" s="33"/>
    </row>
  </sheetData>
  <mergeCells count="203"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A3:A4"/>
    <mergeCell ref="B3:B4"/>
    <mergeCell ref="C3:D4"/>
    <mergeCell ref="AG10:AG15"/>
    <mergeCell ref="C11:D11"/>
    <mergeCell ref="AA11:AB11"/>
    <mergeCell ref="C12:D12"/>
    <mergeCell ref="AA12:AB12"/>
    <mergeCell ref="C13:D13"/>
    <mergeCell ref="C7:D7"/>
    <mergeCell ref="AA7:AB7"/>
    <mergeCell ref="C8:D8"/>
    <mergeCell ref="AA8:AB8"/>
    <mergeCell ref="C9:D9"/>
    <mergeCell ref="AA9:AB9"/>
    <mergeCell ref="AA13:AB13"/>
    <mergeCell ref="C14:D14"/>
    <mergeCell ref="AA14:AB14"/>
    <mergeCell ref="C15:D15"/>
    <mergeCell ref="AA15:AB15"/>
    <mergeCell ref="A16:A24"/>
    <mergeCell ref="C16:D16"/>
    <mergeCell ref="R16:R24"/>
    <mergeCell ref="AA16:AB16"/>
    <mergeCell ref="AA24:AB24"/>
    <mergeCell ref="A10:A15"/>
    <mergeCell ref="C10:D10"/>
    <mergeCell ref="R10:R15"/>
    <mergeCell ref="AA10:AB10"/>
    <mergeCell ref="AG25:AG33"/>
    <mergeCell ref="C26:D26"/>
    <mergeCell ref="AA26:AB26"/>
    <mergeCell ref="C27:D27"/>
    <mergeCell ref="AA27:AB27"/>
    <mergeCell ref="C28:D28"/>
    <mergeCell ref="AG16:AG24"/>
    <mergeCell ref="C17:D17"/>
    <mergeCell ref="AA17:AB17"/>
    <mergeCell ref="C18:D18"/>
    <mergeCell ref="AA18:AB18"/>
    <mergeCell ref="C19:D19"/>
    <mergeCell ref="AA19:AB19"/>
    <mergeCell ref="C20:D20"/>
    <mergeCell ref="AA20:AB20"/>
    <mergeCell ref="C24:D24"/>
    <mergeCell ref="AA28:AB28"/>
    <mergeCell ref="C29:D29"/>
    <mergeCell ref="AA29:AB29"/>
    <mergeCell ref="C30:D30"/>
    <mergeCell ref="AA30:AB30"/>
    <mergeCell ref="C31:D31"/>
    <mergeCell ref="AA31:AB31"/>
    <mergeCell ref="A25:A33"/>
    <mergeCell ref="C25:D25"/>
    <mergeCell ref="R25:R33"/>
    <mergeCell ref="AA25:AB25"/>
    <mergeCell ref="C33:D33"/>
    <mergeCell ref="AA33:AB33"/>
    <mergeCell ref="A34:A41"/>
    <mergeCell ref="C34:D34"/>
    <mergeCell ref="R34:R41"/>
    <mergeCell ref="AA34:AB34"/>
    <mergeCell ref="AA39:AB39"/>
    <mergeCell ref="C40:D40"/>
    <mergeCell ref="AA40:AB40"/>
    <mergeCell ref="C41:D41"/>
    <mergeCell ref="AG34:AG41"/>
    <mergeCell ref="C35:D35"/>
    <mergeCell ref="AA35:AB35"/>
    <mergeCell ref="C36:D36"/>
    <mergeCell ref="AA36:AB36"/>
    <mergeCell ref="C37:D37"/>
    <mergeCell ref="AA37:AB37"/>
    <mergeCell ref="C38:D38"/>
    <mergeCell ref="AA38:AB38"/>
    <mergeCell ref="C39:D39"/>
    <mergeCell ref="AA41:AB41"/>
    <mergeCell ref="A42:A50"/>
    <mergeCell ref="C42:D42"/>
    <mergeCell ref="R42:R50"/>
    <mergeCell ref="AA42:AB42"/>
    <mergeCell ref="C43:D43"/>
    <mergeCell ref="AA43:AB43"/>
    <mergeCell ref="C44:D44"/>
    <mergeCell ref="AA44:AB44"/>
    <mergeCell ref="AG51:AG55"/>
    <mergeCell ref="C52:D52"/>
    <mergeCell ref="AA52:AB52"/>
    <mergeCell ref="C53:D53"/>
    <mergeCell ref="AA53:AB53"/>
    <mergeCell ref="C54:D54"/>
    <mergeCell ref="C48:D48"/>
    <mergeCell ref="AA48:AB48"/>
    <mergeCell ref="C49:D49"/>
    <mergeCell ref="AA49:AB49"/>
    <mergeCell ref="C50:D50"/>
    <mergeCell ref="AA50:AB50"/>
    <mergeCell ref="AG42:AG50"/>
    <mergeCell ref="AA54:AB54"/>
    <mergeCell ref="C55:D55"/>
    <mergeCell ref="AA55:AB55"/>
    <mergeCell ref="C45:D45"/>
    <mergeCell ref="AA45:AB45"/>
    <mergeCell ref="C46:D46"/>
    <mergeCell ref="AA46:AB46"/>
    <mergeCell ref="C47:D47"/>
    <mergeCell ref="AA47:AB47"/>
    <mergeCell ref="C56:D56"/>
    <mergeCell ref="R56:R65"/>
    <mergeCell ref="AA56:AB56"/>
    <mergeCell ref="AA62:AB62"/>
    <mergeCell ref="C63:D63"/>
    <mergeCell ref="AA63:AB63"/>
    <mergeCell ref="A51:A55"/>
    <mergeCell ref="C51:D51"/>
    <mergeCell ref="R51:R55"/>
    <mergeCell ref="AA51:AB51"/>
    <mergeCell ref="C65:D65"/>
    <mergeCell ref="AA65:AB65"/>
    <mergeCell ref="A66:A70"/>
    <mergeCell ref="C66:D66"/>
    <mergeCell ref="R66:R70"/>
    <mergeCell ref="AA66:AB66"/>
    <mergeCell ref="A56:A65"/>
    <mergeCell ref="AG56:AG65"/>
    <mergeCell ref="C57:D57"/>
    <mergeCell ref="AA57:AB57"/>
    <mergeCell ref="C58:D58"/>
    <mergeCell ref="AA58:AB58"/>
    <mergeCell ref="AA59:AB59"/>
    <mergeCell ref="AA60:AB60"/>
    <mergeCell ref="C61:D61"/>
    <mergeCell ref="AA61:AB61"/>
    <mergeCell ref="C62:D62"/>
    <mergeCell ref="AG66:AG70"/>
    <mergeCell ref="C67:D67"/>
    <mergeCell ref="AA67:AB67"/>
    <mergeCell ref="C68:D68"/>
    <mergeCell ref="AA68:AB68"/>
    <mergeCell ref="C69:D69"/>
    <mergeCell ref="AA69:AB69"/>
    <mergeCell ref="C70:D70"/>
    <mergeCell ref="AA70:AB70"/>
    <mergeCell ref="A71:A80"/>
    <mergeCell ref="C71:D71"/>
    <mergeCell ref="R71:R80"/>
    <mergeCell ref="AA71:AB71"/>
    <mergeCell ref="AG71:AG80"/>
    <mergeCell ref="C72:D72"/>
    <mergeCell ref="AA72:AB72"/>
    <mergeCell ref="C73:D73"/>
    <mergeCell ref="AA73:AB73"/>
    <mergeCell ref="C74:D74"/>
    <mergeCell ref="C78:D78"/>
    <mergeCell ref="AA78:AB78"/>
    <mergeCell ref="C79:D79"/>
    <mergeCell ref="AA79:AB79"/>
    <mergeCell ref="C80:D80"/>
    <mergeCell ref="AA80:AB80"/>
    <mergeCell ref="AA74:AB74"/>
    <mergeCell ref="C75:D75"/>
    <mergeCell ref="AA75:AB75"/>
    <mergeCell ref="C76:D76"/>
    <mergeCell ref="AA76:AB76"/>
    <mergeCell ref="C77:D77"/>
    <mergeCell ref="AA77:AB77"/>
  </mergeCells>
  <phoneticPr fontId="3" type="noConversion"/>
  <conditionalFormatting sqref="O69:O76 O65:O66 O80 O5:O10 O15:O17 O24:O61">
    <cfRule type="cellIs" dxfId="415" priority="79" operator="greaterThan">
      <formula>0</formula>
    </cfRule>
  </conditionalFormatting>
  <conditionalFormatting sqref="P5:P8 P69 AE69 P71:P76 P34:P40 P66 P10 P15:P17 P25:P32 P56:P61 P42:P54 AE5:AE66 AE71:AE80">
    <cfRule type="cellIs" dxfId="414" priority="83" operator="lessThan">
      <formula>0</formula>
    </cfRule>
  </conditionalFormatting>
  <conditionalFormatting sqref="AF69 Q69:Q76 Q65:Q66 Q80 Q5:Q10 Q15:Q17 Q24:Q61 AF5:AF66 AF71:AF80">
    <cfRule type="cellIs" dxfId="413" priority="80" operator="greaterThan">
      <formula>1</formula>
    </cfRule>
    <cfRule type="cellIs" dxfId="412" priority="81" operator="lessThan">
      <formula>0.8</formula>
    </cfRule>
  </conditionalFormatting>
  <conditionalFormatting sqref="AG16:AG17 R16:R17 AG69 R69:R76 R24:R30 AG24:AG30 AG65:AG66 R65:R66 R80 AG5:AG10 R5:R10 AG33:AG61 R33:R61">
    <cfRule type="cellIs" dxfId="411" priority="85" operator="lessThan">
      <formula>0.8</formula>
    </cfRule>
  </conditionalFormatting>
  <conditionalFormatting sqref="AG51">
    <cfRule type="cellIs" dxfId="410" priority="87" operator="lessThan">
      <formula>0.8</formula>
    </cfRule>
  </conditionalFormatting>
  <conditionalFormatting sqref="AG25:AG30">
    <cfRule type="cellIs" dxfId="409" priority="84" operator="lessThan">
      <formula>0.8</formula>
    </cfRule>
  </conditionalFormatting>
  <conditionalFormatting sqref="AG34">
    <cfRule type="cellIs" dxfId="408" priority="86" operator="lessThan">
      <formula>0.8</formula>
    </cfRule>
  </conditionalFormatting>
  <conditionalFormatting sqref="AG42:AG49">
    <cfRule type="cellIs" dxfId="407" priority="82" operator="lessThan">
      <formula>0.8</formula>
    </cfRule>
  </conditionalFormatting>
  <conditionalFormatting sqref="AE70">
    <cfRule type="cellIs" dxfId="406" priority="78" operator="lessThan">
      <formula>0</formula>
    </cfRule>
  </conditionalFormatting>
  <conditionalFormatting sqref="AF70">
    <cfRule type="cellIs" dxfId="405" priority="76" operator="greaterThan">
      <formula>1</formula>
    </cfRule>
    <cfRule type="cellIs" dxfId="404" priority="77" operator="lessThan">
      <formula>0.8</formula>
    </cfRule>
  </conditionalFormatting>
  <conditionalFormatting sqref="O18:O19">
    <cfRule type="cellIs" dxfId="403" priority="71" operator="greaterThan">
      <formula>0</formula>
    </cfRule>
  </conditionalFormatting>
  <conditionalFormatting sqref="P18:P19">
    <cfRule type="cellIs" dxfId="402" priority="74" operator="lessThan">
      <formula>0</formula>
    </cfRule>
  </conditionalFormatting>
  <conditionalFormatting sqref="Q18:Q19">
    <cfRule type="cellIs" dxfId="401" priority="72" operator="greaterThan">
      <formula>1</formula>
    </cfRule>
    <cfRule type="cellIs" dxfId="400" priority="73" operator="lessThan">
      <formula>0.8</formula>
    </cfRule>
  </conditionalFormatting>
  <conditionalFormatting sqref="R18:R19 AG18:AG19">
    <cfRule type="cellIs" dxfId="399" priority="75" operator="lessThan">
      <formula>0.8</formula>
    </cfRule>
  </conditionalFormatting>
  <conditionalFormatting sqref="O11:O14">
    <cfRule type="cellIs" dxfId="398" priority="67" operator="greaterThan">
      <formula>0</formula>
    </cfRule>
  </conditionalFormatting>
  <conditionalFormatting sqref="P11:P14">
    <cfRule type="cellIs" dxfId="397" priority="70" operator="lessThan">
      <formula>0</formula>
    </cfRule>
  </conditionalFormatting>
  <conditionalFormatting sqref="Q11:Q14">
    <cfRule type="cellIs" dxfId="396" priority="68" operator="greaterThan">
      <formula>1</formula>
    </cfRule>
    <cfRule type="cellIs" dxfId="395" priority="69" operator="lessThan">
      <formula>0.8</formula>
    </cfRule>
  </conditionalFormatting>
  <conditionalFormatting sqref="O62">
    <cfRule type="cellIs" dxfId="394" priority="62" operator="greaterThan">
      <formula>0</formula>
    </cfRule>
  </conditionalFormatting>
  <conditionalFormatting sqref="P62">
    <cfRule type="cellIs" dxfId="393" priority="65" operator="lessThan">
      <formula>0</formula>
    </cfRule>
  </conditionalFormatting>
  <conditionalFormatting sqref="Q62">
    <cfRule type="cellIs" dxfId="392" priority="63" operator="greaterThan">
      <formula>1</formula>
    </cfRule>
    <cfRule type="cellIs" dxfId="391" priority="64" operator="lessThan">
      <formula>0.8</formula>
    </cfRule>
  </conditionalFormatting>
  <conditionalFormatting sqref="R62 AG62">
    <cfRule type="cellIs" dxfId="390" priority="66" operator="lessThan">
      <formula>0.8</formula>
    </cfRule>
  </conditionalFormatting>
  <conditionalFormatting sqref="AG32 R32">
    <cfRule type="cellIs" dxfId="389" priority="61" operator="lessThan">
      <formula>0.8</formula>
    </cfRule>
  </conditionalFormatting>
  <conditionalFormatting sqref="O68">
    <cfRule type="cellIs" dxfId="388" priority="56" operator="greaterThan">
      <formula>0</formula>
    </cfRule>
  </conditionalFormatting>
  <conditionalFormatting sqref="P68 AE68">
    <cfRule type="cellIs" dxfId="387" priority="59" operator="lessThan">
      <formula>0</formula>
    </cfRule>
  </conditionalFormatting>
  <conditionalFormatting sqref="Q68 AF68">
    <cfRule type="cellIs" dxfId="386" priority="57" operator="greaterThan">
      <formula>1</formula>
    </cfRule>
    <cfRule type="cellIs" dxfId="385" priority="58" operator="lessThan">
      <formula>0.8</formula>
    </cfRule>
  </conditionalFormatting>
  <conditionalFormatting sqref="R68 AG68">
    <cfRule type="cellIs" dxfId="384" priority="60" operator="lessThan">
      <formula>0.8</formula>
    </cfRule>
  </conditionalFormatting>
  <conditionalFormatting sqref="O77">
    <cfRule type="cellIs" dxfId="383" priority="51" operator="greaterThan">
      <formula>0</formula>
    </cfRule>
  </conditionalFormatting>
  <conditionalFormatting sqref="P77">
    <cfRule type="cellIs" dxfId="382" priority="54" operator="lessThan">
      <formula>0</formula>
    </cfRule>
  </conditionalFormatting>
  <conditionalFormatting sqref="Q77">
    <cfRule type="cellIs" dxfId="381" priority="52" operator="greaterThan">
      <formula>1</formula>
    </cfRule>
    <cfRule type="cellIs" dxfId="380" priority="53" operator="lessThan">
      <formula>0.8</formula>
    </cfRule>
  </conditionalFormatting>
  <conditionalFormatting sqref="R77">
    <cfRule type="cellIs" dxfId="379" priority="55" operator="lessThan">
      <formula>0.8</formula>
    </cfRule>
  </conditionalFormatting>
  <conditionalFormatting sqref="O20:O21">
    <cfRule type="cellIs" dxfId="378" priority="46" operator="greaterThan">
      <formula>0</formula>
    </cfRule>
  </conditionalFormatting>
  <conditionalFormatting sqref="P20:P21">
    <cfRule type="cellIs" dxfId="377" priority="49" operator="lessThan">
      <formula>0</formula>
    </cfRule>
  </conditionalFormatting>
  <conditionalFormatting sqref="Q20:Q21">
    <cfRule type="cellIs" dxfId="376" priority="47" operator="greaterThan">
      <formula>1</formula>
    </cfRule>
    <cfRule type="cellIs" dxfId="375" priority="48" operator="lessThan">
      <formula>0.8</formula>
    </cfRule>
  </conditionalFormatting>
  <conditionalFormatting sqref="R20:R21 AG20:AG21">
    <cfRule type="cellIs" dxfId="374" priority="50" operator="lessThan">
      <formula>0.8</formula>
    </cfRule>
  </conditionalFormatting>
  <conditionalFormatting sqref="O63">
    <cfRule type="cellIs" dxfId="373" priority="41" operator="greaterThan">
      <formula>0</formula>
    </cfRule>
  </conditionalFormatting>
  <conditionalFormatting sqref="P63">
    <cfRule type="cellIs" dxfId="372" priority="44" operator="lessThan">
      <formula>0</formula>
    </cfRule>
  </conditionalFormatting>
  <conditionalFormatting sqref="Q63">
    <cfRule type="cellIs" dxfId="371" priority="42" operator="greaterThan">
      <formula>1</formula>
    </cfRule>
    <cfRule type="cellIs" dxfId="370" priority="43" operator="lessThan">
      <formula>0.8</formula>
    </cfRule>
  </conditionalFormatting>
  <conditionalFormatting sqref="AG63 R63">
    <cfRule type="cellIs" dxfId="369" priority="45" operator="lessThan">
      <formula>0.8</formula>
    </cfRule>
  </conditionalFormatting>
  <conditionalFormatting sqref="R31 AG31">
    <cfRule type="cellIs" dxfId="368" priority="40" operator="lessThan">
      <formula>0.8</formula>
    </cfRule>
  </conditionalFormatting>
  <conditionalFormatting sqref="AG31">
    <cfRule type="cellIs" dxfId="367" priority="39" operator="lessThan">
      <formula>0.8</formula>
    </cfRule>
  </conditionalFormatting>
  <conditionalFormatting sqref="O67">
    <cfRule type="cellIs" dxfId="366" priority="34" operator="greaterThan">
      <formula>0</formula>
    </cfRule>
  </conditionalFormatting>
  <conditionalFormatting sqref="P67 AE67">
    <cfRule type="cellIs" dxfId="365" priority="37" operator="lessThan">
      <formula>0</formula>
    </cfRule>
  </conditionalFormatting>
  <conditionalFormatting sqref="Q67 AF67">
    <cfRule type="cellIs" dxfId="364" priority="35" operator="greaterThan">
      <formula>1</formula>
    </cfRule>
    <cfRule type="cellIs" dxfId="363" priority="36" operator="lessThan">
      <formula>0.8</formula>
    </cfRule>
  </conditionalFormatting>
  <conditionalFormatting sqref="R67 AG67">
    <cfRule type="cellIs" dxfId="362" priority="38" operator="lessThan">
      <formula>0.8</formula>
    </cfRule>
  </conditionalFormatting>
  <conditionalFormatting sqref="O22">
    <cfRule type="cellIs" dxfId="361" priority="29" operator="greaterThan">
      <formula>0</formula>
    </cfRule>
  </conditionalFormatting>
  <conditionalFormatting sqref="P22">
    <cfRule type="cellIs" dxfId="360" priority="32" operator="lessThan">
      <formula>0</formula>
    </cfRule>
  </conditionalFormatting>
  <conditionalFormatting sqref="Q22">
    <cfRule type="cellIs" dxfId="359" priority="30" operator="greaterThan">
      <formula>1</formula>
    </cfRule>
    <cfRule type="cellIs" dxfId="358" priority="31" operator="lessThan">
      <formula>0.8</formula>
    </cfRule>
  </conditionalFormatting>
  <conditionalFormatting sqref="AG22 R22">
    <cfRule type="cellIs" dxfId="357" priority="33" operator="lessThan">
      <formula>0.8</formula>
    </cfRule>
  </conditionalFormatting>
  <conditionalFormatting sqref="O23">
    <cfRule type="cellIs" dxfId="356" priority="24" operator="greaterThan">
      <formula>0</formula>
    </cfRule>
  </conditionalFormatting>
  <conditionalFormatting sqref="P23">
    <cfRule type="cellIs" dxfId="355" priority="27" operator="lessThan">
      <formula>0</formula>
    </cfRule>
  </conditionalFormatting>
  <conditionalFormatting sqref="Q23">
    <cfRule type="cellIs" dxfId="354" priority="25" operator="greaterThan">
      <formula>1</formula>
    </cfRule>
    <cfRule type="cellIs" dxfId="353" priority="26" operator="lessThan">
      <formula>0.8</formula>
    </cfRule>
  </conditionalFormatting>
  <conditionalFormatting sqref="AG23 R23">
    <cfRule type="cellIs" dxfId="352" priority="28" operator="lessThan">
      <formula>0.8</formula>
    </cfRule>
  </conditionalFormatting>
  <conditionalFormatting sqref="P9">
    <cfRule type="cellIs" dxfId="351" priority="23" operator="lessThan">
      <formula>0</formula>
    </cfRule>
  </conditionalFormatting>
  <conditionalFormatting sqref="P24">
    <cfRule type="cellIs" dxfId="350" priority="22" operator="lessThan">
      <formula>0</formula>
    </cfRule>
  </conditionalFormatting>
  <conditionalFormatting sqref="P33">
    <cfRule type="cellIs" dxfId="349" priority="21" operator="lessThan">
      <formula>0</formula>
    </cfRule>
  </conditionalFormatting>
  <conditionalFormatting sqref="P41">
    <cfRule type="cellIs" dxfId="348" priority="20" operator="lessThan">
      <formula>0</formula>
    </cfRule>
  </conditionalFormatting>
  <conditionalFormatting sqref="P55">
    <cfRule type="cellIs" dxfId="347" priority="19" operator="lessThan">
      <formula>0</formula>
    </cfRule>
  </conditionalFormatting>
  <conditionalFormatting sqref="P65">
    <cfRule type="cellIs" dxfId="346" priority="18" operator="lessThan">
      <formula>0</formula>
    </cfRule>
  </conditionalFormatting>
  <conditionalFormatting sqref="P70">
    <cfRule type="cellIs" dxfId="345" priority="17" operator="lessThan">
      <formula>0</formula>
    </cfRule>
  </conditionalFormatting>
  <conditionalFormatting sqref="P80">
    <cfRule type="cellIs" dxfId="344" priority="16" operator="lessThan">
      <formula>0</formula>
    </cfRule>
  </conditionalFormatting>
  <conditionalFormatting sqref="O78">
    <cfRule type="cellIs" dxfId="343" priority="11" operator="greaterThan">
      <formula>0</formula>
    </cfRule>
  </conditionalFormatting>
  <conditionalFormatting sqref="P78">
    <cfRule type="cellIs" dxfId="342" priority="14" operator="lessThan">
      <formula>0</formula>
    </cfRule>
  </conditionalFormatting>
  <conditionalFormatting sqref="Q78">
    <cfRule type="cellIs" dxfId="341" priority="12" operator="greaterThan">
      <formula>1</formula>
    </cfRule>
    <cfRule type="cellIs" dxfId="340" priority="13" operator="lessThan">
      <formula>0.8</formula>
    </cfRule>
  </conditionalFormatting>
  <conditionalFormatting sqref="R78">
    <cfRule type="cellIs" dxfId="339" priority="15" operator="lessThan">
      <formula>0.8</formula>
    </cfRule>
  </conditionalFormatting>
  <conditionalFormatting sqref="O79">
    <cfRule type="cellIs" dxfId="338" priority="6" operator="greaterThan">
      <formula>0</formula>
    </cfRule>
  </conditionalFormatting>
  <conditionalFormatting sqref="P79">
    <cfRule type="cellIs" dxfId="337" priority="9" operator="lessThan">
      <formula>0</formula>
    </cfRule>
  </conditionalFormatting>
  <conditionalFormatting sqref="Q79">
    <cfRule type="cellIs" dxfId="336" priority="7" operator="greaterThan">
      <formula>1</formula>
    </cfRule>
    <cfRule type="cellIs" dxfId="335" priority="8" operator="lessThan">
      <formula>0.8</formula>
    </cfRule>
  </conditionalFormatting>
  <conditionalFormatting sqref="R79">
    <cfRule type="cellIs" dxfId="334" priority="10" operator="lessThan">
      <formula>0.8</formula>
    </cfRule>
  </conditionalFormatting>
  <conditionalFormatting sqref="O64">
    <cfRule type="cellIs" dxfId="333" priority="1" operator="greaterThan">
      <formula>0</formula>
    </cfRule>
  </conditionalFormatting>
  <conditionalFormatting sqref="P64">
    <cfRule type="cellIs" dxfId="332" priority="4" operator="lessThan">
      <formula>0</formula>
    </cfRule>
  </conditionalFormatting>
  <conditionalFormatting sqref="Q64">
    <cfRule type="cellIs" dxfId="331" priority="2" operator="greaterThan">
      <formula>1</formula>
    </cfRule>
    <cfRule type="cellIs" dxfId="330" priority="3" operator="lessThan">
      <formula>0.8</formula>
    </cfRule>
  </conditionalFormatting>
  <conditionalFormatting sqref="AG64 R64">
    <cfRule type="cellIs" dxfId="329" priority="5" operator="lessThan">
      <formula>0.8</formula>
    </cfRule>
  </conditionalFormatting>
  <dataValidations count="1">
    <dataValidation type="list" allowBlank="1" showInputMessage="1" showErrorMessage="1" sqref="AB9 AA5:AB8 AA9:AA69 AB11:AB66 AA70:AB80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3" sqref="A3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612" t="s">
        <v>316</v>
      </c>
      <c r="C1" s="612"/>
      <c r="D1" s="612"/>
      <c r="E1" s="612"/>
      <c r="F1" s="612"/>
      <c r="G1" s="612"/>
      <c r="H1" s="612"/>
      <c r="I1" s="612"/>
      <c r="J1" s="612"/>
      <c r="K1" s="51"/>
      <c r="L1" s="51"/>
      <c r="M1" s="51"/>
      <c r="N1" s="51"/>
      <c r="O1" s="51"/>
      <c r="P1" s="51"/>
    </row>
    <row r="2" spans="2:17" ht="27.75" customHeight="1">
      <c r="B2" s="613"/>
      <c r="C2" s="613"/>
      <c r="D2" s="613"/>
      <c r="E2" s="613"/>
      <c r="F2" s="613"/>
      <c r="G2" s="613"/>
      <c r="H2" s="613"/>
      <c r="I2" s="613"/>
      <c r="J2" s="613"/>
      <c r="K2" s="53"/>
      <c r="L2" s="53"/>
      <c r="M2" s="53"/>
      <c r="N2" s="51"/>
      <c r="O2" s="51"/>
      <c r="P2" s="51"/>
    </row>
    <row r="3" spans="2:17" ht="46.5" customHeight="1">
      <c r="B3" s="54" t="s">
        <v>216</v>
      </c>
      <c r="C3" s="614" t="str">
        <f>TEXT('0803 4度C'!A2,"yyyy.mm.ddaaaa")</f>
        <v>2026.08.03星期一</v>
      </c>
      <c r="D3" s="615"/>
      <c r="E3" s="54" t="s">
        <v>317</v>
      </c>
      <c r="F3" s="616">
        <f>'0803 4度C'!D1</f>
        <v>204228</v>
      </c>
      <c r="G3" s="617"/>
      <c r="H3" s="54" t="s">
        <v>318</v>
      </c>
      <c r="I3" s="618">
        <f>'0803 4度C'!F1</f>
        <v>7197566.54</v>
      </c>
      <c r="J3" s="619"/>
      <c r="K3" s="55"/>
      <c r="L3" s="56"/>
      <c r="M3" s="57"/>
      <c r="N3" s="57"/>
    </row>
    <row r="4" spans="2:17" ht="28.5" customHeight="1">
      <c r="B4" s="620" t="s">
        <v>319</v>
      </c>
      <c r="C4" s="606" t="s">
        <v>320</v>
      </c>
      <c r="D4" s="607"/>
      <c r="E4" s="623" t="s">
        <v>321</v>
      </c>
      <c r="F4" s="624"/>
      <c r="G4" s="623" t="s">
        <v>322</v>
      </c>
      <c r="H4" s="624"/>
      <c r="I4" s="623" t="s">
        <v>323</v>
      </c>
      <c r="J4" s="624"/>
      <c r="K4" s="604" t="s">
        <v>324</v>
      </c>
      <c r="L4" s="605"/>
      <c r="M4" s="605" t="s">
        <v>325</v>
      </c>
      <c r="N4" s="605"/>
    </row>
    <row r="5" spans="2:17" ht="28.5" customHeight="1">
      <c r="B5" s="621"/>
      <c r="C5" s="606" t="s">
        <v>326</v>
      </c>
      <c r="D5" s="607"/>
      <c r="E5" s="606" t="s">
        <v>327</v>
      </c>
      <c r="F5" s="607"/>
      <c r="G5" s="608" t="s">
        <v>328</v>
      </c>
      <c r="H5" s="609"/>
      <c r="I5" s="610" t="s">
        <v>329</v>
      </c>
      <c r="J5" s="611"/>
      <c r="K5" s="58" t="s">
        <v>330</v>
      </c>
      <c r="L5" s="59" t="s">
        <v>331</v>
      </c>
      <c r="M5" s="58" t="s">
        <v>332</v>
      </c>
      <c r="N5" s="59" t="s">
        <v>333</v>
      </c>
    </row>
    <row r="6" spans="2:17" ht="28.5" customHeight="1">
      <c r="B6" s="621"/>
      <c r="C6" s="606" t="s">
        <v>169</v>
      </c>
      <c r="D6" s="607"/>
      <c r="E6" s="598">
        <f>AVERAGE(D13:M13)</f>
        <v>157.78339445657937</v>
      </c>
      <c r="F6" s="599">
        <f>AVERAGE(D31:O31,D13:J13)</f>
        <v>167.14430634775732</v>
      </c>
      <c r="G6" s="600">
        <f>AVERAGE(D13:J13)</f>
        <v>167.14430634775732</v>
      </c>
      <c r="H6" s="601"/>
      <c r="I6" s="600">
        <f>AVERAGE(K13:M13)</f>
        <v>135.9412667104975</v>
      </c>
      <c r="J6" s="601"/>
      <c r="K6" s="602">
        <f>'0803 4度C'!Y2</f>
        <v>0</v>
      </c>
      <c r="L6" s="587">
        <f>'0803 4度C'!Z2</f>
        <v>0</v>
      </c>
      <c r="M6" s="603">
        <f>'0803 4度C'!AC2</f>
        <v>69</v>
      </c>
      <c r="N6" s="587">
        <f>'0803 4度C'!AD2</f>
        <v>0</v>
      </c>
    </row>
    <row r="7" spans="2:17" ht="28.5" customHeight="1">
      <c r="B7" s="621"/>
      <c r="C7" s="588" t="s">
        <v>170</v>
      </c>
      <c r="D7" s="589"/>
      <c r="E7" s="590">
        <f>AVERAGE(D14:M14)</f>
        <v>151.42528629680277</v>
      </c>
      <c r="F7" s="591">
        <f>AVERAGE(D32:O32,D14:J14)</f>
        <v>160.60436337325237</v>
      </c>
      <c r="G7" s="592">
        <f>AVERAGE(D14:J14)</f>
        <v>160.60436337325237</v>
      </c>
      <c r="H7" s="593"/>
      <c r="I7" s="592">
        <f>AVERAGE(K14:M14)</f>
        <v>130.00743978508703</v>
      </c>
      <c r="J7" s="593"/>
      <c r="K7" s="602"/>
      <c r="L7" s="587"/>
      <c r="M7" s="603"/>
      <c r="N7" s="587"/>
    </row>
    <row r="8" spans="2:17" ht="28.5" customHeight="1">
      <c r="B8" s="622"/>
      <c r="C8" s="588" t="s">
        <v>171</v>
      </c>
      <c r="D8" s="589"/>
      <c r="E8" s="594">
        <f>AVERAGE(D15:M15)</f>
        <v>0.95854608845635525</v>
      </c>
      <c r="F8" s="595">
        <f>AVERAGE(D15:J15,D33:O33)</f>
        <v>0.95952846067936315</v>
      </c>
      <c r="G8" s="596">
        <f>AVERAGE(D15:J15)</f>
        <v>0.95952846067936315</v>
      </c>
      <c r="H8" s="597"/>
      <c r="I8" s="596">
        <f>AVERAGE(K15:M15)</f>
        <v>0.95625388660267008</v>
      </c>
      <c r="J8" s="597"/>
      <c r="K8" s="602"/>
      <c r="L8" s="587"/>
      <c r="M8" s="603"/>
      <c r="N8" s="587"/>
    </row>
    <row r="9" spans="2:17" ht="28.5" customHeight="1" thickBot="1">
      <c r="H9" s="61"/>
      <c r="K9" s="62" t="s">
        <v>334</v>
      </c>
      <c r="N9" s="57"/>
      <c r="O9" s="57"/>
      <c r="P9" s="57"/>
      <c r="Q9" s="57"/>
    </row>
    <row r="10" spans="2:17" ht="30" customHeight="1">
      <c r="B10" s="570" t="s">
        <v>335</v>
      </c>
      <c r="C10" s="571"/>
      <c r="D10" s="572" t="s">
        <v>336</v>
      </c>
      <c r="E10" s="573"/>
      <c r="F10" s="573"/>
      <c r="G10" s="573"/>
      <c r="H10" s="573"/>
      <c r="I10" s="573"/>
      <c r="J10" s="574"/>
      <c r="K10" s="575" t="s">
        <v>337</v>
      </c>
      <c r="L10" s="576"/>
      <c r="M10" s="577"/>
      <c r="P10" s="63"/>
      <c r="Q10" s="63"/>
    </row>
    <row r="11" spans="2:17" ht="17.25" customHeight="1">
      <c r="B11" s="578" t="s">
        <v>338</v>
      </c>
      <c r="C11" s="579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80"/>
      <c r="C12" s="581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582" t="s">
        <v>339</v>
      </c>
      <c r="C13" s="70" t="s">
        <v>340</v>
      </c>
      <c r="D13" s="71">
        <f>SUMIFS('0803 4度C'!$K:$K,'0803 4度C'!$A:$A,"新豐6線",'0803 4度C'!$B:$B,"平均")</f>
        <v>129.03225806451613</v>
      </c>
      <c r="E13" s="72">
        <f>SUMIFS('0803 4度C'!$K:$K,'0803 4度C'!$A:$A,"新豐2線",'0803 4度C'!$B:$B,"平均")</f>
        <v>84.905660377358487</v>
      </c>
      <c r="F13" s="73">
        <f>SUMIFS('0803 4度C'!$K:$K,'0803 4度C'!$A:$A,"新豐5線",'0803 4度C'!$B:$B,"平均")</f>
        <v>93.023255813953497</v>
      </c>
      <c r="G13" s="73">
        <f>SUMIFS('0803 4度C'!$K:$K,'0803 4度C'!$A:$A,"新豐7線",'0803 4度C'!$B:$B,"平均")</f>
        <v>130.43478260869566</v>
      </c>
      <c r="H13" s="73">
        <f>SUMIFS('0803 4度C'!$K:$K,'0803 4度C'!$A:$A,"新豐3線",'0803 4度C'!$B:$B,"平均")</f>
        <v>324.32432432432432</v>
      </c>
      <c r="I13" s="73">
        <f>SUMIFS('0803 4度C'!$K:$K,'0803 4度C'!$A:$A,"新豐1線",'0803 4度C'!$B:$B,"平均")</f>
        <v>115.60693641618496</v>
      </c>
      <c r="J13" s="74">
        <f>SUMIFS('0803 4度C'!$K:$K,'0803 4度C'!$A:$A,"新豐10線",'0803 4度C'!$B:$B,"平均")</f>
        <v>292.6829268292683</v>
      </c>
      <c r="K13" s="75">
        <f>SUMIFS('0803 4度C'!$K:$K,'0803 4度C'!$A:$A,"新豐8線",'0803 4度C'!$B:$B,"平均")</f>
        <v>143.58974358974359</v>
      </c>
      <c r="L13" s="76">
        <f>SUMIFS('0803 4度C'!$K:$K,'0803 4度C'!$A:$A,"新豐9線",'0803 4度C'!$B:$B,"平均")</f>
        <v>122.22222222222223</v>
      </c>
      <c r="M13" s="74">
        <f>SUMIFS('0803 4度C'!$K:$K,'0803 4度C'!$A:$A,"新豐4線",'0803 4度C'!$B:$B,"平均")</f>
        <v>142.01183431952663</v>
      </c>
    </row>
    <row r="14" spans="2:17" ht="39.6" customHeight="1">
      <c r="B14" s="583"/>
      <c r="C14" s="77" t="s">
        <v>341</v>
      </c>
      <c r="D14" s="78">
        <f>SUMIFS('0803 4度C'!$N:$N,'0803 4度C'!$A:$A,"新豐6線",'0803 4度C'!$B:$B,"平均")</f>
        <v>124.35908598611138</v>
      </c>
      <c r="E14" s="79">
        <f>SUMIFS('0803 4度C'!$N:$N,'0803 4度C'!$A:$A,"新豐2線",'0803 4度C'!$B:$B,"平均")</f>
        <v>80.93366739414931</v>
      </c>
      <c r="F14" s="79">
        <f>SUMIFS('0803 4度C'!$N:$N,'0803 4度C'!$A:$A,"新豐5線",'0803 4度C'!$B:$B,"平均")</f>
        <v>88.872746087520142</v>
      </c>
      <c r="G14" s="79">
        <f>SUMIFS('0803 4度C'!$N:$N,'0803 4度C'!$A:$A,"新豐7線",'0803 4度C'!$B:$B,"平均")</f>
        <v>125.59877781593799</v>
      </c>
      <c r="H14" s="79">
        <f>SUMIFS('0803 4度C'!$N:$N,'0803 4度C'!$A:$A,"新豐3線",'0803 4度C'!$B:$B,"平均")</f>
        <v>312.64370764370767</v>
      </c>
      <c r="I14" s="79">
        <f>SUMIFS('0803 4度C'!$N:$N,'0803 4度C'!$A:$A,"新豐1線",'0803 4度C'!$B:$B,"平均")</f>
        <v>110.57574546782155</v>
      </c>
      <c r="J14" s="80">
        <f>SUMIFS('0803 4度C'!$N:$N,'0803 4度C'!$A:$A,"新豐10線",'0803 4度C'!$B:$B,"平均")</f>
        <v>281.24681321751842</v>
      </c>
      <c r="K14" s="81">
        <f>SUMIFS('0803 4度C'!$N:$N,'0803 4度C'!$A:$A,"新豐8線",'0803 4度C'!$B:$B,"平均")</f>
        <v>137.03360204908603</v>
      </c>
      <c r="L14" s="82">
        <f>SUMIFS('0803 4度C'!$N:$N,'0803 4度C'!$A:$A,"新豐9線",'0803 4度C'!$B:$B,"平均")</f>
        <v>116.61457553308446</v>
      </c>
      <c r="M14" s="80">
        <f>SUMIFS('0803 4度C'!$N:$N,'0803 4度C'!$A:$A,"新豐4線",'0803 4度C'!$B:$B,"平均")</f>
        <v>136.37414177309063</v>
      </c>
    </row>
    <row r="15" spans="2:17" ht="40.15" customHeight="1">
      <c r="B15" s="584"/>
      <c r="C15" s="83" t="s">
        <v>342</v>
      </c>
      <c r="D15" s="84">
        <f t="shared" ref="D15:M15" si="0">D14/D13</f>
        <v>0.96378291639236324</v>
      </c>
      <c r="E15" s="85">
        <f t="shared" si="0"/>
        <v>0.95321874930886974</v>
      </c>
      <c r="F15" s="85">
        <f t="shared" si="0"/>
        <v>0.95538202044084142</v>
      </c>
      <c r="G15" s="85">
        <f t="shared" si="0"/>
        <v>0.96292396325552454</v>
      </c>
      <c r="H15" s="85">
        <f t="shared" si="0"/>
        <v>0.96398476523476528</v>
      </c>
      <c r="I15" s="85">
        <f t="shared" si="0"/>
        <v>0.95648019829665643</v>
      </c>
      <c r="J15" s="86">
        <f t="shared" si="0"/>
        <v>0.96092661182652128</v>
      </c>
      <c r="K15" s="84">
        <f t="shared" si="0"/>
        <v>0.9543411571275634</v>
      </c>
      <c r="L15" s="85">
        <f t="shared" si="0"/>
        <v>0.95411925436160006</v>
      </c>
      <c r="M15" s="86">
        <f t="shared" si="0"/>
        <v>0.96030124831884645</v>
      </c>
    </row>
    <row r="16" spans="2:17" ht="17.25" customHeight="1">
      <c r="B16" s="585" t="s">
        <v>343</v>
      </c>
      <c r="C16" s="87" t="s">
        <v>344</v>
      </c>
      <c r="D16" s="88">
        <f>VLOOKUP("新豐6線",'0803 4度C'!$A:$T,19,0)</f>
        <v>0.70833333333333337</v>
      </c>
      <c r="E16" s="89">
        <f>VLOOKUP("新豐2線",'0803 4度C'!$A:$T,19,0)</f>
        <v>8.3333333333333329E-2</v>
      </c>
      <c r="F16" s="89">
        <f>VLOOKUP("新豐5線",'0803 4度C'!$A:$T,19,0)</f>
        <v>8.3333333333333329E-2</v>
      </c>
      <c r="G16" s="89">
        <f>VLOOKUP("新豐7線",'0803 4度C'!$A:$T,19,0)</f>
        <v>0.20833333333333334</v>
      </c>
      <c r="H16" s="89">
        <f>VLOOKUP("新豐3線",'0803 4度C'!$A:$T,19,0)</f>
        <v>0.20833333333333334</v>
      </c>
      <c r="I16" s="89">
        <f>VLOOKUP("新豐1線",'0803 4度C'!$A:$T,19,0)</f>
        <v>8.3333333333333329E-2</v>
      </c>
      <c r="J16" s="90">
        <f>VLOOKUP("新豐10線",'0803 4度C'!$A:$T,19,0)</f>
        <v>0.20833333333333334</v>
      </c>
      <c r="K16" s="91">
        <f>VLOOKUP("新豐8線",'0803 4度C'!$A:$T,19,0)</f>
        <v>8.3333333333333329E-2</v>
      </c>
      <c r="L16" s="92">
        <f>VLOOKUP("新豐9線",'0803 4度C'!$A:$T,19,0)</f>
        <v>8.3333333333333329E-2</v>
      </c>
      <c r="M16" s="93">
        <f>VLOOKUP("新豐4線",'0803 4度C'!$A:$T,19,0)</f>
        <v>8.3333333333333329E-2</v>
      </c>
    </row>
    <row r="17" spans="2:13" ht="17.25" customHeight="1">
      <c r="B17" s="586"/>
      <c r="C17" s="87" t="s">
        <v>345</v>
      </c>
      <c r="D17" s="91">
        <f>LOOKUP(2,1/(('0803 4度C'!$A:$A="新豐6線")*('0803 4度C'!$T:$T&lt;&gt;"")),'0803 4度C'!$T:$T)</f>
        <v>0.90555555555555556</v>
      </c>
      <c r="E17" s="89">
        <f>LOOKUP(2,1/(('0803 4度C'!$A:$A="新豐2線")*('0803 4度C'!$T:$T&lt;&gt;"")),'0803 4度C'!$T:$T)</f>
        <v>0.68472222222222212</v>
      </c>
      <c r="F17" s="89">
        <f>LOOKUP(2,1/(('0803 4度C'!$A:$A="新豐5線")*('0803 4度C'!$T:$T&lt;&gt;"")),'0803 4度C'!$T:$T)</f>
        <v>0.84097222222222223</v>
      </c>
      <c r="G17" s="89">
        <f>LOOKUP(2,1/(('0803 4度C'!$A:$A="新豐7線")*('0803 4度C'!$T:$T&lt;&gt;"")),'0803 4度C'!$T:$T)</f>
        <v>0.96944444444444444</v>
      </c>
      <c r="H17" s="89">
        <f>LOOKUP(2,1/(('0803 4度C'!$A:$A="新豐3線")*('0803 4度C'!$T:$T&lt;&gt;"")),'0803 4度C'!$T:$T)</f>
        <v>0.44374999999999998</v>
      </c>
      <c r="I17" s="89">
        <f>LOOKUP(2,1/(('0803 4度C'!$A:$A="新豐1線")*('0803 4度C'!$T:$T&lt;&gt;"")),'0803 4度C'!$T:$T)</f>
        <v>0.95347222222222217</v>
      </c>
      <c r="J17" s="90">
        <f>LOOKUP(2,1/(('0803 4度C'!$A:$A="新豐10線")*('0803 4度C'!$T:$T&lt;&gt;"")),'0803 4度C'!$T:$T)</f>
        <v>0.43263888888888885</v>
      </c>
      <c r="K17" s="88">
        <f>LOOKUP(2,1/(('0803 4度C'!$A:$A="新豐8線")*('0803 4度C'!$T:$T&lt;&gt;"")),'0803 4度C'!$T:$T)</f>
        <v>0.71666666666666656</v>
      </c>
      <c r="L17" s="89">
        <f>LOOKUP(2,1/(('0803 4度C'!$A:$A="新豐9線")*('0803 4度C'!$T:$T&lt;&gt;"")),'0803 4度C'!$T:$T)</f>
        <v>0.76458333333333328</v>
      </c>
      <c r="M17" s="90">
        <f>LOOKUP(2,1/(('0803 4度C'!$A:$A="新豐4線")*('0803 4度C'!$T:$T&lt;&gt;"")),'0803 4度C'!$T:$T)</f>
        <v>0.7520833333333331</v>
      </c>
    </row>
    <row r="18" spans="2:13" ht="17.25" customHeight="1">
      <c r="B18" s="564" t="s">
        <v>346</v>
      </c>
      <c r="C18" s="94" t="s">
        <v>347</v>
      </c>
      <c r="D18" s="95">
        <f>SUMIFS('0803 4度C'!$Y:$Y,'0803 4度C'!$A:$A,"新豐6線",'0803 4度C'!$B:$B,"平均")</f>
        <v>0</v>
      </c>
      <c r="E18" s="96">
        <f>SUMIFS('0803 4度C'!$Y:$Y,'0803 4度C'!$A:$A,"新豐2線",'0803 4度C'!$B:$B,"平均")</f>
        <v>0</v>
      </c>
      <c r="F18" s="96">
        <f>SUMIFS('0803 4度C'!$Y:$Y,'0803 4度C'!$A:$A,"新豐5線",'0803 4度C'!$B:$B,"平均")</f>
        <v>0</v>
      </c>
      <c r="G18" s="96">
        <f>SUMIFS('0803 4度C'!$Y:$Y,'0803 4度C'!$A:$A,"新豐7線",'0803 4度C'!$B:$B,"平均")</f>
        <v>0</v>
      </c>
      <c r="H18" s="96">
        <f>SUMIFS('0803 4度C'!$Y:$Y,'0803 4度C'!$A:$A,"新豐3線",'0803 4度C'!$B:$B,"平均")</f>
        <v>0</v>
      </c>
      <c r="I18" s="96">
        <f>SUMIFS('0803 4度C'!$Y:$Y,'0803 4度C'!$A:$A,"新豐1線",'0803 4度C'!$B:$B,"平均")</f>
        <v>0</v>
      </c>
      <c r="J18" s="97">
        <f>SUMIFS('0803 4度C'!$Y:$Y,'0803 4度C'!$A:$A,"新豐10線",'0803 4度C'!$B:$B,"平均")</f>
        <v>0</v>
      </c>
      <c r="K18" s="98">
        <f>SUMIFS('0803 4度C'!$Y:$Y,'0803 4度C'!$A:$A,"新豐8線",'0803 4度C'!$B:$B,"平均")</f>
        <v>0</v>
      </c>
      <c r="L18" s="96">
        <f>SUMIFS('0803 4度C'!$Y:$Y,'0803 4度C'!$A:$A,"新豐9線",'0803 4度C'!$B:$B,"平均")</f>
        <v>0</v>
      </c>
      <c r="M18" s="97">
        <f>SUMIFS('0803 4度C'!$Y:$Y,'0803 4度C'!$A:$A,"新豐4線",'0803 4度C'!$B:$B,"平均")</f>
        <v>0</v>
      </c>
    </row>
    <row r="19" spans="2:13" ht="17.25" customHeight="1">
      <c r="B19" s="565"/>
      <c r="C19" s="94" t="s">
        <v>348</v>
      </c>
      <c r="D19" s="95">
        <f>SUMIFS('0803 4度C'!$Z:$Z,'0803 4度C'!$A:$A,"新豐6線",'0803 4度C'!$B:$B,"平均")</f>
        <v>0</v>
      </c>
      <c r="E19" s="96">
        <f>SUMIFS('0803 4度C'!$Z:$Z,'0803 4度C'!$A:$A,"新豐2線",'0803 4度C'!$B:$B,"平均")</f>
        <v>0</v>
      </c>
      <c r="F19" s="96">
        <f>SUMIFS('0803 4度C'!$Z:$Z,'0803 4度C'!$A:$A,"新豐5線",'0803 4度C'!$B:$B,"平均")</f>
        <v>0</v>
      </c>
      <c r="G19" s="96">
        <f>SUMIFS('0803 4度C'!$Z:$Z,'0803 4度C'!$A:$A,"新豐7線",'0803 4度C'!$B:$B,"平均")</f>
        <v>0</v>
      </c>
      <c r="H19" s="96">
        <f>SUMIFS('0803 4度C'!$Z:$Z,'0803 4度C'!$A:$A,"新豐3線",'0803 4度C'!$B:$B,"平均")</f>
        <v>0</v>
      </c>
      <c r="I19" s="96">
        <f>SUMIFS('0803 4度C'!$Z:$Z,'0803 4度C'!$A:$A,"新豐1線",'0803 4度C'!$B:$B,"平均")</f>
        <v>0</v>
      </c>
      <c r="J19" s="97">
        <f>SUMIFS('0803 4度C'!$Z:$Z,'0803 4度C'!$A:$A,"新豐10線",'0803 4度C'!$B:$B,"平均")</f>
        <v>0</v>
      </c>
      <c r="K19" s="98">
        <f>SUMIFS('0803 4度C'!$Z:$Z,'0803 4度C'!$A:$A,"新豐8線",'0803 4度C'!$B:$B,"平均")</f>
        <v>0</v>
      </c>
      <c r="L19" s="96">
        <f>SUMIFS('0803 4度C'!$Z:$Z,'0803 4度C'!$A:$A,"新豐9線",'0803 4度C'!$B:$B,"平均")</f>
        <v>0</v>
      </c>
      <c r="M19" s="97">
        <f>SUMIFS('0803 4度C'!$Z:$Z,'0803 4度C'!$A:$A,"新豐4線",'0803 4度C'!$B:$B,"平均")</f>
        <v>0</v>
      </c>
    </row>
    <row r="20" spans="2:13" ht="17.25" customHeight="1">
      <c r="B20" s="564" t="s">
        <v>349</v>
      </c>
      <c r="C20" s="94" t="s">
        <v>350</v>
      </c>
      <c r="D20" s="95">
        <f>SUMIFS('0803 4度C'!$AC:$AC,'0803 4度C'!$A:$A,"新豐6線",'0803 4度C'!$B:$B,"平均")</f>
        <v>4</v>
      </c>
      <c r="E20" s="96">
        <f>SUMIFS('0803 4度C'!$AC:$AC,'0803 4度C'!$A:$A,"新豐2線",'0803 4度C'!$B:$B,"平均")</f>
        <v>6</v>
      </c>
      <c r="F20" s="96">
        <f>SUMIFS('0803 4度C'!$AC:$AC,'0803 4度C'!$A:$A,"新豐5線",'0803 4度C'!$B:$B,"平均")</f>
        <v>7</v>
      </c>
      <c r="G20" s="96">
        <f>SUMIFS('0803 4度C'!$AC:$AC,'0803 4度C'!$A:$A,"新豐7線",'0803 4度C'!$B:$B,"平均")</f>
        <v>9</v>
      </c>
      <c r="H20" s="96">
        <f>SUMIFS('0803 4度C'!$AC:$AC,'0803 4度C'!$A:$A,"新豐3線",'0803 4度C'!$B:$B,"平均")</f>
        <v>4</v>
      </c>
      <c r="I20" s="96">
        <f>SUMIFS('0803 4度C'!$AC:$AC,'0803 4度C'!$A:$A,"新豐1線",'0803 4度C'!$B:$B,"平均")</f>
        <v>10</v>
      </c>
      <c r="J20" s="97">
        <f>SUMIFS('0803 4度C'!$AC:$AC,'0803 4度C'!$A:$A,"新豐10線",'0803 4度C'!$B:$B,"平均")</f>
        <v>4</v>
      </c>
      <c r="K20" s="98">
        <f>SUMIFS('0803 4度C'!$AC:$AC,'0803 4度C'!$A:$A,"新豐8線",'0803 4度C'!$B:$B,"平均")</f>
        <v>7</v>
      </c>
      <c r="L20" s="96">
        <f>SUMIFS('0803 4度C'!$AC:$AC,'0803 4度C'!$A:$A,"新豐9線",'0803 4度C'!$B:$B,"平均")</f>
        <v>8</v>
      </c>
      <c r="M20" s="97">
        <f>SUMIFS('0803 4度C'!$AC:$AC,'0803 4度C'!$A:$A,"新豐4線",'0803 4度C'!$B:$B,"平均")</f>
        <v>10</v>
      </c>
    </row>
    <row r="21" spans="2:13" ht="17.25" customHeight="1">
      <c r="B21" s="565"/>
      <c r="C21" s="94" t="s">
        <v>351</v>
      </c>
      <c r="D21" s="95">
        <f>SUMIFS('0803 4度C'!$AD:$AD,'0803 4度C'!$A:$A,"新豐6線",'0803 4度C'!$B:$B,"平均")</f>
        <v>0</v>
      </c>
      <c r="E21" s="96">
        <f>SUMIFS('0803 4度C'!$AD:$AD,'0803 4度C'!$A:$A,"新豐2線",'0803 4度C'!$B:$B,"平均")</f>
        <v>0</v>
      </c>
      <c r="F21" s="96">
        <f>SUMIFS('0803 4度C'!$AD:$AD,'0803 4度C'!$A:$A,"新豐5線",'0803 4度C'!$B:$B,"平均")</f>
        <v>0</v>
      </c>
      <c r="G21" s="96">
        <f>SUMIFS('0803 4度C'!$AD:$AD,'0803 4度C'!$A:$A,"新豐7線",'0803 4度C'!$B:$B,"平均")</f>
        <v>0</v>
      </c>
      <c r="H21" s="96">
        <f>SUMIFS('0803 4度C'!$AD:$AD,'0803 4度C'!$A:$A,"新豐3線",'0803 4度C'!$B:$B,"平均")</f>
        <v>0</v>
      </c>
      <c r="I21" s="96">
        <f>SUMIFS('0803 4度C'!$AD:$AD,'0803 4度C'!$A:$A,"新豐1線",'0803 4度C'!$B:$B,"平均")</f>
        <v>0</v>
      </c>
      <c r="J21" s="97">
        <f>SUMIFS('0803 4度C'!$AD:$AD,'0803 4度C'!$A:$A,"新豐10線",'0803 4度C'!$B:$B,"平均")</f>
        <v>0</v>
      </c>
      <c r="K21" s="98">
        <f>SUMIFS('0803 4度C'!$AD:$AD,'0803 4度C'!$A:$A,"新豐8線",'0803 4度C'!$B:$B,"平均")</f>
        <v>0</v>
      </c>
      <c r="L21" s="96">
        <f>SUMIFS('0803 4度C'!$AD:$AD,'0803 4度C'!$A:$A,"新豐9線",'0803 4度C'!$B:$B,"平均")</f>
        <v>0</v>
      </c>
      <c r="M21" s="97">
        <f>SUMIFS('0803 4度C'!$AD:$AD,'0803 4度C'!$A:$A,"新豐4線",'0803 4度C'!$B:$B,"平均")</f>
        <v>0</v>
      </c>
    </row>
    <row r="22" spans="2:13" ht="17.25" customHeight="1">
      <c r="B22" s="566" t="s">
        <v>352</v>
      </c>
      <c r="C22" s="567"/>
      <c r="D22" s="99">
        <f>SUMIFS('0803 4度C'!$I:$I,'0803 4度C'!$A:$A,"新豐6線",'0803 4度C'!$B:$B,"平均")</f>
        <v>15.5</v>
      </c>
      <c r="E22" s="100">
        <f>SUMIFS('0803 4度C'!$I:$I,'0803 4度C'!$A:$A,"新豐2線",'0803 4度C'!$B:$B,"平均")</f>
        <v>17.666666666666668</v>
      </c>
      <c r="F22" s="100">
        <f>SUMIFS('0803 4度C'!$I:$I,'0803 4度C'!$A:$A,"新豐5線",'0803 4度C'!$B:$B,"平均")</f>
        <v>18.428571428571427</v>
      </c>
      <c r="G22" s="100">
        <f>SUMIFS('0803 4度C'!$I:$I,'0803 4度C'!$A:$A,"新豐7線",'0803 4度C'!$B:$B,"平均")</f>
        <v>15.333333333333334</v>
      </c>
      <c r="H22" s="100">
        <f>SUMIFS('0803 4度C'!$I:$I,'0803 4度C'!$A:$A,"新豐3線",'0803 4度C'!$B:$B,"平均")</f>
        <v>9.25</v>
      </c>
      <c r="I22" s="100">
        <f>SUMIFS('0803 4度C'!$I:$I,'0803 4度C'!$A:$A,"新豐1線",'0803 4度C'!$B:$B,"平均")</f>
        <v>17.3</v>
      </c>
      <c r="J22" s="101">
        <f>SUMIFS('0803 4度C'!$I:$I,'0803 4度C'!$A:$A,"新豐10線",'0803 4度C'!$B:$B,"平均")</f>
        <v>10.25</v>
      </c>
      <c r="K22" s="99">
        <f>SUMIFS('0803 4度C'!$I:$I,'0803 4度C'!$A:$A,"新豐8線",'0803 4度C'!$B:$B,"平均")</f>
        <v>16.714285714285715</v>
      </c>
      <c r="L22" s="100">
        <f>SUMIFS('0803 4度C'!$I:$I,'0803 4度C'!$A:$A,"新豐9線",'0803 4度C'!$B:$B,"平均")</f>
        <v>18</v>
      </c>
      <c r="M22" s="101">
        <f>SUMIFS('0803 4度C'!$I:$I,'0803 4度C'!$A:$A,"新豐4線",'0803 4度C'!$B:$B,"平均")</f>
        <v>16.899999999999999</v>
      </c>
    </row>
    <row r="23" spans="2:13" ht="17.25" customHeight="1">
      <c r="B23" s="566" t="s">
        <v>353</v>
      </c>
      <c r="C23" s="567"/>
      <c r="D23" s="102" t="s">
        <v>202</v>
      </c>
      <c r="E23" s="103" t="s">
        <v>203</v>
      </c>
      <c r="F23" s="103" t="s">
        <v>354</v>
      </c>
      <c r="G23" s="103" t="s">
        <v>355</v>
      </c>
      <c r="H23" s="103" t="s">
        <v>205</v>
      </c>
      <c r="I23" s="103" t="s">
        <v>202</v>
      </c>
      <c r="J23" s="104" t="s">
        <v>205</v>
      </c>
      <c r="K23" s="102" t="s">
        <v>356</v>
      </c>
      <c r="L23" s="103" t="s">
        <v>356</v>
      </c>
      <c r="M23" s="104" t="s">
        <v>357</v>
      </c>
    </row>
    <row r="24" spans="2:13" ht="17.25" customHeight="1">
      <c r="B24" s="566" t="s">
        <v>358</v>
      </c>
      <c r="C24" s="567"/>
      <c r="D24" s="102"/>
      <c r="E24" s="103"/>
      <c r="F24" s="103" t="s">
        <v>359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68" t="s">
        <v>360</v>
      </c>
      <c r="C25" s="569"/>
      <c r="D25" s="105"/>
      <c r="E25" s="106" t="s">
        <v>361</v>
      </c>
      <c r="F25" s="562" t="s">
        <v>362</v>
      </c>
      <c r="G25" s="563"/>
      <c r="H25" s="106" t="s">
        <v>363</v>
      </c>
      <c r="I25" s="106" t="s">
        <v>364</v>
      </c>
      <c r="J25" s="107" t="s">
        <v>363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C5:D5"/>
    <mergeCell ref="E5:F5"/>
    <mergeCell ref="G5:H5"/>
    <mergeCell ref="I5:J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B10:C10"/>
    <mergeCell ref="D10:J10"/>
    <mergeCell ref="K10:M10"/>
    <mergeCell ref="B11:C12"/>
    <mergeCell ref="B13:B15"/>
    <mergeCell ref="F25:G25"/>
    <mergeCell ref="B18:B19"/>
    <mergeCell ref="B20:B21"/>
    <mergeCell ref="B22:C22"/>
    <mergeCell ref="B23:C23"/>
    <mergeCell ref="B24:C24"/>
    <mergeCell ref="B25:C25"/>
  </mergeCells>
  <phoneticPr fontId="3" type="noConversion"/>
  <conditionalFormatting sqref="D15:M15">
    <cfRule type="cellIs" dxfId="328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84"/>
  <sheetViews>
    <sheetView zoomScale="80" zoomScaleNormal="80" workbookViewId="0">
      <pane ySplit="4" topLeftCell="A5" activePane="bottomLeft" state="frozen"/>
      <selection activeCell="A9" sqref="A9"/>
      <selection pane="bottomLeft" activeCell="A5" sqref="A5:A9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41" customWidth="1"/>
    <col min="20" max="20" width="7.625" style="41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365</v>
      </c>
      <c r="B1" s="1"/>
      <c r="C1" s="2" t="s">
        <v>366</v>
      </c>
      <c r="D1" s="3">
        <f>SUM(F5:F83)</f>
        <v>204228</v>
      </c>
      <c r="E1" s="124" t="s">
        <v>367</v>
      </c>
      <c r="F1" s="1">
        <f>SUM(G5:G83)</f>
        <v>7197566.54</v>
      </c>
      <c r="G1" s="1" t="s">
        <v>368</v>
      </c>
      <c r="H1" s="5">
        <f>L9+L16+L56+L67+L24+L72+L42+L51+L34+L83</f>
        <v>155.34285714285716</v>
      </c>
      <c r="I1" s="676" t="s">
        <v>369</v>
      </c>
      <c r="J1" s="676"/>
      <c r="K1" s="676"/>
      <c r="L1" s="676" t="s">
        <v>370</v>
      </c>
      <c r="M1" s="676"/>
      <c r="N1" s="676"/>
      <c r="O1" s="676" t="s">
        <v>371</v>
      </c>
      <c r="P1" s="676"/>
      <c r="Q1" s="676"/>
      <c r="R1" s="676"/>
      <c r="S1" s="676" t="s">
        <v>372</v>
      </c>
      <c r="T1" s="676"/>
      <c r="U1" s="676"/>
      <c r="V1" s="676"/>
      <c r="W1" s="676"/>
      <c r="X1" s="676"/>
      <c r="Y1" s="6" t="s">
        <v>373</v>
      </c>
      <c r="Z1" s="7" t="s">
        <v>374</v>
      </c>
      <c r="AA1" s="677" t="s">
        <v>375</v>
      </c>
      <c r="AB1" s="677"/>
      <c r="AC1" s="8" t="s">
        <v>373</v>
      </c>
      <c r="AD1" s="7" t="s">
        <v>376</v>
      </c>
      <c r="AE1" s="676" t="s">
        <v>377</v>
      </c>
      <c r="AF1" s="678"/>
      <c r="AG1" s="678"/>
    </row>
    <row r="2" spans="1:33" ht="26.25" customHeight="1">
      <c r="A2" s="35">
        <v>46237</v>
      </c>
      <c r="B2" s="36" t="s">
        <v>378</v>
      </c>
      <c r="C2" s="2" t="s">
        <v>379</v>
      </c>
      <c r="D2" s="10">
        <f>AVERAGE(N9,N16,N56,N67,N24,N72,N34,N42,N51,N83)</f>
        <v>151.42528629680277</v>
      </c>
      <c r="E2" s="11" t="s">
        <v>14</v>
      </c>
      <c r="F2" s="12">
        <f>F1/D1</f>
        <v>35.242799909904619</v>
      </c>
      <c r="G2" s="1" t="s">
        <v>380</v>
      </c>
      <c r="H2" s="122">
        <f>COUNT(H5:H83)</f>
        <v>15</v>
      </c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14">
        <f>SUM(Y9+Y16+Y24+Y34+Y42+Y51+Y56+Y67+Y72+Y83)</f>
        <v>0</v>
      </c>
      <c r="Z2" s="14">
        <f>SUM(Z9+Z16+Z24+Z34+Z42+Z51+Z56+Z67+Z72+Z83)</f>
        <v>0</v>
      </c>
      <c r="AA2" s="677"/>
      <c r="AB2" s="677"/>
      <c r="AC2" s="14">
        <v>69</v>
      </c>
      <c r="AD2" s="14">
        <f>SUM(AD9+AD16+AD24+AD34+AD42+AD51+AD56+AD67+AD72+AD83)</f>
        <v>0</v>
      </c>
      <c r="AE2" s="678"/>
      <c r="AF2" s="678"/>
      <c r="AG2" s="678"/>
    </row>
    <row r="3" spans="1:33" ht="40.5" customHeight="1">
      <c r="A3" s="632" t="s">
        <v>381</v>
      </c>
      <c r="B3" s="632" t="s">
        <v>382</v>
      </c>
      <c r="C3" s="632" t="s">
        <v>383</v>
      </c>
      <c r="D3" s="632"/>
      <c r="E3" s="674" t="s">
        <v>384</v>
      </c>
      <c r="F3" s="632" t="s">
        <v>385</v>
      </c>
      <c r="G3" s="674" t="s">
        <v>386</v>
      </c>
      <c r="H3" s="667" t="s">
        <v>387</v>
      </c>
      <c r="I3" s="665" t="s">
        <v>388</v>
      </c>
      <c r="J3" s="662" t="s">
        <v>389</v>
      </c>
      <c r="K3" s="672" t="s">
        <v>379</v>
      </c>
      <c r="L3" s="665" t="s">
        <v>388</v>
      </c>
      <c r="M3" s="662" t="s">
        <v>389</v>
      </c>
      <c r="N3" s="672" t="s">
        <v>379</v>
      </c>
      <c r="O3" s="665" t="s">
        <v>388</v>
      </c>
      <c r="P3" s="672" t="s">
        <v>379</v>
      </c>
      <c r="Q3" s="663" t="s">
        <v>390</v>
      </c>
      <c r="R3" s="641" t="s">
        <v>391</v>
      </c>
      <c r="S3" s="673" t="s">
        <v>29</v>
      </c>
      <c r="T3" s="673"/>
      <c r="U3" s="667" t="s">
        <v>30</v>
      </c>
      <c r="V3" s="667" t="s">
        <v>392</v>
      </c>
      <c r="W3" s="632" t="s">
        <v>393</v>
      </c>
      <c r="X3" s="632"/>
      <c r="Y3" s="668" t="s">
        <v>394</v>
      </c>
      <c r="Z3" s="631"/>
      <c r="AA3" s="669" t="s">
        <v>395</v>
      </c>
      <c r="AB3" s="670"/>
      <c r="AC3" s="668" t="s">
        <v>396</v>
      </c>
      <c r="AD3" s="631"/>
      <c r="AE3" s="662" t="s">
        <v>397</v>
      </c>
      <c r="AF3" s="663" t="s">
        <v>398</v>
      </c>
      <c r="AG3" s="641" t="s">
        <v>391</v>
      </c>
    </row>
    <row r="4" spans="1:33" ht="15.75" customHeight="1">
      <c r="A4" s="632"/>
      <c r="B4" s="632"/>
      <c r="C4" s="632"/>
      <c r="D4" s="632"/>
      <c r="E4" s="675"/>
      <c r="F4" s="632"/>
      <c r="G4" s="675"/>
      <c r="H4" s="667"/>
      <c r="I4" s="665"/>
      <c r="J4" s="662"/>
      <c r="K4" s="672"/>
      <c r="L4" s="665"/>
      <c r="M4" s="662"/>
      <c r="N4" s="672"/>
      <c r="O4" s="665"/>
      <c r="P4" s="672"/>
      <c r="Q4" s="663"/>
      <c r="R4" s="641"/>
      <c r="S4" s="128" t="s">
        <v>39</v>
      </c>
      <c r="T4" s="128" t="s">
        <v>40</v>
      </c>
      <c r="U4" s="667"/>
      <c r="V4" s="667"/>
      <c r="W4" s="124" t="s">
        <v>399</v>
      </c>
      <c r="X4" s="124" t="s">
        <v>400</v>
      </c>
      <c r="Y4" s="127" t="s">
        <v>401</v>
      </c>
      <c r="Z4" s="127" t="s">
        <v>402</v>
      </c>
      <c r="AA4" s="671"/>
      <c r="AB4" s="670"/>
      <c r="AC4" s="127" t="s">
        <v>403</v>
      </c>
      <c r="AD4" s="127" t="s">
        <v>404</v>
      </c>
      <c r="AE4" s="662"/>
      <c r="AF4" s="663"/>
      <c r="AG4" s="641"/>
    </row>
    <row r="5" spans="1:33">
      <c r="A5" s="664" t="s">
        <v>405</v>
      </c>
      <c r="B5" s="42" t="s">
        <v>92</v>
      </c>
      <c r="C5" s="666" t="s">
        <v>93</v>
      </c>
      <c r="D5" s="666"/>
      <c r="E5" s="42">
        <v>50.92</v>
      </c>
      <c r="F5" s="128">
        <v>2316</v>
      </c>
      <c r="G5" s="124">
        <f t="shared" ref="G5:G8" si="0">E5*F5</f>
        <v>117930.72</v>
      </c>
      <c r="H5" s="37" t="s">
        <v>91</v>
      </c>
      <c r="I5" s="123">
        <v>15</v>
      </c>
      <c r="J5" s="39">
        <v>2000</v>
      </c>
      <c r="K5" s="17">
        <f t="shared" ref="K5:K68" si="1">J5/I5</f>
        <v>133.33333333333334</v>
      </c>
      <c r="L5" s="123">
        <v>15</v>
      </c>
      <c r="M5" s="18">
        <f t="shared" ref="M5:M8" si="2">F5/V5*60</f>
        <v>1929.9999999999986</v>
      </c>
      <c r="N5" s="17">
        <f t="shared" ref="N5:N68" si="3">M5/L5</f>
        <v>128.66666666666657</v>
      </c>
      <c r="O5" s="19">
        <f t="shared" ref="O5:O68" si="4">L5-I5</f>
        <v>0</v>
      </c>
      <c r="P5" s="20">
        <f t="shared" ref="P5:P68" si="5">N5-K5</f>
        <v>-4.6666666666667709</v>
      </c>
      <c r="Q5" s="125">
        <f t="shared" ref="Q5:Q68" si="6">N5/K5</f>
        <v>0.96499999999999919</v>
      </c>
      <c r="R5" s="637">
        <f>Q9</f>
        <v>0.96378291639236324</v>
      </c>
      <c r="S5" s="40">
        <v>0.70833333333333337</v>
      </c>
      <c r="T5" s="40">
        <v>0.75833333333333341</v>
      </c>
      <c r="U5" s="124"/>
      <c r="V5" s="126">
        <f t="shared" ref="V5:V8" si="7">(T5-S5)*24*60</f>
        <v>72.000000000000057</v>
      </c>
      <c r="W5" s="23"/>
      <c r="X5" s="23"/>
      <c r="Y5" s="24"/>
      <c r="Z5" s="24"/>
      <c r="AA5" s="632"/>
      <c r="AB5" s="632"/>
      <c r="AC5" s="25">
        <v>4</v>
      </c>
      <c r="AD5" s="25"/>
      <c r="AE5" s="19">
        <f t="shared" ref="AE5:AE66" si="8">M5-J5</f>
        <v>-70.000000000001364</v>
      </c>
      <c r="AF5" s="125">
        <f t="shared" ref="AF5:AF68" si="9">M5/J5</f>
        <v>0.9649999999999993</v>
      </c>
      <c r="AG5" s="637">
        <f>AF9</f>
        <v>0.96378291639236313</v>
      </c>
    </row>
    <row r="6" spans="1:33">
      <c r="A6" s="665" t="s">
        <v>406</v>
      </c>
      <c r="B6" s="42" t="s">
        <v>92</v>
      </c>
      <c r="C6" s="666" t="s">
        <v>94</v>
      </c>
      <c r="D6" s="666"/>
      <c r="E6" s="42">
        <v>50.98</v>
      </c>
      <c r="F6" s="128">
        <v>1000</v>
      </c>
      <c r="G6" s="124">
        <f t="shared" si="0"/>
        <v>50980</v>
      </c>
      <c r="H6" s="37">
        <v>2</v>
      </c>
      <c r="I6" s="123">
        <v>16</v>
      </c>
      <c r="J6" s="39">
        <v>2000</v>
      </c>
      <c r="K6" s="17">
        <f t="shared" si="1"/>
        <v>125</v>
      </c>
      <c r="L6" s="123">
        <v>16</v>
      </c>
      <c r="M6" s="18">
        <f t="shared" si="2"/>
        <v>1935.483870967739</v>
      </c>
      <c r="N6" s="17">
        <f t="shared" si="3"/>
        <v>120.96774193548369</v>
      </c>
      <c r="O6" s="19">
        <f t="shared" si="4"/>
        <v>0</v>
      </c>
      <c r="P6" s="20">
        <f t="shared" si="5"/>
        <v>-4.0322580645163129</v>
      </c>
      <c r="Q6" s="125">
        <f t="shared" si="6"/>
        <v>0.96774193548386944</v>
      </c>
      <c r="R6" s="637"/>
      <c r="S6" s="40">
        <v>0.76180555555555562</v>
      </c>
      <c r="T6" s="40">
        <v>0.78333333333333344</v>
      </c>
      <c r="U6" s="124">
        <f t="shared" ref="U6:U8" si="10">IF(S6=TIME(17,0,0),"",(S6-T5)*24*60)</f>
        <v>4.9999999999999822</v>
      </c>
      <c r="V6" s="126">
        <f t="shared" si="7"/>
        <v>31.00000000000005</v>
      </c>
      <c r="W6" s="23"/>
      <c r="X6" s="23"/>
      <c r="Y6" s="23"/>
      <c r="Z6" s="23"/>
      <c r="AA6" s="632"/>
      <c r="AB6" s="632"/>
      <c r="AC6" s="25"/>
      <c r="AD6" s="25"/>
      <c r="AE6" s="19">
        <f t="shared" si="8"/>
        <v>-64.516129032261006</v>
      </c>
      <c r="AF6" s="125">
        <f t="shared" si="9"/>
        <v>0.96774193548386944</v>
      </c>
      <c r="AG6" s="637"/>
    </row>
    <row r="7" spans="1:33">
      <c r="A7" s="665" t="s">
        <v>304</v>
      </c>
      <c r="B7" s="42" t="s">
        <v>92</v>
      </c>
      <c r="C7" s="660" t="s">
        <v>109</v>
      </c>
      <c r="D7" s="661"/>
      <c r="E7" s="42">
        <v>50.49</v>
      </c>
      <c r="F7" s="128">
        <v>1994</v>
      </c>
      <c r="G7" s="124">
        <f t="shared" si="0"/>
        <v>100677.06</v>
      </c>
      <c r="H7" s="37" t="s">
        <v>91</v>
      </c>
      <c r="I7" s="123">
        <v>15</v>
      </c>
      <c r="J7" s="39">
        <v>2000</v>
      </c>
      <c r="K7" s="17">
        <f t="shared" si="1"/>
        <v>133.33333333333334</v>
      </c>
      <c r="L7" s="123">
        <v>15</v>
      </c>
      <c r="M7" s="18">
        <f t="shared" si="2"/>
        <v>1929.6774193548406</v>
      </c>
      <c r="N7" s="17">
        <f t="shared" si="3"/>
        <v>128.6451612903227</v>
      </c>
      <c r="O7" s="19">
        <f t="shared" si="4"/>
        <v>0</v>
      </c>
      <c r="P7" s="20">
        <f t="shared" si="5"/>
        <v>-4.6881720430106384</v>
      </c>
      <c r="Q7" s="125">
        <f t="shared" si="6"/>
        <v>0.96483870967742025</v>
      </c>
      <c r="R7" s="637"/>
      <c r="S7" s="40">
        <v>0.78680555555555565</v>
      </c>
      <c r="T7" s="40">
        <v>0.82986111111111116</v>
      </c>
      <c r="U7" s="124">
        <f t="shared" si="10"/>
        <v>4.9999999999999822</v>
      </c>
      <c r="V7" s="126">
        <f t="shared" si="7"/>
        <v>61.999999999999943</v>
      </c>
      <c r="W7" s="23">
        <f>T7</f>
        <v>0.82986111111111116</v>
      </c>
      <c r="X7" s="23">
        <f>S8</f>
        <v>0.87152777777777779</v>
      </c>
      <c r="Y7" s="26"/>
      <c r="Z7" s="26"/>
      <c r="AA7" s="627"/>
      <c r="AB7" s="628"/>
      <c r="AC7" s="27"/>
      <c r="AD7" s="27"/>
      <c r="AE7" s="19">
        <f t="shared" si="8"/>
        <v>-70.322580645159405</v>
      </c>
      <c r="AF7" s="125">
        <f t="shared" si="9"/>
        <v>0.96483870967742025</v>
      </c>
      <c r="AG7" s="637"/>
    </row>
    <row r="8" spans="1:33">
      <c r="A8" s="665" t="s">
        <v>304</v>
      </c>
      <c r="B8" s="42" t="s">
        <v>92</v>
      </c>
      <c r="C8" s="660" t="s">
        <v>94</v>
      </c>
      <c r="D8" s="661"/>
      <c r="E8" s="42">
        <v>50.98</v>
      </c>
      <c r="F8" s="128">
        <v>1564</v>
      </c>
      <c r="G8" s="124">
        <f t="shared" si="0"/>
        <v>79732.72</v>
      </c>
      <c r="H8" s="37" t="s">
        <v>91</v>
      </c>
      <c r="I8" s="123">
        <v>16</v>
      </c>
      <c r="J8" s="39">
        <v>2000</v>
      </c>
      <c r="K8" s="17">
        <f t="shared" si="1"/>
        <v>125</v>
      </c>
      <c r="L8" s="123">
        <v>16</v>
      </c>
      <c r="M8" s="18">
        <f t="shared" si="2"/>
        <v>1915.102040816327</v>
      </c>
      <c r="N8" s="17">
        <f t="shared" si="3"/>
        <v>119.69387755102044</v>
      </c>
      <c r="O8" s="19">
        <f t="shared" si="4"/>
        <v>0</v>
      </c>
      <c r="P8" s="20">
        <f t="shared" si="5"/>
        <v>-5.3061224489795649</v>
      </c>
      <c r="Q8" s="125">
        <f t="shared" si="6"/>
        <v>0.95755102040816353</v>
      </c>
      <c r="R8" s="637"/>
      <c r="S8" s="40">
        <v>0.87152777777777779</v>
      </c>
      <c r="T8" s="40">
        <v>0.90555555555555556</v>
      </c>
      <c r="U8" s="124">
        <f t="shared" si="10"/>
        <v>59.999999999999943</v>
      </c>
      <c r="V8" s="126">
        <f t="shared" si="7"/>
        <v>48.999999999999986</v>
      </c>
      <c r="W8" s="28"/>
      <c r="X8" s="28"/>
      <c r="Y8" s="136"/>
      <c r="Z8" s="136"/>
      <c r="AA8" s="627"/>
      <c r="AB8" s="628"/>
      <c r="AC8" s="27"/>
      <c r="AD8" s="27"/>
      <c r="AE8" s="19">
        <f t="shared" si="8"/>
        <v>-84.897959183673038</v>
      </c>
      <c r="AF8" s="125">
        <f t="shared" si="9"/>
        <v>0.95755102040816353</v>
      </c>
      <c r="AG8" s="637"/>
    </row>
    <row r="9" spans="1:33">
      <c r="A9" s="665" t="s">
        <v>407</v>
      </c>
      <c r="B9" s="42" t="s">
        <v>408</v>
      </c>
      <c r="C9" s="638"/>
      <c r="D9" s="638"/>
      <c r="E9" s="129"/>
      <c r="F9" s="44"/>
      <c r="G9" s="17"/>
      <c r="H9" s="128"/>
      <c r="I9" s="29">
        <v>15.5</v>
      </c>
      <c r="J9" s="39">
        <v>2000</v>
      </c>
      <c r="K9" s="17">
        <f t="shared" si="1"/>
        <v>129.03225806451613</v>
      </c>
      <c r="L9" s="29">
        <v>15.5</v>
      </c>
      <c r="M9" s="18">
        <f>AVERAGE(M5:M8)</f>
        <v>1927.5658327847264</v>
      </c>
      <c r="N9" s="17">
        <f t="shared" si="3"/>
        <v>124.35908598611138</v>
      </c>
      <c r="O9" s="19">
        <f t="shared" si="4"/>
        <v>0</v>
      </c>
      <c r="P9" s="20">
        <f t="shared" si="5"/>
        <v>-4.6731720784047468</v>
      </c>
      <c r="Q9" s="125">
        <f t="shared" si="6"/>
        <v>0.96378291639236324</v>
      </c>
      <c r="R9" s="637"/>
      <c r="S9" s="40"/>
      <c r="T9" s="40"/>
      <c r="U9" s="124"/>
      <c r="V9" s="126"/>
      <c r="W9" s="17"/>
      <c r="X9" s="17"/>
      <c r="Y9" s="30">
        <f>SUM(Y5:Y8)</f>
        <v>0</v>
      </c>
      <c r="Z9" s="30">
        <f>SUM(Z5:Z8)</f>
        <v>0</v>
      </c>
      <c r="AA9" s="631"/>
      <c r="AB9" s="631"/>
      <c r="AC9" s="30">
        <v>4</v>
      </c>
      <c r="AD9" s="30">
        <f>SUM(AD5:AD8)</f>
        <v>0</v>
      </c>
      <c r="AE9" s="19">
        <f t="shared" si="8"/>
        <v>-72.434167215273646</v>
      </c>
      <c r="AF9" s="125">
        <f t="shared" si="9"/>
        <v>0.96378291639236313</v>
      </c>
      <c r="AG9" s="637"/>
    </row>
    <row r="10" spans="1:33" ht="15.75" customHeight="1">
      <c r="A10" s="659" t="s">
        <v>306</v>
      </c>
      <c r="B10" s="42" t="s">
        <v>96</v>
      </c>
      <c r="C10" s="660" t="s">
        <v>97</v>
      </c>
      <c r="D10" s="661"/>
      <c r="E10" s="42">
        <v>39.799999999999997</v>
      </c>
      <c r="F10" s="128">
        <v>4000</v>
      </c>
      <c r="G10" s="124">
        <f t="shared" ref="G10:G15" si="11">E10*F10</f>
        <v>159200</v>
      </c>
      <c r="H10" s="37">
        <v>2</v>
      </c>
      <c r="I10" s="123">
        <v>17</v>
      </c>
      <c r="J10" s="39">
        <v>1500</v>
      </c>
      <c r="K10" s="17">
        <f t="shared" si="1"/>
        <v>88.235294117647058</v>
      </c>
      <c r="L10" s="123">
        <v>17</v>
      </c>
      <c r="M10" s="18">
        <f t="shared" ref="M10:M15" si="12">F10/V10*60</f>
        <v>1428.5714285714287</v>
      </c>
      <c r="N10" s="17">
        <f t="shared" si="3"/>
        <v>84.033613445378151</v>
      </c>
      <c r="O10" s="19">
        <f t="shared" si="4"/>
        <v>0</v>
      </c>
      <c r="P10" s="20">
        <f t="shared" si="5"/>
        <v>-4.2016806722689068</v>
      </c>
      <c r="Q10" s="125">
        <f t="shared" si="6"/>
        <v>0.95238095238095244</v>
      </c>
      <c r="R10" s="637">
        <f>Q16</f>
        <v>0.95321874930886974</v>
      </c>
      <c r="S10" s="40">
        <v>8.3333333333333329E-2</v>
      </c>
      <c r="T10" s="40">
        <v>0.19999999999999998</v>
      </c>
      <c r="U10" s="124"/>
      <c r="V10" s="126">
        <f t="shared" ref="V10:V15" si="13">(T10-S10)*24*60</f>
        <v>168</v>
      </c>
      <c r="W10" s="23">
        <f>T10</f>
        <v>0.19999999999999998</v>
      </c>
      <c r="X10" s="23">
        <f>S11</f>
        <v>0.21874999999999997</v>
      </c>
      <c r="Y10" s="23"/>
      <c r="Z10" s="23"/>
      <c r="AA10" s="632"/>
      <c r="AB10" s="632"/>
      <c r="AC10" s="25">
        <v>6</v>
      </c>
      <c r="AD10" s="25"/>
      <c r="AE10" s="19">
        <f t="shared" si="8"/>
        <v>-71.428571428571331</v>
      </c>
      <c r="AF10" s="125">
        <f t="shared" si="9"/>
        <v>0.95238095238095244</v>
      </c>
      <c r="AG10" s="637">
        <f>AF16</f>
        <v>0.95321874930886963</v>
      </c>
    </row>
    <row r="11" spans="1:33" ht="15.75" customHeight="1">
      <c r="A11" s="659" t="s">
        <v>306</v>
      </c>
      <c r="B11" s="42" t="s">
        <v>96</v>
      </c>
      <c r="C11" s="660" t="s">
        <v>98</v>
      </c>
      <c r="D11" s="661"/>
      <c r="E11" s="42">
        <v>39.46</v>
      </c>
      <c r="F11" s="128">
        <v>3161</v>
      </c>
      <c r="G11" s="124">
        <f t="shared" si="11"/>
        <v>124733.06</v>
      </c>
      <c r="H11" s="37" t="s">
        <v>91</v>
      </c>
      <c r="I11" s="123">
        <v>15</v>
      </c>
      <c r="J11" s="39">
        <v>1500</v>
      </c>
      <c r="K11" s="17">
        <f t="shared" si="1"/>
        <v>100</v>
      </c>
      <c r="L11" s="123">
        <v>15</v>
      </c>
      <c r="M11" s="18">
        <f t="shared" si="12"/>
        <v>1426.0150375939843</v>
      </c>
      <c r="N11" s="17">
        <f t="shared" si="3"/>
        <v>95.067669172932284</v>
      </c>
      <c r="O11" s="19">
        <f t="shared" si="4"/>
        <v>0</v>
      </c>
      <c r="P11" s="20">
        <f t="shared" si="5"/>
        <v>-4.932330827067716</v>
      </c>
      <c r="Q11" s="125">
        <f t="shared" si="6"/>
        <v>0.95067669172932279</v>
      </c>
      <c r="R11" s="637"/>
      <c r="S11" s="40">
        <v>0.21874999999999997</v>
      </c>
      <c r="T11" s="40">
        <v>0.31111111111111112</v>
      </c>
      <c r="U11" s="124">
        <f t="shared" ref="U11:U15" si="14">IF(S11=TIME(17,0,0),"",(S11-T10)*24*60)</f>
        <v>26.999999999999986</v>
      </c>
      <c r="V11" s="126">
        <f t="shared" si="13"/>
        <v>133.00000000000006</v>
      </c>
      <c r="W11" s="23"/>
      <c r="X11" s="23"/>
      <c r="Y11" s="23"/>
      <c r="Z11" s="23"/>
      <c r="AA11" s="632"/>
      <c r="AB11" s="632"/>
      <c r="AC11" s="25"/>
      <c r="AD11" s="25"/>
      <c r="AE11" s="19">
        <f t="shared" si="8"/>
        <v>-73.984962406015711</v>
      </c>
      <c r="AF11" s="125">
        <f t="shared" si="9"/>
        <v>0.9506766917293229</v>
      </c>
      <c r="AG11" s="637"/>
    </row>
    <row r="12" spans="1:33" ht="15.75" customHeight="1">
      <c r="A12" s="659" t="s">
        <v>306</v>
      </c>
      <c r="B12" s="42" t="s">
        <v>96</v>
      </c>
      <c r="C12" s="660" t="s">
        <v>99</v>
      </c>
      <c r="D12" s="661"/>
      <c r="E12" s="42">
        <v>39.520000000000003</v>
      </c>
      <c r="F12" s="128">
        <v>2628</v>
      </c>
      <c r="G12" s="124">
        <f t="shared" si="11"/>
        <v>103858.56000000001</v>
      </c>
      <c r="H12" s="37" t="s">
        <v>91</v>
      </c>
      <c r="I12" s="123">
        <v>19</v>
      </c>
      <c r="J12" s="39">
        <v>1500</v>
      </c>
      <c r="K12" s="17">
        <f t="shared" si="1"/>
        <v>78.94736842105263</v>
      </c>
      <c r="L12" s="123">
        <v>19</v>
      </c>
      <c r="M12" s="18">
        <f t="shared" si="12"/>
        <v>1433.4545454545453</v>
      </c>
      <c r="N12" s="17">
        <f t="shared" si="3"/>
        <v>75.444976076555008</v>
      </c>
      <c r="O12" s="19">
        <f t="shared" si="4"/>
        <v>0</v>
      </c>
      <c r="P12" s="20">
        <f t="shared" si="5"/>
        <v>-3.5023923444976219</v>
      </c>
      <c r="Q12" s="125">
        <f t="shared" si="6"/>
        <v>0.95563636363636351</v>
      </c>
      <c r="R12" s="637"/>
      <c r="S12" s="40">
        <v>0.31458333333333333</v>
      </c>
      <c r="T12" s="40">
        <v>0.39097222222222222</v>
      </c>
      <c r="U12" s="124">
        <f t="shared" si="14"/>
        <v>4.9999999999999822</v>
      </c>
      <c r="V12" s="126">
        <f t="shared" si="13"/>
        <v>110.00000000000001</v>
      </c>
      <c r="W12" s="23"/>
      <c r="X12" s="23"/>
      <c r="Y12" s="23"/>
      <c r="Z12" s="23"/>
      <c r="AA12" s="632"/>
      <c r="AB12" s="632"/>
      <c r="AC12" s="25"/>
      <c r="AD12" s="25"/>
      <c r="AE12" s="19">
        <f t="shared" si="8"/>
        <v>-66.545454545454731</v>
      </c>
      <c r="AF12" s="125">
        <f t="shared" si="9"/>
        <v>0.95563636363636351</v>
      </c>
      <c r="AG12" s="637"/>
    </row>
    <row r="13" spans="1:33" ht="15.75" customHeight="1">
      <c r="A13" s="659" t="s">
        <v>306</v>
      </c>
      <c r="B13" s="42" t="s">
        <v>96</v>
      </c>
      <c r="C13" s="660" t="s">
        <v>100</v>
      </c>
      <c r="D13" s="661"/>
      <c r="E13" s="42">
        <v>39.619999999999997</v>
      </c>
      <c r="F13" s="128">
        <v>3000</v>
      </c>
      <c r="G13" s="124">
        <f t="shared" si="11"/>
        <v>118859.99999999999</v>
      </c>
      <c r="H13" s="37">
        <v>2</v>
      </c>
      <c r="I13" s="123">
        <v>19</v>
      </c>
      <c r="J13" s="39">
        <v>1500</v>
      </c>
      <c r="K13" s="17">
        <f t="shared" si="1"/>
        <v>78.94736842105263</v>
      </c>
      <c r="L13" s="123">
        <v>19</v>
      </c>
      <c r="M13" s="18">
        <f t="shared" si="12"/>
        <v>1428.5714285714282</v>
      </c>
      <c r="N13" s="17">
        <f t="shared" si="3"/>
        <v>75.187969924812009</v>
      </c>
      <c r="O13" s="19">
        <f t="shared" si="4"/>
        <v>0</v>
      </c>
      <c r="P13" s="20">
        <f t="shared" si="5"/>
        <v>-3.7593984962406211</v>
      </c>
      <c r="Q13" s="125">
        <f t="shared" si="6"/>
        <v>0.95238095238095211</v>
      </c>
      <c r="R13" s="637"/>
      <c r="S13" s="40">
        <v>0.39513888888888887</v>
      </c>
      <c r="T13" s="40">
        <v>0.4826388888888889</v>
      </c>
      <c r="U13" s="124">
        <f t="shared" si="14"/>
        <v>5.9999999999999787</v>
      </c>
      <c r="V13" s="126">
        <f t="shared" si="13"/>
        <v>126.00000000000003</v>
      </c>
      <c r="W13" s="23">
        <f>T13</f>
        <v>0.4826388888888889</v>
      </c>
      <c r="X13" s="23">
        <f>S14</f>
        <v>0.52222222222222214</v>
      </c>
      <c r="Y13" s="23"/>
      <c r="Z13" s="23"/>
      <c r="AA13" s="627"/>
      <c r="AB13" s="628"/>
      <c r="AC13" s="25"/>
      <c r="AD13" s="25"/>
      <c r="AE13" s="19">
        <f t="shared" si="8"/>
        <v>-71.428571428571786</v>
      </c>
      <c r="AF13" s="125">
        <f t="shared" si="9"/>
        <v>0.95238095238095211</v>
      </c>
      <c r="AG13" s="637"/>
    </row>
    <row r="14" spans="1:33" ht="15.75" customHeight="1">
      <c r="A14" s="659" t="s">
        <v>306</v>
      </c>
      <c r="B14" s="42" t="s">
        <v>96</v>
      </c>
      <c r="C14" s="660" t="s">
        <v>100</v>
      </c>
      <c r="D14" s="661"/>
      <c r="E14" s="42">
        <v>39.619999999999997</v>
      </c>
      <c r="F14" s="128">
        <v>2248</v>
      </c>
      <c r="G14" s="124">
        <f t="shared" si="11"/>
        <v>89065.76</v>
      </c>
      <c r="H14" s="37" t="s">
        <v>91</v>
      </c>
      <c r="I14" s="123">
        <v>19</v>
      </c>
      <c r="J14" s="39">
        <v>1500</v>
      </c>
      <c r="K14" s="17">
        <f t="shared" si="1"/>
        <v>78.94736842105263</v>
      </c>
      <c r="L14" s="123">
        <v>19</v>
      </c>
      <c r="M14" s="18">
        <f t="shared" si="12"/>
        <v>1434.8936170212769</v>
      </c>
      <c r="N14" s="17">
        <f t="shared" si="3"/>
        <v>75.520716685330356</v>
      </c>
      <c r="O14" s="19">
        <f t="shared" si="4"/>
        <v>0</v>
      </c>
      <c r="P14" s="20">
        <f t="shared" si="5"/>
        <v>-3.4266517357222739</v>
      </c>
      <c r="Q14" s="125">
        <f t="shared" si="6"/>
        <v>0.95659574468085118</v>
      </c>
      <c r="R14" s="637"/>
      <c r="S14" s="40">
        <v>0.52222222222222214</v>
      </c>
      <c r="T14" s="40">
        <v>0.58749999999999991</v>
      </c>
      <c r="U14" s="124">
        <f t="shared" si="14"/>
        <v>56.999999999999879</v>
      </c>
      <c r="V14" s="126">
        <f t="shared" si="13"/>
        <v>93.999999999999986</v>
      </c>
      <c r="W14" s="23"/>
      <c r="X14" s="23"/>
      <c r="Y14" s="26"/>
      <c r="Z14" s="26"/>
      <c r="AA14" s="627"/>
      <c r="AB14" s="628"/>
      <c r="AC14" s="25"/>
      <c r="AD14" s="25"/>
      <c r="AE14" s="19">
        <f t="shared" si="8"/>
        <v>-65.106382978723104</v>
      </c>
      <c r="AF14" s="125">
        <f t="shared" si="9"/>
        <v>0.95659574468085129</v>
      </c>
      <c r="AG14" s="637"/>
    </row>
    <row r="15" spans="1:33" ht="15.75" customHeight="1">
      <c r="A15" s="659" t="s">
        <v>306</v>
      </c>
      <c r="B15" s="42" t="s">
        <v>96</v>
      </c>
      <c r="C15" s="660" t="s">
        <v>97</v>
      </c>
      <c r="D15" s="661"/>
      <c r="E15" s="42">
        <v>39.799999999999997</v>
      </c>
      <c r="F15" s="128">
        <v>3188</v>
      </c>
      <c r="G15" s="124">
        <f t="shared" si="11"/>
        <v>126882.4</v>
      </c>
      <c r="H15" s="37" t="s">
        <v>91</v>
      </c>
      <c r="I15" s="123">
        <v>17</v>
      </c>
      <c r="J15" s="39">
        <v>1500</v>
      </c>
      <c r="K15" s="17">
        <f t="shared" si="1"/>
        <v>88.235294117647058</v>
      </c>
      <c r="L15" s="123">
        <v>17</v>
      </c>
      <c r="M15" s="18">
        <f t="shared" si="12"/>
        <v>1427.4626865671642</v>
      </c>
      <c r="N15" s="17">
        <f t="shared" si="3"/>
        <v>83.968393327480243</v>
      </c>
      <c r="O15" s="19">
        <f t="shared" si="4"/>
        <v>0</v>
      </c>
      <c r="P15" s="20">
        <f t="shared" si="5"/>
        <v>-4.2669007901668152</v>
      </c>
      <c r="Q15" s="125">
        <f t="shared" si="6"/>
        <v>0.95164179104477609</v>
      </c>
      <c r="R15" s="637"/>
      <c r="S15" s="40">
        <v>0.59166666666666656</v>
      </c>
      <c r="T15" s="40">
        <v>0.68472222222222212</v>
      </c>
      <c r="U15" s="124">
        <f t="shared" si="14"/>
        <v>5.9999999999999787</v>
      </c>
      <c r="V15" s="126">
        <f t="shared" si="13"/>
        <v>134</v>
      </c>
      <c r="W15" s="23"/>
      <c r="X15" s="23"/>
      <c r="Y15" s="26"/>
      <c r="Z15" s="26"/>
      <c r="AA15" s="627"/>
      <c r="AB15" s="628"/>
      <c r="AC15" s="25"/>
      <c r="AD15" s="25"/>
      <c r="AE15" s="19">
        <f t="shared" si="8"/>
        <v>-72.537313432835845</v>
      </c>
      <c r="AF15" s="125">
        <f t="shared" si="9"/>
        <v>0.95164179104477609</v>
      </c>
      <c r="AG15" s="637"/>
    </row>
    <row r="16" spans="1:33" ht="16.5" customHeight="1">
      <c r="A16" s="659" t="s">
        <v>306</v>
      </c>
      <c r="B16" s="42" t="s">
        <v>408</v>
      </c>
      <c r="C16" s="638"/>
      <c r="D16" s="638"/>
      <c r="E16" s="129"/>
      <c r="F16" s="39"/>
      <c r="G16" s="18"/>
      <c r="H16" s="128"/>
      <c r="I16" s="29">
        <v>17.666666666666668</v>
      </c>
      <c r="J16" s="39">
        <v>1500</v>
      </c>
      <c r="K16" s="17">
        <f t="shared" si="1"/>
        <v>84.905660377358487</v>
      </c>
      <c r="L16" s="29">
        <v>17.666666666666668</v>
      </c>
      <c r="M16" s="18">
        <f>AVERAGE(M10:M15)</f>
        <v>1429.8281239633045</v>
      </c>
      <c r="N16" s="17">
        <f t="shared" si="3"/>
        <v>80.93366739414931</v>
      </c>
      <c r="O16" s="19">
        <f t="shared" si="4"/>
        <v>0</v>
      </c>
      <c r="P16" s="20">
        <f t="shared" si="5"/>
        <v>-3.9719929832091765</v>
      </c>
      <c r="Q16" s="125">
        <f t="shared" si="6"/>
        <v>0.95321874930886974</v>
      </c>
      <c r="R16" s="637"/>
      <c r="S16" s="40"/>
      <c r="T16" s="40"/>
      <c r="U16" s="17"/>
      <c r="V16" s="126"/>
      <c r="W16" s="17"/>
      <c r="X16" s="17"/>
      <c r="Y16" s="30">
        <f>SUM(Y10:Y15)</f>
        <v>0</v>
      </c>
      <c r="Z16" s="30">
        <f>SUM(Z10:Z15)</f>
        <v>0</v>
      </c>
      <c r="AA16" s="631"/>
      <c r="AB16" s="631"/>
      <c r="AC16" s="30">
        <v>6</v>
      </c>
      <c r="AD16" s="30">
        <f>SUM(AD10:AD15)</f>
        <v>0</v>
      </c>
      <c r="AE16" s="19">
        <f t="shared" si="8"/>
        <v>-70.171876036695494</v>
      </c>
      <c r="AF16" s="125">
        <f t="shared" si="9"/>
        <v>0.95321874930886963</v>
      </c>
      <c r="AG16" s="637"/>
    </row>
    <row r="17" spans="1:33" ht="16.5" customHeight="1">
      <c r="A17" s="657" t="s">
        <v>409</v>
      </c>
      <c r="B17" s="128" t="s">
        <v>101</v>
      </c>
      <c r="C17" s="653" t="s">
        <v>102</v>
      </c>
      <c r="D17" s="653"/>
      <c r="E17" s="42">
        <v>31.11</v>
      </c>
      <c r="F17" s="128">
        <v>4050</v>
      </c>
      <c r="G17" s="124">
        <f t="shared" ref="G17:G23" si="15">E17*F17</f>
        <v>125995.5</v>
      </c>
      <c r="H17" s="37" t="s">
        <v>91</v>
      </c>
      <c r="I17" s="123">
        <v>14</v>
      </c>
      <c r="J17" s="39">
        <v>2000</v>
      </c>
      <c r="K17" s="17">
        <f t="shared" si="1"/>
        <v>142.85714285714286</v>
      </c>
      <c r="L17" s="123">
        <v>14</v>
      </c>
      <c r="M17" s="18">
        <f t="shared" ref="M17:M23" si="16">F17/V17*60</f>
        <v>1913.3858267716535</v>
      </c>
      <c r="N17" s="17">
        <f t="shared" si="3"/>
        <v>136.67041619797524</v>
      </c>
      <c r="O17" s="19">
        <f t="shared" si="4"/>
        <v>0</v>
      </c>
      <c r="P17" s="20">
        <f t="shared" si="5"/>
        <v>-6.1867266591676184</v>
      </c>
      <c r="Q17" s="125">
        <f t="shared" si="6"/>
        <v>0.95669291338582663</v>
      </c>
      <c r="R17" s="637">
        <f>Q24</f>
        <v>0.95538202044084142</v>
      </c>
      <c r="S17" s="40">
        <v>8.3333333333333329E-2</v>
      </c>
      <c r="T17" s="40">
        <v>0.17152777777777778</v>
      </c>
      <c r="U17" s="124"/>
      <c r="V17" s="126">
        <f t="shared" ref="V17:V23" si="17">(T17-S17)*24*60</f>
        <v>127</v>
      </c>
      <c r="W17" s="23">
        <f>T17</f>
        <v>0.17152777777777778</v>
      </c>
      <c r="X17" s="23">
        <f>S18</f>
        <v>0.19236111111111112</v>
      </c>
      <c r="Y17" s="28"/>
      <c r="Z17" s="28"/>
      <c r="AA17" s="632"/>
      <c r="AB17" s="632"/>
      <c r="AC17" s="25">
        <v>7</v>
      </c>
      <c r="AD17" s="25"/>
      <c r="AE17" s="19">
        <f t="shared" si="8"/>
        <v>-86.614173228346544</v>
      </c>
      <c r="AF17" s="125">
        <f t="shared" si="9"/>
        <v>0.95669291338582674</v>
      </c>
      <c r="AG17" s="637">
        <f>AF24</f>
        <v>0.95538202044084142</v>
      </c>
    </row>
    <row r="18" spans="1:33" ht="16.5" customHeight="1">
      <c r="A18" s="658" t="s">
        <v>410</v>
      </c>
      <c r="B18" s="128" t="s">
        <v>103</v>
      </c>
      <c r="C18" s="653" t="s">
        <v>104</v>
      </c>
      <c r="D18" s="653"/>
      <c r="E18" s="42">
        <v>38.619999999999997</v>
      </c>
      <c r="F18" s="128">
        <v>2608</v>
      </c>
      <c r="G18" s="124">
        <f t="shared" si="15"/>
        <v>100720.95999999999</v>
      </c>
      <c r="H18" s="37" t="s">
        <v>91</v>
      </c>
      <c r="I18" s="123">
        <v>24</v>
      </c>
      <c r="J18" s="39">
        <v>1500</v>
      </c>
      <c r="K18" s="17">
        <f t="shared" si="1"/>
        <v>62.5</v>
      </c>
      <c r="L18" s="123">
        <v>24</v>
      </c>
      <c r="M18" s="18">
        <f t="shared" si="16"/>
        <v>1435.5963302752298</v>
      </c>
      <c r="N18" s="17">
        <f t="shared" si="3"/>
        <v>59.81651376146791</v>
      </c>
      <c r="O18" s="19">
        <f t="shared" si="4"/>
        <v>0</v>
      </c>
      <c r="P18" s="20">
        <f t="shared" si="5"/>
        <v>-2.6834862385320903</v>
      </c>
      <c r="Q18" s="125">
        <f t="shared" si="6"/>
        <v>0.95706422018348658</v>
      </c>
      <c r="R18" s="637"/>
      <c r="S18" s="40">
        <v>0.19236111111111112</v>
      </c>
      <c r="T18" s="40">
        <v>0.26805555555555555</v>
      </c>
      <c r="U18" s="124">
        <f t="shared" ref="U18:U23" si="18">IF(S18=TIME(17,0,0),"",(S18-T17)*24*60)</f>
        <v>30.000000000000014</v>
      </c>
      <c r="V18" s="126">
        <f t="shared" si="17"/>
        <v>108.99999999999997</v>
      </c>
      <c r="W18" s="23"/>
      <c r="X18" s="23"/>
      <c r="Y18" s="23"/>
      <c r="Z18" s="23"/>
      <c r="AA18" s="632"/>
      <c r="AB18" s="632"/>
      <c r="AC18" s="25"/>
      <c r="AD18" s="25"/>
      <c r="AE18" s="19">
        <f t="shared" si="8"/>
        <v>-64.403669724770225</v>
      </c>
      <c r="AF18" s="125">
        <f t="shared" si="9"/>
        <v>0.95706422018348647</v>
      </c>
      <c r="AG18" s="637"/>
    </row>
    <row r="19" spans="1:33" ht="16.5" customHeight="1">
      <c r="A19" s="658" t="s">
        <v>410</v>
      </c>
      <c r="B19" s="128" t="s">
        <v>103</v>
      </c>
      <c r="C19" s="653" t="s">
        <v>105</v>
      </c>
      <c r="D19" s="653"/>
      <c r="E19" s="42">
        <v>41</v>
      </c>
      <c r="F19" s="128">
        <v>2182</v>
      </c>
      <c r="G19" s="124">
        <f t="shared" si="15"/>
        <v>89462</v>
      </c>
      <c r="H19" s="37" t="s">
        <v>91</v>
      </c>
      <c r="I19" s="123">
        <v>26</v>
      </c>
      <c r="J19" s="39">
        <v>1500</v>
      </c>
      <c r="K19" s="17">
        <f t="shared" si="1"/>
        <v>57.692307692307693</v>
      </c>
      <c r="L19" s="123">
        <v>26</v>
      </c>
      <c r="M19" s="18">
        <f t="shared" si="16"/>
        <v>1438.6813186813188</v>
      </c>
      <c r="N19" s="17">
        <f t="shared" si="3"/>
        <v>55.333896872358416</v>
      </c>
      <c r="O19" s="19">
        <f t="shared" si="4"/>
        <v>0</v>
      </c>
      <c r="P19" s="20">
        <f t="shared" si="5"/>
        <v>-2.3584108199492775</v>
      </c>
      <c r="Q19" s="125">
        <f t="shared" si="6"/>
        <v>0.95912087912087918</v>
      </c>
      <c r="R19" s="637"/>
      <c r="S19" s="40">
        <v>0.27152777777777776</v>
      </c>
      <c r="T19" s="40">
        <v>0.3347222222222222</v>
      </c>
      <c r="U19" s="124">
        <f t="shared" si="18"/>
        <v>4.9999999999999822</v>
      </c>
      <c r="V19" s="126">
        <f t="shared" si="17"/>
        <v>91</v>
      </c>
      <c r="W19" s="23"/>
      <c r="X19" s="23"/>
      <c r="Y19" s="23"/>
      <c r="Z19" s="23"/>
      <c r="AA19" s="632"/>
      <c r="AB19" s="632"/>
      <c r="AC19" s="25"/>
      <c r="AD19" s="25"/>
      <c r="AE19" s="19">
        <f t="shared" si="8"/>
        <v>-61.318681318681229</v>
      </c>
      <c r="AF19" s="125">
        <f t="shared" si="9"/>
        <v>0.95912087912087918</v>
      </c>
      <c r="AG19" s="637"/>
    </row>
    <row r="20" spans="1:33" ht="16.5" customHeight="1">
      <c r="A20" s="658" t="s">
        <v>410</v>
      </c>
      <c r="B20" s="128" t="s">
        <v>92</v>
      </c>
      <c r="C20" s="653" t="s">
        <v>106</v>
      </c>
      <c r="D20" s="653"/>
      <c r="E20" s="42">
        <v>37.03</v>
      </c>
      <c r="F20" s="128">
        <v>3546</v>
      </c>
      <c r="G20" s="124">
        <f t="shared" si="15"/>
        <v>131308.38</v>
      </c>
      <c r="H20" s="37" t="s">
        <v>91</v>
      </c>
      <c r="I20" s="123">
        <v>13</v>
      </c>
      <c r="J20" s="39">
        <v>1500</v>
      </c>
      <c r="K20" s="17">
        <f t="shared" si="1"/>
        <v>115.38461538461539</v>
      </c>
      <c r="L20" s="123">
        <v>13</v>
      </c>
      <c r="M20" s="18">
        <f t="shared" si="16"/>
        <v>1427.919463087248</v>
      </c>
      <c r="N20" s="17">
        <f t="shared" si="3"/>
        <v>109.83995869901908</v>
      </c>
      <c r="O20" s="19">
        <f t="shared" si="4"/>
        <v>0</v>
      </c>
      <c r="P20" s="20">
        <f t="shared" si="5"/>
        <v>-5.5446566855963084</v>
      </c>
      <c r="Q20" s="125">
        <f t="shared" si="6"/>
        <v>0.95194630872483199</v>
      </c>
      <c r="R20" s="637"/>
      <c r="S20" s="40">
        <v>0.33888888888888885</v>
      </c>
      <c r="T20" s="40">
        <v>0.44236111111111109</v>
      </c>
      <c r="U20" s="124">
        <f t="shared" si="18"/>
        <v>5.9999999999999787</v>
      </c>
      <c r="V20" s="126">
        <f t="shared" si="17"/>
        <v>149.00000000000003</v>
      </c>
      <c r="W20" s="23"/>
      <c r="X20" s="23"/>
      <c r="Y20" s="23"/>
      <c r="Z20" s="23"/>
      <c r="AA20" s="632"/>
      <c r="AB20" s="632"/>
      <c r="AC20" s="25"/>
      <c r="AD20" s="25"/>
      <c r="AE20" s="19">
        <f t="shared" si="8"/>
        <v>-72.080536912751995</v>
      </c>
      <c r="AF20" s="125">
        <f t="shared" si="9"/>
        <v>0.95194630872483199</v>
      </c>
      <c r="AG20" s="637"/>
    </row>
    <row r="21" spans="1:33" ht="16.5" customHeight="1">
      <c r="A21" s="658" t="s">
        <v>410</v>
      </c>
      <c r="B21" s="128" t="s">
        <v>92</v>
      </c>
      <c r="C21" s="653" t="s">
        <v>108</v>
      </c>
      <c r="D21" s="653"/>
      <c r="E21" s="42">
        <v>54.5</v>
      </c>
      <c r="F21" s="128">
        <v>1928</v>
      </c>
      <c r="G21" s="124">
        <f t="shared" si="15"/>
        <v>105076</v>
      </c>
      <c r="H21" s="37" t="s">
        <v>91</v>
      </c>
      <c r="I21" s="123">
        <v>20</v>
      </c>
      <c r="J21" s="39">
        <v>1500</v>
      </c>
      <c r="K21" s="17">
        <f t="shared" si="1"/>
        <v>75</v>
      </c>
      <c r="L21" s="123">
        <v>20</v>
      </c>
      <c r="M21" s="18">
        <f t="shared" si="16"/>
        <v>1428.1481481481476</v>
      </c>
      <c r="N21" s="17">
        <f t="shared" si="3"/>
        <v>71.407407407407376</v>
      </c>
      <c r="O21" s="19">
        <f t="shared" si="4"/>
        <v>0</v>
      </c>
      <c r="P21" s="20">
        <f t="shared" si="5"/>
        <v>-3.5925925925926236</v>
      </c>
      <c r="Q21" s="125">
        <f t="shared" si="6"/>
        <v>0.95209876543209837</v>
      </c>
      <c r="R21" s="637"/>
      <c r="S21" s="40">
        <v>0.70833333333333337</v>
      </c>
      <c r="T21" s="40">
        <v>0.76458333333333339</v>
      </c>
      <c r="U21" s="124" t="str">
        <f t="shared" si="18"/>
        <v/>
      </c>
      <c r="V21" s="126">
        <f t="shared" si="17"/>
        <v>81.000000000000028</v>
      </c>
      <c r="W21" s="23"/>
      <c r="X21" s="23"/>
      <c r="Y21" s="23"/>
      <c r="Z21" s="23"/>
      <c r="AA21" s="632"/>
      <c r="AB21" s="632"/>
      <c r="AC21" s="25"/>
      <c r="AD21" s="25"/>
      <c r="AE21" s="19">
        <f t="shared" si="8"/>
        <v>-71.851851851852416</v>
      </c>
      <c r="AF21" s="125">
        <f t="shared" si="9"/>
        <v>0.95209876543209837</v>
      </c>
      <c r="AG21" s="637"/>
    </row>
    <row r="22" spans="1:33" ht="16.5" customHeight="1">
      <c r="A22" s="658" t="s">
        <v>410</v>
      </c>
      <c r="B22" s="128" t="s">
        <v>92</v>
      </c>
      <c r="C22" s="137" t="s">
        <v>107</v>
      </c>
      <c r="D22" s="138"/>
      <c r="E22" s="42">
        <v>50.67</v>
      </c>
      <c r="F22" s="128">
        <v>1686</v>
      </c>
      <c r="G22" s="124">
        <f t="shared" si="15"/>
        <v>85429.62000000001</v>
      </c>
      <c r="H22" s="37" t="s">
        <v>91</v>
      </c>
      <c r="I22" s="123">
        <v>17</v>
      </c>
      <c r="J22" s="39">
        <v>2000</v>
      </c>
      <c r="K22" s="17">
        <f t="shared" si="1"/>
        <v>117.64705882352941</v>
      </c>
      <c r="L22" s="123">
        <v>17</v>
      </c>
      <c r="M22" s="18">
        <f t="shared" si="16"/>
        <v>1908.67924528302</v>
      </c>
      <c r="N22" s="17">
        <f t="shared" si="3"/>
        <v>112.27524972253059</v>
      </c>
      <c r="O22" s="19">
        <f t="shared" si="4"/>
        <v>0</v>
      </c>
      <c r="P22" s="20">
        <f t="shared" si="5"/>
        <v>-5.3718091009988171</v>
      </c>
      <c r="Q22" s="125">
        <f t="shared" si="6"/>
        <v>0.95433962264151007</v>
      </c>
      <c r="R22" s="637"/>
      <c r="S22" s="40">
        <v>0.76875000000000004</v>
      </c>
      <c r="T22" s="40">
        <v>0.80555555555555558</v>
      </c>
      <c r="U22" s="124">
        <f t="shared" si="18"/>
        <v>5.9999999999999787</v>
      </c>
      <c r="V22" s="126">
        <f t="shared" si="17"/>
        <v>52.999999999999972</v>
      </c>
      <c r="W22" s="23"/>
      <c r="X22" s="23"/>
      <c r="Y22" s="26"/>
      <c r="Z22" s="26"/>
      <c r="AA22" s="130"/>
      <c r="AB22" s="131"/>
      <c r="AC22" s="25"/>
      <c r="AD22" s="25"/>
      <c r="AE22" s="19">
        <f t="shared" si="8"/>
        <v>-91.320754716979991</v>
      </c>
      <c r="AF22" s="125">
        <f t="shared" si="9"/>
        <v>0.95433962264150995</v>
      </c>
      <c r="AG22" s="637"/>
    </row>
    <row r="23" spans="1:33" ht="16.5" customHeight="1">
      <c r="A23" s="658" t="s">
        <v>410</v>
      </c>
      <c r="B23" s="128" t="s">
        <v>92</v>
      </c>
      <c r="C23" s="137" t="s">
        <v>95</v>
      </c>
      <c r="D23" s="138"/>
      <c r="E23" s="42">
        <v>50.67</v>
      </c>
      <c r="F23" s="128">
        <v>1466</v>
      </c>
      <c r="G23" s="124">
        <f t="shared" si="15"/>
        <v>74282.22</v>
      </c>
      <c r="H23" s="37" t="s">
        <v>91</v>
      </c>
      <c r="I23" s="123">
        <v>15</v>
      </c>
      <c r="J23" s="39">
        <v>2000</v>
      </c>
      <c r="K23" s="17">
        <f t="shared" si="1"/>
        <v>133.33333333333334</v>
      </c>
      <c r="L23" s="123">
        <v>15</v>
      </c>
      <c r="M23" s="18">
        <f t="shared" si="16"/>
        <v>1912.1739130434783</v>
      </c>
      <c r="N23" s="17">
        <f t="shared" si="3"/>
        <v>127.47826086956522</v>
      </c>
      <c r="O23" s="19">
        <f t="shared" si="4"/>
        <v>0</v>
      </c>
      <c r="P23" s="20">
        <f t="shared" si="5"/>
        <v>-5.8550724637681242</v>
      </c>
      <c r="Q23" s="125">
        <f t="shared" si="6"/>
        <v>0.95608695652173903</v>
      </c>
      <c r="R23" s="637"/>
      <c r="S23" s="40">
        <v>0.80902777777777779</v>
      </c>
      <c r="T23" s="40">
        <v>0.84097222222222223</v>
      </c>
      <c r="U23" s="124">
        <f t="shared" si="18"/>
        <v>4.9999999999999822</v>
      </c>
      <c r="V23" s="126">
        <f t="shared" si="17"/>
        <v>46</v>
      </c>
      <c r="W23" s="23"/>
      <c r="X23" s="23"/>
      <c r="Y23" s="26"/>
      <c r="Z23" s="26"/>
      <c r="AA23" s="130"/>
      <c r="AB23" s="131"/>
      <c r="AC23" s="25"/>
      <c r="AD23" s="25"/>
      <c r="AE23" s="19">
        <f t="shared" si="8"/>
        <v>-87.826086956521749</v>
      </c>
      <c r="AF23" s="125">
        <f t="shared" si="9"/>
        <v>0.95608695652173914</v>
      </c>
      <c r="AG23" s="637"/>
    </row>
    <row r="24" spans="1:33" ht="16.5" customHeight="1">
      <c r="A24" s="658" t="s">
        <v>410</v>
      </c>
      <c r="B24" s="42" t="s">
        <v>411</v>
      </c>
      <c r="C24" s="638"/>
      <c r="D24" s="638"/>
      <c r="E24" s="129"/>
      <c r="F24" s="44"/>
      <c r="G24" s="17"/>
      <c r="H24" s="128"/>
      <c r="I24" s="29">
        <v>18.428571428571427</v>
      </c>
      <c r="J24" s="39">
        <v>1714.2857142857142</v>
      </c>
      <c r="K24" s="17">
        <f t="shared" si="1"/>
        <v>93.023255813953497</v>
      </c>
      <c r="L24" s="29">
        <v>18.428571428571427</v>
      </c>
      <c r="M24" s="18">
        <f>AVERAGE(M17:M23)</f>
        <v>1637.7977493271567</v>
      </c>
      <c r="N24" s="17">
        <f t="shared" si="3"/>
        <v>88.872746087520142</v>
      </c>
      <c r="O24" s="19">
        <f t="shared" si="4"/>
        <v>0</v>
      </c>
      <c r="P24" s="20">
        <f t="shared" si="5"/>
        <v>-4.1505097264333557</v>
      </c>
      <c r="Q24" s="125">
        <f t="shared" si="6"/>
        <v>0.95538202044084142</v>
      </c>
      <c r="R24" s="637"/>
      <c r="S24" s="40"/>
      <c r="T24" s="40"/>
      <c r="U24" s="124"/>
      <c r="V24" s="126"/>
      <c r="W24" s="17"/>
      <c r="X24" s="17"/>
      <c r="Y24" s="30">
        <f>SUM(Y17:Y23)</f>
        <v>0</v>
      </c>
      <c r="Z24" s="30">
        <f>SUM(Z17:Z23)</f>
        <v>0</v>
      </c>
      <c r="AA24" s="631"/>
      <c r="AB24" s="631"/>
      <c r="AC24" s="30">
        <v>7</v>
      </c>
      <c r="AD24" s="30">
        <f>SUM(AD17:AD23)</f>
        <v>0</v>
      </c>
      <c r="AE24" s="19">
        <f t="shared" si="8"/>
        <v>-76.487964958557541</v>
      </c>
      <c r="AF24" s="125">
        <f t="shared" si="9"/>
        <v>0.95538202044084142</v>
      </c>
      <c r="AG24" s="637"/>
    </row>
    <row r="25" spans="1:33" ht="15.75" customHeight="1">
      <c r="A25" s="655" t="s">
        <v>412</v>
      </c>
      <c r="B25" s="42" t="s">
        <v>92</v>
      </c>
      <c r="C25" s="653" t="s">
        <v>110</v>
      </c>
      <c r="D25" s="653"/>
      <c r="E25" s="42">
        <v>50.67</v>
      </c>
      <c r="F25" s="128">
        <v>2026</v>
      </c>
      <c r="G25" s="124">
        <f t="shared" ref="G25:G33" si="19">E25*F25</f>
        <v>102657.42</v>
      </c>
      <c r="H25" s="37" t="s">
        <v>91</v>
      </c>
      <c r="I25" s="123">
        <v>17</v>
      </c>
      <c r="J25" s="39">
        <v>2000</v>
      </c>
      <c r="K25" s="17">
        <f t="shared" si="1"/>
        <v>117.64705882352941</v>
      </c>
      <c r="L25" s="123">
        <v>17</v>
      </c>
      <c r="M25" s="18">
        <f t="shared" ref="M25:M33" si="20">F25/V25*60</f>
        <v>1929.5238095238103</v>
      </c>
      <c r="N25" s="17">
        <f t="shared" si="3"/>
        <v>113.50140056022414</v>
      </c>
      <c r="O25" s="19">
        <f t="shared" si="4"/>
        <v>0</v>
      </c>
      <c r="P25" s="20">
        <f t="shared" si="5"/>
        <v>-4.1456582633052648</v>
      </c>
      <c r="Q25" s="125">
        <f t="shared" si="6"/>
        <v>0.96476190476190526</v>
      </c>
      <c r="R25" s="637">
        <f>Q34</f>
        <v>0.96292396325552454</v>
      </c>
      <c r="S25" s="40">
        <v>0.20833333333333334</v>
      </c>
      <c r="T25" s="40">
        <v>0.25208333333333333</v>
      </c>
      <c r="U25" s="124"/>
      <c r="V25" s="126">
        <f t="shared" ref="V25:V33" si="21">(T25-S25)*24*60</f>
        <v>62.999999999999979</v>
      </c>
      <c r="W25" s="23"/>
      <c r="X25" s="23"/>
      <c r="Y25" s="28"/>
      <c r="Z25" s="28"/>
      <c r="AA25" s="632"/>
      <c r="AB25" s="632"/>
      <c r="AC25" s="25">
        <v>9</v>
      </c>
      <c r="AD25" s="25"/>
      <c r="AE25" s="19">
        <f t="shared" si="8"/>
        <v>-70.476190476189686</v>
      </c>
      <c r="AF25" s="125">
        <f t="shared" si="9"/>
        <v>0.96476190476190515</v>
      </c>
      <c r="AG25" s="637">
        <f>AF34</f>
        <v>0.96292396325552465</v>
      </c>
    </row>
    <row r="26" spans="1:33" ht="15.75" customHeight="1">
      <c r="A26" s="656" t="s">
        <v>412</v>
      </c>
      <c r="B26" s="42" t="s">
        <v>92</v>
      </c>
      <c r="C26" s="653" t="s">
        <v>111</v>
      </c>
      <c r="D26" s="653"/>
      <c r="E26" s="42">
        <v>57.73</v>
      </c>
      <c r="F26" s="128">
        <v>2709</v>
      </c>
      <c r="G26" s="124">
        <f t="shared" si="19"/>
        <v>156390.56999999998</v>
      </c>
      <c r="H26" s="37" t="s">
        <v>91</v>
      </c>
      <c r="I26" s="123">
        <v>14</v>
      </c>
      <c r="J26" s="39">
        <v>2000</v>
      </c>
      <c r="K26" s="17">
        <f t="shared" si="1"/>
        <v>142.85714285714286</v>
      </c>
      <c r="L26" s="123">
        <v>14</v>
      </c>
      <c r="M26" s="18">
        <f t="shared" si="20"/>
        <v>1912.2352941176466</v>
      </c>
      <c r="N26" s="17">
        <f t="shared" si="3"/>
        <v>136.58823529411762</v>
      </c>
      <c r="O26" s="19">
        <f t="shared" si="4"/>
        <v>0</v>
      </c>
      <c r="P26" s="20">
        <f t="shared" si="5"/>
        <v>-6.2689075630252376</v>
      </c>
      <c r="Q26" s="125">
        <f t="shared" si="6"/>
        <v>0.95611764705882329</v>
      </c>
      <c r="R26" s="637"/>
      <c r="S26" s="40">
        <v>0.25763888888888886</v>
      </c>
      <c r="T26" s="40">
        <v>0.31666666666666665</v>
      </c>
      <c r="U26" s="124">
        <f t="shared" ref="U26:U33" si="22">IF(S26=TIME(17,0,0),"",(S26-T25)*24*60)</f>
        <v>7.9999999999999716</v>
      </c>
      <c r="V26" s="126">
        <f t="shared" si="21"/>
        <v>85.000000000000014</v>
      </c>
      <c r="W26" s="23"/>
      <c r="X26" s="124"/>
      <c r="Y26" s="124"/>
      <c r="Z26" s="124"/>
      <c r="AA26" s="632"/>
      <c r="AB26" s="632"/>
      <c r="AC26" s="25"/>
      <c r="AD26" s="25"/>
      <c r="AE26" s="19">
        <f t="shared" si="8"/>
        <v>-87.764705882353383</v>
      </c>
      <c r="AF26" s="125">
        <f t="shared" si="9"/>
        <v>0.95611764705882329</v>
      </c>
      <c r="AG26" s="637"/>
    </row>
    <row r="27" spans="1:33" ht="15.75" customHeight="1">
      <c r="A27" s="656" t="s">
        <v>412</v>
      </c>
      <c r="B27" s="42" t="s">
        <v>92</v>
      </c>
      <c r="C27" s="653" t="s">
        <v>112</v>
      </c>
      <c r="D27" s="653"/>
      <c r="E27" s="42">
        <v>53.27</v>
      </c>
      <c r="F27" s="128">
        <v>1774</v>
      </c>
      <c r="G27" s="124">
        <f t="shared" si="19"/>
        <v>94500.98000000001</v>
      </c>
      <c r="H27" s="37" t="s">
        <v>91</v>
      </c>
      <c r="I27" s="123">
        <v>16</v>
      </c>
      <c r="J27" s="39">
        <v>2000</v>
      </c>
      <c r="K27" s="17">
        <f t="shared" si="1"/>
        <v>125</v>
      </c>
      <c r="L27" s="123">
        <v>16</v>
      </c>
      <c r="M27" s="18">
        <f t="shared" si="20"/>
        <v>1935.2727272727288</v>
      </c>
      <c r="N27" s="17">
        <f t="shared" si="3"/>
        <v>120.95454545454555</v>
      </c>
      <c r="O27" s="19">
        <f t="shared" si="4"/>
        <v>0</v>
      </c>
      <c r="P27" s="20">
        <f t="shared" si="5"/>
        <v>-4.0454545454544473</v>
      </c>
      <c r="Q27" s="125">
        <f t="shared" si="6"/>
        <v>0.9676363636363644</v>
      </c>
      <c r="R27" s="637"/>
      <c r="S27" s="40">
        <v>0.3208333333333333</v>
      </c>
      <c r="T27" s="40">
        <v>0.35902777777777772</v>
      </c>
      <c r="U27" s="124">
        <f t="shared" si="22"/>
        <v>5.9999999999999787</v>
      </c>
      <c r="V27" s="126">
        <f t="shared" si="21"/>
        <v>54.999999999999964</v>
      </c>
      <c r="W27" s="23"/>
      <c r="X27" s="124"/>
      <c r="Y27" s="124"/>
      <c r="Z27" s="124"/>
      <c r="AA27" s="632"/>
      <c r="AB27" s="632"/>
      <c r="AC27" s="25"/>
      <c r="AD27" s="25"/>
      <c r="AE27" s="19">
        <f t="shared" si="8"/>
        <v>-64.727272727271156</v>
      </c>
      <c r="AF27" s="125">
        <f t="shared" si="9"/>
        <v>0.9676363636363644</v>
      </c>
      <c r="AG27" s="637"/>
    </row>
    <row r="28" spans="1:33" ht="15.75" customHeight="1">
      <c r="A28" s="656" t="s">
        <v>412</v>
      </c>
      <c r="B28" s="42" t="s">
        <v>92</v>
      </c>
      <c r="C28" s="653" t="s">
        <v>113</v>
      </c>
      <c r="D28" s="653"/>
      <c r="E28" s="42">
        <v>56.43</v>
      </c>
      <c r="F28" s="128">
        <v>1484</v>
      </c>
      <c r="G28" s="124">
        <f t="shared" si="19"/>
        <v>83742.12</v>
      </c>
      <c r="H28" s="37" t="s">
        <v>91</v>
      </c>
      <c r="I28" s="123">
        <v>13</v>
      </c>
      <c r="J28" s="39">
        <v>2000</v>
      </c>
      <c r="K28" s="17">
        <f t="shared" si="1"/>
        <v>153.84615384615384</v>
      </c>
      <c r="L28" s="123">
        <v>13</v>
      </c>
      <c r="M28" s="18">
        <f t="shared" si="20"/>
        <v>1935.6521739130435</v>
      </c>
      <c r="N28" s="17">
        <f t="shared" si="3"/>
        <v>148.89632107023411</v>
      </c>
      <c r="O28" s="19">
        <f t="shared" si="4"/>
        <v>0</v>
      </c>
      <c r="P28" s="20">
        <f t="shared" si="5"/>
        <v>-4.9498327759197309</v>
      </c>
      <c r="Q28" s="125">
        <f t="shared" si="6"/>
        <v>0.96782608695652173</v>
      </c>
      <c r="R28" s="637"/>
      <c r="S28" s="40">
        <v>0.70833333333333337</v>
      </c>
      <c r="T28" s="40">
        <v>0.74027777777777781</v>
      </c>
      <c r="U28" s="124" t="str">
        <f t="shared" si="22"/>
        <v/>
      </c>
      <c r="V28" s="126">
        <f t="shared" si="21"/>
        <v>46</v>
      </c>
      <c r="W28" s="23"/>
      <c r="X28" s="124"/>
      <c r="Y28" s="124"/>
      <c r="Z28" s="124"/>
      <c r="AA28" s="632"/>
      <c r="AB28" s="632"/>
      <c r="AC28" s="25"/>
      <c r="AD28" s="25"/>
      <c r="AE28" s="19">
        <f t="shared" si="8"/>
        <v>-64.347826086956502</v>
      </c>
      <c r="AF28" s="125">
        <f t="shared" si="9"/>
        <v>0.96782608695652173</v>
      </c>
      <c r="AG28" s="637"/>
    </row>
    <row r="29" spans="1:33" ht="15.75" customHeight="1">
      <c r="A29" s="656" t="s">
        <v>412</v>
      </c>
      <c r="B29" s="42" t="s">
        <v>92</v>
      </c>
      <c r="C29" s="653" t="s">
        <v>114</v>
      </c>
      <c r="D29" s="653"/>
      <c r="E29" s="42">
        <v>54.09</v>
      </c>
      <c r="F29" s="128">
        <v>1000</v>
      </c>
      <c r="G29" s="124">
        <f t="shared" si="19"/>
        <v>54090</v>
      </c>
      <c r="H29" s="37">
        <v>2</v>
      </c>
      <c r="I29" s="123">
        <v>18</v>
      </c>
      <c r="J29" s="39">
        <v>2000</v>
      </c>
      <c r="K29" s="17">
        <f t="shared" si="1"/>
        <v>111.11111111111111</v>
      </c>
      <c r="L29" s="123">
        <v>18</v>
      </c>
      <c r="M29" s="18">
        <f t="shared" si="20"/>
        <v>1935.483870967739</v>
      </c>
      <c r="N29" s="17">
        <f t="shared" si="3"/>
        <v>107.52688172042994</v>
      </c>
      <c r="O29" s="19">
        <f t="shared" si="4"/>
        <v>0</v>
      </c>
      <c r="P29" s="20">
        <f t="shared" si="5"/>
        <v>-3.5842293906811733</v>
      </c>
      <c r="Q29" s="125">
        <f t="shared" si="6"/>
        <v>0.96774193548386944</v>
      </c>
      <c r="R29" s="637"/>
      <c r="S29" s="40">
        <v>0.74375000000000002</v>
      </c>
      <c r="T29" s="40">
        <v>0.76527777777777783</v>
      </c>
      <c r="U29" s="124">
        <f t="shared" si="22"/>
        <v>4.9999999999999822</v>
      </c>
      <c r="V29" s="126">
        <f t="shared" si="21"/>
        <v>31.00000000000005</v>
      </c>
      <c r="W29" s="23"/>
      <c r="X29" s="23"/>
      <c r="Y29" s="124"/>
      <c r="Z29" s="124"/>
      <c r="AA29" s="632"/>
      <c r="AB29" s="632"/>
      <c r="AC29" s="25"/>
      <c r="AD29" s="25"/>
      <c r="AE29" s="19">
        <f t="shared" si="8"/>
        <v>-64.516129032261006</v>
      </c>
      <c r="AF29" s="125">
        <f t="shared" si="9"/>
        <v>0.96774193548386944</v>
      </c>
      <c r="AG29" s="637"/>
    </row>
    <row r="30" spans="1:33" ht="15.75" customHeight="1">
      <c r="A30" s="656" t="s">
        <v>412</v>
      </c>
      <c r="B30" s="42" t="s">
        <v>92</v>
      </c>
      <c r="C30" s="653" t="s">
        <v>115</v>
      </c>
      <c r="D30" s="653"/>
      <c r="E30" s="42">
        <v>57.3</v>
      </c>
      <c r="F30" s="128">
        <v>2144</v>
      </c>
      <c r="G30" s="124">
        <f t="shared" si="19"/>
        <v>122851.2</v>
      </c>
      <c r="H30" s="37" t="s">
        <v>91</v>
      </c>
      <c r="I30" s="123">
        <v>16</v>
      </c>
      <c r="J30" s="39">
        <v>2000</v>
      </c>
      <c r="K30" s="17">
        <f t="shared" si="1"/>
        <v>125</v>
      </c>
      <c r="L30" s="123">
        <v>16</v>
      </c>
      <c r="M30" s="18">
        <f t="shared" si="20"/>
        <v>1920.0000000000025</v>
      </c>
      <c r="N30" s="17">
        <f t="shared" si="3"/>
        <v>120.00000000000016</v>
      </c>
      <c r="O30" s="19">
        <f t="shared" si="4"/>
        <v>0</v>
      </c>
      <c r="P30" s="20">
        <f t="shared" si="5"/>
        <v>-4.9999999999998437</v>
      </c>
      <c r="Q30" s="125">
        <f t="shared" si="6"/>
        <v>0.9600000000000013</v>
      </c>
      <c r="R30" s="637"/>
      <c r="S30" s="40">
        <v>0.76875000000000004</v>
      </c>
      <c r="T30" s="40">
        <v>0.81527777777777777</v>
      </c>
      <c r="U30" s="124">
        <f t="shared" si="22"/>
        <v>4.9999999999999822</v>
      </c>
      <c r="V30" s="126">
        <f t="shared" si="21"/>
        <v>66.999999999999915</v>
      </c>
      <c r="W30" s="23"/>
      <c r="X30" s="28"/>
      <c r="Y30" s="28"/>
      <c r="Z30" s="28"/>
      <c r="AA30" s="632"/>
      <c r="AB30" s="632"/>
      <c r="AC30" s="25"/>
      <c r="AD30" s="25"/>
      <c r="AE30" s="19">
        <f t="shared" si="8"/>
        <v>-79.999999999997499</v>
      </c>
      <c r="AF30" s="125">
        <f t="shared" si="9"/>
        <v>0.9600000000000013</v>
      </c>
      <c r="AG30" s="637"/>
    </row>
    <row r="31" spans="1:33" ht="15.75" customHeight="1">
      <c r="A31" s="656" t="s">
        <v>412</v>
      </c>
      <c r="B31" s="42" t="s">
        <v>92</v>
      </c>
      <c r="C31" s="679" t="s">
        <v>140</v>
      </c>
      <c r="D31" s="680"/>
      <c r="E31" s="42">
        <v>51.06</v>
      </c>
      <c r="F31" s="128">
        <v>1000</v>
      </c>
      <c r="G31" s="124">
        <f t="shared" si="19"/>
        <v>51060</v>
      </c>
      <c r="H31" s="37">
        <v>2</v>
      </c>
      <c r="I31" s="123">
        <v>13</v>
      </c>
      <c r="J31" s="39">
        <v>2000</v>
      </c>
      <c r="K31" s="17">
        <f t="shared" si="1"/>
        <v>153.84615384615384</v>
      </c>
      <c r="L31" s="123">
        <v>13</v>
      </c>
      <c r="M31" s="18">
        <f t="shared" si="20"/>
        <v>1935.483870967739</v>
      </c>
      <c r="N31" s="17">
        <f t="shared" si="3"/>
        <v>148.88337468982607</v>
      </c>
      <c r="O31" s="19">
        <f t="shared" si="4"/>
        <v>0</v>
      </c>
      <c r="P31" s="20">
        <f t="shared" si="5"/>
        <v>-4.9627791563277697</v>
      </c>
      <c r="Q31" s="125">
        <f t="shared" si="6"/>
        <v>0.96774193548386944</v>
      </c>
      <c r="R31" s="637"/>
      <c r="S31" s="40">
        <v>0.81874999999999998</v>
      </c>
      <c r="T31" s="40">
        <v>0.84027777777777779</v>
      </c>
      <c r="U31" s="124">
        <f t="shared" si="22"/>
        <v>4.9999999999999822</v>
      </c>
      <c r="V31" s="126">
        <f t="shared" si="21"/>
        <v>31.00000000000005</v>
      </c>
      <c r="W31" s="23">
        <f>T31</f>
        <v>0.84027777777777779</v>
      </c>
      <c r="X31" s="23">
        <f>S32</f>
        <v>0.87847222222222221</v>
      </c>
      <c r="Y31" s="136"/>
      <c r="Z31" s="136"/>
      <c r="AA31" s="627"/>
      <c r="AB31" s="628"/>
      <c r="AC31" s="25"/>
      <c r="AD31" s="25"/>
      <c r="AE31" s="19">
        <f t="shared" si="8"/>
        <v>-64.516129032261006</v>
      </c>
      <c r="AF31" s="125">
        <f t="shared" si="9"/>
        <v>0.96774193548386944</v>
      </c>
      <c r="AG31" s="637"/>
    </row>
    <row r="32" spans="1:33" ht="15.75" customHeight="1">
      <c r="A32" s="656" t="s">
        <v>412</v>
      </c>
      <c r="B32" s="42" t="s">
        <v>92</v>
      </c>
      <c r="C32" s="137" t="s">
        <v>140</v>
      </c>
      <c r="D32" s="138"/>
      <c r="E32" s="42">
        <v>51.06</v>
      </c>
      <c r="F32" s="128">
        <v>2432</v>
      </c>
      <c r="G32" s="124">
        <f t="shared" si="19"/>
        <v>124177.92000000001</v>
      </c>
      <c r="H32" s="37" t="s">
        <v>91</v>
      </c>
      <c r="I32" s="123">
        <v>13</v>
      </c>
      <c r="J32" s="39">
        <v>2000</v>
      </c>
      <c r="K32" s="17">
        <f t="shared" si="1"/>
        <v>153.84615384615384</v>
      </c>
      <c r="L32" s="123">
        <v>13</v>
      </c>
      <c r="M32" s="18">
        <f t="shared" si="20"/>
        <v>1919.9999999999984</v>
      </c>
      <c r="N32" s="17">
        <f t="shared" si="3"/>
        <v>147.69230769230757</v>
      </c>
      <c r="O32" s="19">
        <f t="shared" si="4"/>
        <v>0</v>
      </c>
      <c r="P32" s="20">
        <f t="shared" si="5"/>
        <v>-6.1538461538462741</v>
      </c>
      <c r="Q32" s="125">
        <f t="shared" si="6"/>
        <v>0.95999999999999919</v>
      </c>
      <c r="R32" s="637"/>
      <c r="S32" s="40">
        <v>0.87847222222222221</v>
      </c>
      <c r="T32" s="40">
        <v>0.93125000000000002</v>
      </c>
      <c r="U32" s="124">
        <f t="shared" si="22"/>
        <v>54.999999999999964</v>
      </c>
      <c r="V32" s="126">
        <f t="shared" si="21"/>
        <v>76.000000000000057</v>
      </c>
      <c r="W32" s="23"/>
      <c r="X32" s="23"/>
      <c r="Y32" s="26"/>
      <c r="Z32" s="26"/>
      <c r="AA32" s="130"/>
      <c r="AB32" s="131"/>
      <c r="AC32" s="25"/>
      <c r="AD32" s="25"/>
      <c r="AE32" s="19">
        <f t="shared" si="8"/>
        <v>-80.000000000001592</v>
      </c>
      <c r="AF32" s="125">
        <f t="shared" si="9"/>
        <v>0.95999999999999919</v>
      </c>
      <c r="AG32" s="637"/>
    </row>
    <row r="33" spans="1:33" ht="15.75" customHeight="1">
      <c r="A33" s="656" t="s">
        <v>412</v>
      </c>
      <c r="B33" s="42" t="s">
        <v>92</v>
      </c>
      <c r="C33" s="679" t="s">
        <v>114</v>
      </c>
      <c r="D33" s="680"/>
      <c r="E33" s="42">
        <v>54.09</v>
      </c>
      <c r="F33" s="128">
        <v>1559</v>
      </c>
      <c r="G33" s="124">
        <f t="shared" si="19"/>
        <v>84326.310000000012</v>
      </c>
      <c r="H33" s="37" t="s">
        <v>91</v>
      </c>
      <c r="I33" s="123">
        <v>18</v>
      </c>
      <c r="J33" s="39">
        <v>2000</v>
      </c>
      <c r="K33" s="17">
        <f t="shared" si="1"/>
        <v>111.11111111111111</v>
      </c>
      <c r="L33" s="123">
        <v>18</v>
      </c>
      <c r="M33" s="18">
        <f t="shared" si="20"/>
        <v>1908.9795918367354</v>
      </c>
      <c r="N33" s="17">
        <f t="shared" si="3"/>
        <v>106.05442176870753</v>
      </c>
      <c r="O33" s="19">
        <f t="shared" si="4"/>
        <v>0</v>
      </c>
      <c r="P33" s="20">
        <f t="shared" si="5"/>
        <v>-5.0566893424035868</v>
      </c>
      <c r="Q33" s="125">
        <f t="shared" si="6"/>
        <v>0.95448979591836769</v>
      </c>
      <c r="R33" s="637"/>
      <c r="S33" s="40">
        <v>0.93541666666666667</v>
      </c>
      <c r="T33" s="40">
        <v>0.96944444444444444</v>
      </c>
      <c r="U33" s="124">
        <f t="shared" si="22"/>
        <v>5.9999999999999787</v>
      </c>
      <c r="V33" s="126">
        <f t="shared" si="21"/>
        <v>48.999999999999986</v>
      </c>
      <c r="W33" s="23"/>
      <c r="X33" s="23"/>
      <c r="Y33" s="26"/>
      <c r="Z33" s="26"/>
      <c r="AA33" s="130"/>
      <c r="AB33" s="131"/>
      <c r="AC33" s="25"/>
      <c r="AD33" s="25"/>
      <c r="AE33" s="19">
        <f t="shared" si="8"/>
        <v>-91.020408163264619</v>
      </c>
      <c r="AF33" s="125">
        <f t="shared" si="9"/>
        <v>0.95448979591836769</v>
      </c>
      <c r="AG33" s="637"/>
    </row>
    <row r="34" spans="1:33" ht="15.75" customHeight="1">
      <c r="A34" s="656" t="s">
        <v>412</v>
      </c>
      <c r="B34" s="42" t="s">
        <v>411</v>
      </c>
      <c r="C34" s="638"/>
      <c r="D34" s="638"/>
      <c r="E34" s="129"/>
      <c r="F34" s="128"/>
      <c r="G34" s="124"/>
      <c r="H34" s="128"/>
      <c r="I34" s="29">
        <v>15.333333333333334</v>
      </c>
      <c r="J34" s="39">
        <v>2000</v>
      </c>
      <c r="K34" s="17">
        <f t="shared" si="1"/>
        <v>130.43478260869566</v>
      </c>
      <c r="L34" s="29">
        <v>15.333333333333334</v>
      </c>
      <c r="M34" s="18">
        <f>AVERAGE(M25:M33)</f>
        <v>1925.8479265110493</v>
      </c>
      <c r="N34" s="17">
        <f t="shared" si="3"/>
        <v>125.59877781593799</v>
      </c>
      <c r="O34" s="19">
        <f t="shared" si="4"/>
        <v>0</v>
      </c>
      <c r="P34" s="20">
        <f t="shared" si="5"/>
        <v>-4.836004792757663</v>
      </c>
      <c r="Q34" s="125">
        <f t="shared" si="6"/>
        <v>0.96292396325552454</v>
      </c>
      <c r="R34" s="637"/>
      <c r="S34" s="40"/>
      <c r="T34" s="40"/>
      <c r="U34" s="17"/>
      <c r="V34" s="126"/>
      <c r="W34" s="17"/>
      <c r="X34" s="17"/>
      <c r="Y34" s="30">
        <f>SUM(Y25:Y33)</f>
        <v>0</v>
      </c>
      <c r="Z34" s="30">
        <f>SUM(Z25:Z33)</f>
        <v>0</v>
      </c>
      <c r="AA34" s="631"/>
      <c r="AB34" s="631"/>
      <c r="AC34" s="30">
        <v>9</v>
      </c>
      <c r="AD34" s="30">
        <f>SUM(AD25:AD33)</f>
        <v>0</v>
      </c>
      <c r="AE34" s="19">
        <f t="shared" si="8"/>
        <v>-74.152073488950691</v>
      </c>
      <c r="AF34" s="125">
        <f t="shared" si="9"/>
        <v>0.96292396325552465</v>
      </c>
      <c r="AG34" s="637"/>
    </row>
    <row r="35" spans="1:33" ht="15.75" customHeight="1">
      <c r="A35" s="654" t="s">
        <v>413</v>
      </c>
      <c r="B35" s="42" t="s">
        <v>116</v>
      </c>
      <c r="C35" s="653" t="s">
        <v>117</v>
      </c>
      <c r="D35" s="653"/>
      <c r="E35" s="42">
        <v>31.29</v>
      </c>
      <c r="F35" s="128">
        <v>5500</v>
      </c>
      <c r="G35" s="124">
        <f t="shared" ref="G35:G41" si="23">E35*F35</f>
        <v>172095</v>
      </c>
      <c r="H35" s="37">
        <v>2</v>
      </c>
      <c r="I35" s="123">
        <v>18</v>
      </c>
      <c r="J35" s="39">
        <v>2400</v>
      </c>
      <c r="K35" s="17">
        <f t="shared" si="1"/>
        <v>133.33333333333334</v>
      </c>
      <c r="L35" s="123">
        <v>18</v>
      </c>
      <c r="M35" s="18">
        <f t="shared" ref="M35:M41" si="24">F35/V35*60</f>
        <v>2291.6666666666665</v>
      </c>
      <c r="N35" s="17">
        <f t="shared" si="3"/>
        <v>127.31481481481481</v>
      </c>
      <c r="O35" s="19">
        <f t="shared" si="4"/>
        <v>0</v>
      </c>
      <c r="P35" s="20">
        <f t="shared" si="5"/>
        <v>-6.0185185185185333</v>
      </c>
      <c r="Q35" s="125">
        <f t="shared" si="6"/>
        <v>0.95486111111111105</v>
      </c>
      <c r="R35" s="637">
        <f>Q42</f>
        <v>0.9543411571275634</v>
      </c>
      <c r="S35" s="40">
        <v>8.3333333333333329E-2</v>
      </c>
      <c r="T35" s="40">
        <v>0.18333333333333332</v>
      </c>
      <c r="U35" s="124"/>
      <c r="V35" s="126">
        <f t="shared" ref="V35:V41" si="25">(T35-S35)*24*60</f>
        <v>144</v>
      </c>
      <c r="W35" s="23">
        <f>T35</f>
        <v>0.18333333333333332</v>
      </c>
      <c r="X35" s="23">
        <f>S36</f>
        <v>0.20138888888888887</v>
      </c>
      <c r="Y35" s="23"/>
      <c r="Z35" s="23"/>
      <c r="AA35" s="632"/>
      <c r="AB35" s="632"/>
      <c r="AC35" s="25">
        <v>7</v>
      </c>
      <c r="AD35" s="25"/>
      <c r="AE35" s="19">
        <f t="shared" si="8"/>
        <v>-108.33333333333348</v>
      </c>
      <c r="AF35" s="125">
        <f t="shared" si="9"/>
        <v>0.95486111111111105</v>
      </c>
      <c r="AG35" s="637">
        <f>AF42</f>
        <v>0.95434115712756351</v>
      </c>
    </row>
    <row r="36" spans="1:33" ht="15.75" customHeight="1">
      <c r="A36" s="654" t="s">
        <v>413</v>
      </c>
      <c r="B36" s="42" t="s">
        <v>116</v>
      </c>
      <c r="C36" s="653" t="s">
        <v>118</v>
      </c>
      <c r="D36" s="653"/>
      <c r="E36" s="42">
        <v>26.37</v>
      </c>
      <c r="F36" s="128">
        <v>6829</v>
      </c>
      <c r="G36" s="124">
        <f t="shared" si="23"/>
        <v>180080.73</v>
      </c>
      <c r="H36" s="37" t="s">
        <v>91</v>
      </c>
      <c r="I36" s="123">
        <v>18</v>
      </c>
      <c r="J36" s="39">
        <v>2400</v>
      </c>
      <c r="K36" s="17">
        <f t="shared" si="1"/>
        <v>133.33333333333334</v>
      </c>
      <c r="L36" s="123">
        <v>18</v>
      </c>
      <c r="M36" s="18">
        <f t="shared" si="24"/>
        <v>2289.0502793296096</v>
      </c>
      <c r="N36" s="17">
        <f t="shared" si="3"/>
        <v>127.16945996275609</v>
      </c>
      <c r="O36" s="19">
        <f t="shared" si="4"/>
        <v>0</v>
      </c>
      <c r="P36" s="20">
        <f t="shared" si="5"/>
        <v>-6.1638733705772495</v>
      </c>
      <c r="Q36" s="125">
        <f t="shared" si="6"/>
        <v>0.95377094972067067</v>
      </c>
      <c r="R36" s="637"/>
      <c r="S36" s="40">
        <v>0.20138888888888887</v>
      </c>
      <c r="T36" s="40">
        <v>0.3256944444444444</v>
      </c>
      <c r="U36" s="124">
        <f t="shared" ref="U36:U41" si="26">(S36-T35)*24*60</f>
        <v>25.999999999999986</v>
      </c>
      <c r="V36" s="126">
        <f t="shared" si="25"/>
        <v>178.99999999999994</v>
      </c>
      <c r="W36" s="23"/>
      <c r="X36" s="23"/>
      <c r="Y36" s="23"/>
      <c r="Z36" s="23"/>
      <c r="AA36" s="632"/>
      <c r="AB36" s="632"/>
      <c r="AC36" s="25"/>
      <c r="AD36" s="25"/>
      <c r="AE36" s="19">
        <f t="shared" si="8"/>
        <v>-110.94972067039043</v>
      </c>
      <c r="AF36" s="125">
        <f t="shared" si="9"/>
        <v>0.95377094972067067</v>
      </c>
      <c r="AG36" s="637"/>
    </row>
    <row r="37" spans="1:33" ht="15.75" customHeight="1">
      <c r="A37" s="654" t="s">
        <v>413</v>
      </c>
      <c r="B37" s="42" t="s">
        <v>116</v>
      </c>
      <c r="C37" s="653" t="s">
        <v>124</v>
      </c>
      <c r="D37" s="653"/>
      <c r="E37" s="42">
        <v>24.43</v>
      </c>
      <c r="F37" s="128">
        <v>4100</v>
      </c>
      <c r="G37" s="124">
        <f t="shared" si="23"/>
        <v>100163</v>
      </c>
      <c r="H37" s="37">
        <v>2</v>
      </c>
      <c r="I37" s="123">
        <v>14</v>
      </c>
      <c r="J37" s="39">
        <v>2400</v>
      </c>
      <c r="K37" s="17">
        <f t="shared" si="1"/>
        <v>171.42857142857142</v>
      </c>
      <c r="L37" s="123">
        <v>14</v>
      </c>
      <c r="M37" s="18">
        <f t="shared" si="24"/>
        <v>2299.0654205607475</v>
      </c>
      <c r="N37" s="17">
        <f t="shared" si="3"/>
        <v>164.21895861148195</v>
      </c>
      <c r="O37" s="19">
        <f t="shared" si="4"/>
        <v>0</v>
      </c>
      <c r="P37" s="20">
        <f t="shared" si="5"/>
        <v>-7.2096128170894644</v>
      </c>
      <c r="Q37" s="125">
        <f t="shared" si="6"/>
        <v>0.9579439252336448</v>
      </c>
      <c r="R37" s="637"/>
      <c r="S37" s="40">
        <v>0.32986111111111105</v>
      </c>
      <c r="T37" s="40">
        <v>0.40416666666666662</v>
      </c>
      <c r="U37" s="124">
        <f t="shared" si="26"/>
        <v>5.9999999999999787</v>
      </c>
      <c r="V37" s="126">
        <f t="shared" si="25"/>
        <v>107.00000000000001</v>
      </c>
      <c r="W37" s="23"/>
      <c r="X37" s="23"/>
      <c r="Y37" s="23"/>
      <c r="Z37" s="23"/>
      <c r="AA37" s="632"/>
      <c r="AB37" s="632"/>
      <c r="AC37" s="25"/>
      <c r="AD37" s="25"/>
      <c r="AE37" s="19">
        <f t="shared" si="8"/>
        <v>-100.9345794392525</v>
      </c>
      <c r="AF37" s="125">
        <f t="shared" si="9"/>
        <v>0.9579439252336448</v>
      </c>
      <c r="AG37" s="637"/>
    </row>
    <row r="38" spans="1:33" ht="15.75" customHeight="1">
      <c r="A38" s="654" t="s">
        <v>413</v>
      </c>
      <c r="B38" s="42" t="s">
        <v>116</v>
      </c>
      <c r="C38" s="653" t="s">
        <v>147</v>
      </c>
      <c r="D38" s="653"/>
      <c r="E38" s="42">
        <v>25.98</v>
      </c>
      <c r="F38" s="128">
        <v>3137</v>
      </c>
      <c r="G38" s="124">
        <f t="shared" si="23"/>
        <v>81499.259999999995</v>
      </c>
      <c r="H38" s="37" t="s">
        <v>91</v>
      </c>
      <c r="I38" s="123">
        <v>17</v>
      </c>
      <c r="J38" s="39">
        <v>2400</v>
      </c>
      <c r="K38" s="17">
        <f t="shared" si="1"/>
        <v>141.1764705882353</v>
      </c>
      <c r="L38" s="123">
        <v>17</v>
      </c>
      <c r="M38" s="18">
        <f t="shared" si="24"/>
        <v>2295.3658536585358</v>
      </c>
      <c r="N38" s="17">
        <f t="shared" si="3"/>
        <v>135.02152080344328</v>
      </c>
      <c r="O38" s="19">
        <f t="shared" si="4"/>
        <v>0</v>
      </c>
      <c r="P38" s="20">
        <f t="shared" si="5"/>
        <v>-6.1549497847920236</v>
      </c>
      <c r="Q38" s="125">
        <f t="shared" si="6"/>
        <v>0.95640243902438982</v>
      </c>
      <c r="R38" s="637"/>
      <c r="S38" s="40">
        <v>0.40902777777777771</v>
      </c>
      <c r="T38" s="40">
        <v>0.46597222222222218</v>
      </c>
      <c r="U38" s="124">
        <f t="shared" si="26"/>
        <v>6.9999999999999751</v>
      </c>
      <c r="V38" s="126">
        <f t="shared" si="25"/>
        <v>82.000000000000028</v>
      </c>
      <c r="W38" s="23"/>
      <c r="X38" s="23"/>
      <c r="Y38" s="23"/>
      <c r="Z38" s="23"/>
      <c r="AA38" s="632"/>
      <c r="AB38" s="632"/>
      <c r="AC38" s="25"/>
      <c r="AD38" s="25"/>
      <c r="AE38" s="19">
        <f t="shared" si="8"/>
        <v>-104.6341463414642</v>
      </c>
      <c r="AF38" s="125">
        <f t="shared" si="9"/>
        <v>0.95640243902438993</v>
      </c>
      <c r="AG38" s="637"/>
    </row>
    <row r="39" spans="1:33" ht="15.75" customHeight="1">
      <c r="A39" s="654" t="s">
        <v>413</v>
      </c>
      <c r="B39" s="42" t="s">
        <v>116</v>
      </c>
      <c r="C39" s="653" t="s">
        <v>122</v>
      </c>
      <c r="D39" s="653"/>
      <c r="E39" s="42">
        <v>20.21</v>
      </c>
      <c r="F39" s="128">
        <v>2368</v>
      </c>
      <c r="G39" s="124">
        <f t="shared" si="23"/>
        <v>47857.279999999999</v>
      </c>
      <c r="H39" s="37" t="s">
        <v>91</v>
      </c>
      <c r="I39" s="123">
        <v>18</v>
      </c>
      <c r="J39" s="39">
        <v>2400</v>
      </c>
      <c r="K39" s="17">
        <f t="shared" si="1"/>
        <v>133.33333333333334</v>
      </c>
      <c r="L39" s="123">
        <v>18</v>
      </c>
      <c r="M39" s="18">
        <f t="shared" si="24"/>
        <v>2291.6129032258059</v>
      </c>
      <c r="N39" s="17">
        <f t="shared" si="3"/>
        <v>127.31182795698922</v>
      </c>
      <c r="O39" s="19">
        <f t="shared" si="4"/>
        <v>0</v>
      </c>
      <c r="P39" s="20">
        <f t="shared" si="5"/>
        <v>-6.0215053763441233</v>
      </c>
      <c r="Q39" s="125">
        <f t="shared" si="6"/>
        <v>0.95483870967741913</v>
      </c>
      <c r="R39" s="637"/>
      <c r="S39" s="40">
        <v>0.46944444444444439</v>
      </c>
      <c r="T39" s="40">
        <v>0.51249999999999996</v>
      </c>
      <c r="U39" s="124">
        <f t="shared" si="26"/>
        <v>4.9999999999999822</v>
      </c>
      <c r="V39" s="126">
        <f t="shared" si="25"/>
        <v>62.000000000000021</v>
      </c>
      <c r="W39" s="23">
        <f>T39</f>
        <v>0.51249999999999996</v>
      </c>
      <c r="X39" s="23">
        <f>S40</f>
        <v>0.55416666666666659</v>
      </c>
      <c r="Y39" s="23"/>
      <c r="Z39" s="23"/>
      <c r="AA39" s="632"/>
      <c r="AB39" s="632"/>
      <c r="AC39" s="25"/>
      <c r="AD39" s="25"/>
      <c r="AE39" s="19">
        <f t="shared" si="8"/>
        <v>-108.38709677419411</v>
      </c>
      <c r="AF39" s="125">
        <f t="shared" si="9"/>
        <v>0.95483870967741913</v>
      </c>
      <c r="AG39" s="637"/>
    </row>
    <row r="40" spans="1:33" ht="15.75" customHeight="1">
      <c r="A40" s="654" t="s">
        <v>413</v>
      </c>
      <c r="B40" s="42" t="s">
        <v>116</v>
      </c>
      <c r="C40" s="653" t="s">
        <v>117</v>
      </c>
      <c r="D40" s="653"/>
      <c r="E40" s="42">
        <v>31.29</v>
      </c>
      <c r="F40" s="128">
        <v>5214</v>
      </c>
      <c r="G40" s="124">
        <f t="shared" si="23"/>
        <v>163146.06</v>
      </c>
      <c r="H40" s="37" t="s">
        <v>91</v>
      </c>
      <c r="I40" s="123">
        <v>18</v>
      </c>
      <c r="J40" s="39">
        <v>2400</v>
      </c>
      <c r="K40" s="17">
        <f t="shared" si="1"/>
        <v>133.33333333333334</v>
      </c>
      <c r="L40" s="123">
        <v>18</v>
      </c>
      <c r="M40" s="18">
        <f t="shared" si="24"/>
        <v>2283.5036496350367</v>
      </c>
      <c r="N40" s="17">
        <f t="shared" si="3"/>
        <v>126.86131386861315</v>
      </c>
      <c r="O40" s="19">
        <f t="shared" si="4"/>
        <v>0</v>
      </c>
      <c r="P40" s="20">
        <f t="shared" si="5"/>
        <v>-6.4720194647201907</v>
      </c>
      <c r="Q40" s="125">
        <f t="shared" si="6"/>
        <v>0.95145985401459854</v>
      </c>
      <c r="R40" s="637"/>
      <c r="S40" s="40">
        <v>0.55416666666666659</v>
      </c>
      <c r="T40" s="40">
        <v>0.64930555555555547</v>
      </c>
      <c r="U40" s="124">
        <f t="shared" si="26"/>
        <v>59.999999999999943</v>
      </c>
      <c r="V40" s="126">
        <f t="shared" si="25"/>
        <v>137</v>
      </c>
      <c r="W40" s="23"/>
      <c r="X40" s="23"/>
      <c r="Y40" s="23"/>
      <c r="Z40" s="23"/>
      <c r="AA40" s="632"/>
      <c r="AB40" s="632"/>
      <c r="AC40" s="25"/>
      <c r="AD40" s="25"/>
      <c r="AE40" s="19">
        <f t="shared" si="8"/>
        <v>-116.49635036496329</v>
      </c>
      <c r="AF40" s="125">
        <f t="shared" si="9"/>
        <v>0.95145985401459865</v>
      </c>
      <c r="AG40" s="637"/>
    </row>
    <row r="41" spans="1:33" ht="15.75" customHeight="1">
      <c r="A41" s="654" t="s">
        <v>413</v>
      </c>
      <c r="B41" s="42" t="s">
        <v>116</v>
      </c>
      <c r="C41" s="653" t="s">
        <v>124</v>
      </c>
      <c r="D41" s="653"/>
      <c r="E41" s="42">
        <v>24.43</v>
      </c>
      <c r="F41" s="128">
        <v>3424</v>
      </c>
      <c r="G41" s="124">
        <f t="shared" si="23"/>
        <v>83648.319999999992</v>
      </c>
      <c r="H41" s="37" t="s">
        <v>91</v>
      </c>
      <c r="I41" s="123">
        <v>14</v>
      </c>
      <c r="J41" s="39">
        <v>2400</v>
      </c>
      <c r="K41" s="17">
        <f t="shared" si="1"/>
        <v>171.42857142857142</v>
      </c>
      <c r="L41" s="123">
        <v>14</v>
      </c>
      <c r="M41" s="18">
        <f t="shared" si="24"/>
        <v>2282.6666666666665</v>
      </c>
      <c r="N41" s="17">
        <f t="shared" si="3"/>
        <v>163.04761904761904</v>
      </c>
      <c r="O41" s="19">
        <f t="shared" si="4"/>
        <v>0</v>
      </c>
      <c r="P41" s="20">
        <f t="shared" si="5"/>
        <v>-8.3809523809523796</v>
      </c>
      <c r="Q41" s="125">
        <f t="shared" si="6"/>
        <v>0.95111111111111113</v>
      </c>
      <c r="R41" s="637"/>
      <c r="S41" s="40">
        <v>0.65416666666666656</v>
      </c>
      <c r="T41" s="40">
        <v>0.71666666666666656</v>
      </c>
      <c r="U41" s="124">
        <f t="shared" si="26"/>
        <v>6.9999999999999751</v>
      </c>
      <c r="V41" s="126">
        <f t="shared" si="25"/>
        <v>90</v>
      </c>
      <c r="W41" s="23"/>
      <c r="X41" s="23"/>
      <c r="Y41" s="23"/>
      <c r="Z41" s="23"/>
      <c r="AA41" s="632"/>
      <c r="AB41" s="632"/>
      <c r="AC41" s="25"/>
      <c r="AD41" s="25"/>
      <c r="AE41" s="19">
        <f t="shared" si="8"/>
        <v>-117.33333333333348</v>
      </c>
      <c r="AF41" s="125">
        <f t="shared" si="9"/>
        <v>0.95111111111111102</v>
      </c>
      <c r="AG41" s="637"/>
    </row>
    <row r="42" spans="1:33" ht="15.75" customHeight="1">
      <c r="A42" s="654" t="s">
        <v>413</v>
      </c>
      <c r="B42" s="42" t="s">
        <v>411</v>
      </c>
      <c r="C42" s="638"/>
      <c r="D42" s="638"/>
      <c r="E42" s="129"/>
      <c r="F42" s="128"/>
      <c r="G42" s="124"/>
      <c r="H42" s="128"/>
      <c r="I42" s="29">
        <v>16.714285714285715</v>
      </c>
      <c r="J42" s="39">
        <v>2400</v>
      </c>
      <c r="K42" s="17">
        <f t="shared" si="1"/>
        <v>143.58974358974359</v>
      </c>
      <c r="L42" s="29">
        <v>16.714285714285715</v>
      </c>
      <c r="M42" s="18">
        <f>AVERAGE(M35:M41)</f>
        <v>2290.4187771061524</v>
      </c>
      <c r="N42" s="17">
        <f t="shared" si="3"/>
        <v>137.03360204908603</v>
      </c>
      <c r="O42" s="19">
        <f t="shared" si="4"/>
        <v>0</v>
      </c>
      <c r="P42" s="20">
        <f t="shared" si="5"/>
        <v>-6.5561415406575634</v>
      </c>
      <c r="Q42" s="125">
        <f t="shared" si="6"/>
        <v>0.9543411571275634</v>
      </c>
      <c r="R42" s="637"/>
      <c r="S42" s="40"/>
      <c r="T42" s="40"/>
      <c r="U42" s="124"/>
      <c r="V42" s="126"/>
      <c r="W42" s="124"/>
      <c r="X42" s="124"/>
      <c r="Y42" s="30">
        <f>SUM(Y35:Y41)</f>
        <v>0</v>
      </c>
      <c r="Z42" s="30">
        <f>SUM(Z35:Z41)</f>
        <v>0</v>
      </c>
      <c r="AA42" s="631"/>
      <c r="AB42" s="631"/>
      <c r="AC42" s="30">
        <v>7</v>
      </c>
      <c r="AD42" s="30">
        <f>SUM(AD35:AD41)</f>
        <v>0</v>
      </c>
      <c r="AE42" s="19">
        <f t="shared" si="8"/>
        <v>-109.58122289384755</v>
      </c>
      <c r="AF42" s="125">
        <f t="shared" si="9"/>
        <v>0.95434115712756351</v>
      </c>
      <c r="AG42" s="637"/>
    </row>
    <row r="43" spans="1:33" ht="15.75" customHeight="1">
      <c r="A43" s="651" t="s">
        <v>414</v>
      </c>
      <c r="B43" s="42" t="s">
        <v>116</v>
      </c>
      <c r="C43" s="633" t="s">
        <v>123</v>
      </c>
      <c r="D43" s="633"/>
      <c r="E43" s="42">
        <v>26.18</v>
      </c>
      <c r="F43" s="128">
        <v>3600</v>
      </c>
      <c r="G43" s="124">
        <f t="shared" ref="G43:G50" si="27">E43*F43</f>
        <v>94248</v>
      </c>
      <c r="H43" s="37">
        <v>2</v>
      </c>
      <c r="I43" s="123">
        <v>20</v>
      </c>
      <c r="J43" s="39">
        <v>2400</v>
      </c>
      <c r="K43" s="17">
        <f t="shared" si="1"/>
        <v>120</v>
      </c>
      <c r="L43" s="123">
        <v>20</v>
      </c>
      <c r="M43" s="18">
        <f t="shared" ref="M43:M50" si="28">F43/V43*60</f>
        <v>2297.8723404255315</v>
      </c>
      <c r="N43" s="17">
        <f t="shared" si="3"/>
        <v>114.89361702127658</v>
      </c>
      <c r="O43" s="19">
        <f t="shared" si="4"/>
        <v>0</v>
      </c>
      <c r="P43" s="20">
        <f t="shared" si="5"/>
        <v>-5.106382978723417</v>
      </c>
      <c r="Q43" s="125">
        <f t="shared" si="6"/>
        <v>0.95744680851063824</v>
      </c>
      <c r="R43" s="637">
        <f>Q51</f>
        <v>0.95411925436160006</v>
      </c>
      <c r="S43" s="40">
        <v>8.3333333333333329E-2</v>
      </c>
      <c r="T43" s="40">
        <v>0.14861111111111111</v>
      </c>
      <c r="U43" s="124"/>
      <c r="V43" s="126">
        <f t="shared" ref="V43:V50" si="29">(T43-S43)*24*60</f>
        <v>94.000000000000014</v>
      </c>
      <c r="W43" s="28">
        <f>T43</f>
        <v>0.14861111111111111</v>
      </c>
      <c r="X43" s="28">
        <f>S44</f>
        <v>0.16875000000000001</v>
      </c>
      <c r="Y43" s="28"/>
      <c r="Z43" s="28"/>
      <c r="AA43" s="632"/>
      <c r="AB43" s="632"/>
      <c r="AC43" s="25">
        <v>8</v>
      </c>
      <c r="AD43" s="25"/>
      <c r="AE43" s="19">
        <f t="shared" si="8"/>
        <v>-102.12765957446845</v>
      </c>
      <c r="AF43" s="125">
        <f t="shared" si="9"/>
        <v>0.95744680851063813</v>
      </c>
      <c r="AG43" s="637">
        <f>AF51</f>
        <v>0.95411925436160017</v>
      </c>
    </row>
    <row r="44" spans="1:33" ht="15.75" customHeight="1">
      <c r="A44" s="651" t="s">
        <v>415</v>
      </c>
      <c r="B44" s="42" t="s">
        <v>116</v>
      </c>
      <c r="C44" s="633" t="s">
        <v>125</v>
      </c>
      <c r="D44" s="633"/>
      <c r="E44" s="42">
        <v>25.98</v>
      </c>
      <c r="F44" s="128">
        <v>3700</v>
      </c>
      <c r="G44" s="124">
        <f t="shared" si="27"/>
        <v>96126</v>
      </c>
      <c r="H44" s="37" t="s">
        <v>91</v>
      </c>
      <c r="I44" s="123">
        <v>20</v>
      </c>
      <c r="J44" s="39">
        <v>2400</v>
      </c>
      <c r="K44" s="17">
        <f t="shared" si="1"/>
        <v>120</v>
      </c>
      <c r="L44" s="123">
        <v>20</v>
      </c>
      <c r="M44" s="18">
        <f t="shared" si="28"/>
        <v>2288.6597938144337</v>
      </c>
      <c r="N44" s="17">
        <f t="shared" si="3"/>
        <v>114.43298969072168</v>
      </c>
      <c r="O44" s="19">
        <f t="shared" si="4"/>
        <v>0</v>
      </c>
      <c r="P44" s="20">
        <f t="shared" si="5"/>
        <v>-5.5670103092783165</v>
      </c>
      <c r="Q44" s="125">
        <f t="shared" si="6"/>
        <v>0.95360824742268069</v>
      </c>
      <c r="R44" s="637"/>
      <c r="S44" s="40">
        <v>0.16875000000000001</v>
      </c>
      <c r="T44" s="40">
        <v>0.2361111111111111</v>
      </c>
      <c r="U44" s="124">
        <f t="shared" ref="U44:U50" si="30">(S44-T43)*24*60</f>
        <v>29.000000000000018</v>
      </c>
      <c r="V44" s="126">
        <f t="shared" si="29"/>
        <v>96.999999999999972</v>
      </c>
      <c r="W44" s="124"/>
      <c r="X44" s="124"/>
      <c r="Y44" s="124"/>
      <c r="Z44" s="124"/>
      <c r="AA44" s="632"/>
      <c r="AB44" s="632"/>
      <c r="AC44" s="25"/>
      <c r="AD44" s="25"/>
      <c r="AE44" s="19">
        <f t="shared" si="8"/>
        <v>-111.34020618556633</v>
      </c>
      <c r="AF44" s="125">
        <f t="shared" si="9"/>
        <v>0.95360824742268069</v>
      </c>
      <c r="AG44" s="637"/>
    </row>
    <row r="45" spans="1:33">
      <c r="A45" s="652" t="s">
        <v>415</v>
      </c>
      <c r="B45" s="42" t="s">
        <v>116</v>
      </c>
      <c r="C45" s="633" t="s">
        <v>119</v>
      </c>
      <c r="D45" s="633"/>
      <c r="E45" s="42">
        <v>26.18</v>
      </c>
      <c r="F45" s="128">
        <v>4800</v>
      </c>
      <c r="G45" s="124">
        <f t="shared" si="27"/>
        <v>125664</v>
      </c>
      <c r="H45" s="37">
        <v>2</v>
      </c>
      <c r="I45" s="123">
        <v>18</v>
      </c>
      <c r="J45" s="39">
        <v>2400</v>
      </c>
      <c r="K45" s="17">
        <f t="shared" si="1"/>
        <v>133.33333333333334</v>
      </c>
      <c r="L45" s="123">
        <v>18</v>
      </c>
      <c r="M45" s="18">
        <f t="shared" si="28"/>
        <v>2285.7142857142862</v>
      </c>
      <c r="N45" s="17">
        <f t="shared" si="3"/>
        <v>126.98412698412702</v>
      </c>
      <c r="O45" s="19">
        <f t="shared" si="4"/>
        <v>0</v>
      </c>
      <c r="P45" s="20">
        <f t="shared" si="5"/>
        <v>-6.3492063492063266</v>
      </c>
      <c r="Q45" s="125">
        <f t="shared" si="6"/>
        <v>0.95238095238095255</v>
      </c>
      <c r="R45" s="637"/>
      <c r="S45" s="40">
        <v>0.24166666666666667</v>
      </c>
      <c r="T45" s="40">
        <v>0.32916666666666666</v>
      </c>
      <c r="U45" s="124">
        <f t="shared" si="30"/>
        <v>8.0000000000000107</v>
      </c>
      <c r="V45" s="126">
        <f t="shared" si="29"/>
        <v>125.99999999999997</v>
      </c>
      <c r="W45" s="124"/>
      <c r="X45" s="124"/>
      <c r="Y45" s="124"/>
      <c r="Z45" s="124"/>
      <c r="AA45" s="632"/>
      <c r="AB45" s="632"/>
      <c r="AC45" s="25"/>
      <c r="AD45" s="25"/>
      <c r="AE45" s="19">
        <f t="shared" si="8"/>
        <v>-114.28571428571377</v>
      </c>
      <c r="AF45" s="125">
        <f t="shared" si="9"/>
        <v>0.95238095238095255</v>
      </c>
      <c r="AG45" s="637"/>
    </row>
    <row r="46" spans="1:33">
      <c r="A46" s="652" t="s">
        <v>415</v>
      </c>
      <c r="B46" s="42" t="s">
        <v>116</v>
      </c>
      <c r="C46" s="633" t="s">
        <v>121</v>
      </c>
      <c r="D46" s="633"/>
      <c r="E46" s="42">
        <v>25.99</v>
      </c>
      <c r="F46" s="128">
        <v>3968</v>
      </c>
      <c r="G46" s="124">
        <f t="shared" si="27"/>
        <v>103128.31999999999</v>
      </c>
      <c r="H46" s="37" t="s">
        <v>91</v>
      </c>
      <c r="I46" s="123">
        <v>14</v>
      </c>
      <c r="J46" s="39">
        <v>2400</v>
      </c>
      <c r="K46" s="17">
        <f t="shared" si="1"/>
        <v>171.42857142857142</v>
      </c>
      <c r="L46" s="123">
        <v>14</v>
      </c>
      <c r="M46" s="18">
        <f t="shared" si="28"/>
        <v>2289.2307692307686</v>
      </c>
      <c r="N46" s="17">
        <f t="shared" si="3"/>
        <v>163.51648351648348</v>
      </c>
      <c r="O46" s="19">
        <f t="shared" si="4"/>
        <v>0</v>
      </c>
      <c r="P46" s="20">
        <f t="shared" si="5"/>
        <v>-7.9120879120879408</v>
      </c>
      <c r="Q46" s="125">
        <f t="shared" si="6"/>
        <v>0.95384615384615368</v>
      </c>
      <c r="R46" s="637"/>
      <c r="S46" s="40">
        <v>0.33402777777777776</v>
      </c>
      <c r="T46" s="40">
        <v>0.40625</v>
      </c>
      <c r="U46" s="124">
        <f t="shared" si="30"/>
        <v>6.9999999999999751</v>
      </c>
      <c r="V46" s="126">
        <f t="shared" si="29"/>
        <v>104.00000000000003</v>
      </c>
      <c r="W46" s="23"/>
      <c r="X46" s="23"/>
      <c r="Y46" s="23"/>
      <c r="Z46" s="23"/>
      <c r="AA46" s="632"/>
      <c r="AB46" s="632"/>
      <c r="AC46" s="25"/>
      <c r="AD46" s="25"/>
      <c r="AE46" s="19">
        <f t="shared" si="8"/>
        <v>-110.7692307692314</v>
      </c>
      <c r="AF46" s="125">
        <f t="shared" si="9"/>
        <v>0.95384615384615357</v>
      </c>
      <c r="AG46" s="637"/>
    </row>
    <row r="47" spans="1:33">
      <c r="A47" s="652" t="s">
        <v>415</v>
      </c>
      <c r="B47" s="42" t="s">
        <v>116</v>
      </c>
      <c r="C47" s="633" t="s">
        <v>126</v>
      </c>
      <c r="D47" s="633"/>
      <c r="E47" s="42">
        <v>34.1</v>
      </c>
      <c r="F47" s="128">
        <v>3800</v>
      </c>
      <c r="G47" s="124">
        <f t="shared" si="27"/>
        <v>129580</v>
      </c>
      <c r="H47" s="37">
        <v>2</v>
      </c>
      <c r="I47" s="123">
        <v>17</v>
      </c>
      <c r="J47" s="39">
        <v>1600</v>
      </c>
      <c r="K47" s="17">
        <f t="shared" si="1"/>
        <v>94.117647058823536</v>
      </c>
      <c r="L47" s="123">
        <v>17</v>
      </c>
      <c r="M47" s="18">
        <f t="shared" si="28"/>
        <v>1520.0000000000005</v>
      </c>
      <c r="N47" s="17">
        <f t="shared" si="3"/>
        <v>89.411764705882376</v>
      </c>
      <c r="O47" s="19">
        <f t="shared" si="4"/>
        <v>0</v>
      </c>
      <c r="P47" s="20">
        <f t="shared" si="5"/>
        <v>-4.7058823529411598</v>
      </c>
      <c r="Q47" s="125">
        <f t="shared" si="6"/>
        <v>0.95000000000000018</v>
      </c>
      <c r="R47" s="637"/>
      <c r="S47" s="40">
        <v>0.40972222222222221</v>
      </c>
      <c r="T47" s="40">
        <v>0.51388888888888884</v>
      </c>
      <c r="U47" s="124">
        <f t="shared" si="30"/>
        <v>4.9999999999999822</v>
      </c>
      <c r="V47" s="126">
        <f t="shared" si="29"/>
        <v>149.99999999999994</v>
      </c>
      <c r="W47" s="23">
        <f>T47</f>
        <v>0.51388888888888884</v>
      </c>
      <c r="X47" s="23">
        <f>S48</f>
        <v>0.55416666666666659</v>
      </c>
      <c r="Y47" s="23"/>
      <c r="Z47" s="23"/>
      <c r="AA47" s="632"/>
      <c r="AB47" s="632"/>
      <c r="AC47" s="25"/>
      <c r="AD47" s="25"/>
      <c r="AE47" s="19">
        <f t="shared" si="8"/>
        <v>-79.999999999999545</v>
      </c>
      <c r="AF47" s="125">
        <f t="shared" si="9"/>
        <v>0.95000000000000029</v>
      </c>
      <c r="AG47" s="637"/>
    </row>
    <row r="48" spans="1:33">
      <c r="A48" s="652" t="s">
        <v>414</v>
      </c>
      <c r="B48" s="42" t="s">
        <v>116</v>
      </c>
      <c r="C48" s="633" t="s">
        <v>123</v>
      </c>
      <c r="D48" s="633"/>
      <c r="E48" s="42">
        <v>26.18</v>
      </c>
      <c r="F48" s="128">
        <v>2796</v>
      </c>
      <c r="G48" s="124">
        <f t="shared" si="27"/>
        <v>73199.28</v>
      </c>
      <c r="H48" s="37" t="s">
        <v>91</v>
      </c>
      <c r="I48" s="123">
        <v>20</v>
      </c>
      <c r="J48" s="39">
        <v>2400</v>
      </c>
      <c r="K48" s="17">
        <f t="shared" si="1"/>
        <v>120</v>
      </c>
      <c r="L48" s="123">
        <v>20</v>
      </c>
      <c r="M48" s="18">
        <f t="shared" si="28"/>
        <v>2298.0821917808203</v>
      </c>
      <c r="N48" s="17">
        <f t="shared" si="3"/>
        <v>114.90410958904101</v>
      </c>
      <c r="O48" s="19">
        <f t="shared" si="4"/>
        <v>0</v>
      </c>
      <c r="P48" s="20">
        <f t="shared" si="5"/>
        <v>-5.0958904109589866</v>
      </c>
      <c r="Q48" s="125">
        <f t="shared" si="6"/>
        <v>0.95753424657534181</v>
      </c>
      <c r="R48" s="637"/>
      <c r="S48" s="40">
        <v>0.55416666666666659</v>
      </c>
      <c r="T48" s="40">
        <v>0.60486111111111107</v>
      </c>
      <c r="U48" s="124">
        <f t="shared" si="30"/>
        <v>57.999999999999957</v>
      </c>
      <c r="V48" s="126">
        <f t="shared" si="29"/>
        <v>73.000000000000057</v>
      </c>
      <c r="W48" s="23"/>
      <c r="X48" s="23"/>
      <c r="Y48" s="23"/>
      <c r="Z48" s="23"/>
      <c r="AA48" s="632"/>
      <c r="AB48" s="632"/>
      <c r="AC48" s="25"/>
      <c r="AD48" s="25"/>
      <c r="AE48" s="19">
        <f t="shared" si="8"/>
        <v>-101.91780821917973</v>
      </c>
      <c r="AF48" s="125">
        <f t="shared" si="9"/>
        <v>0.95753424657534181</v>
      </c>
      <c r="AG48" s="637"/>
    </row>
    <row r="49" spans="1:33">
      <c r="A49" s="652" t="s">
        <v>414</v>
      </c>
      <c r="B49" s="42" t="s">
        <v>116</v>
      </c>
      <c r="C49" s="633" t="s">
        <v>119</v>
      </c>
      <c r="D49" s="633"/>
      <c r="E49" s="42">
        <v>26.18</v>
      </c>
      <c r="F49" s="128">
        <v>3807</v>
      </c>
      <c r="G49" s="124">
        <f t="shared" si="27"/>
        <v>99667.26</v>
      </c>
      <c r="H49" s="37" t="s">
        <v>91</v>
      </c>
      <c r="I49" s="123">
        <v>18</v>
      </c>
      <c r="J49" s="39">
        <v>2400</v>
      </c>
      <c r="K49" s="17">
        <f t="shared" si="1"/>
        <v>133.33333333333334</v>
      </c>
      <c r="L49" s="123">
        <v>18</v>
      </c>
      <c r="M49" s="18">
        <f t="shared" si="28"/>
        <v>2284.2000000000003</v>
      </c>
      <c r="N49" s="17">
        <f t="shared" si="3"/>
        <v>126.90000000000002</v>
      </c>
      <c r="O49" s="19">
        <f t="shared" si="4"/>
        <v>0</v>
      </c>
      <c r="P49" s="20">
        <f t="shared" si="5"/>
        <v>-6.4333333333333229</v>
      </c>
      <c r="Q49" s="125">
        <f t="shared" si="6"/>
        <v>0.9517500000000001</v>
      </c>
      <c r="R49" s="637"/>
      <c r="S49" s="40">
        <v>0.60833333333333328</v>
      </c>
      <c r="T49" s="40">
        <v>0.6777777777777777</v>
      </c>
      <c r="U49" s="124">
        <f t="shared" si="30"/>
        <v>4.9999999999999822</v>
      </c>
      <c r="V49" s="126">
        <f t="shared" si="29"/>
        <v>99.999999999999972</v>
      </c>
      <c r="W49" s="23"/>
      <c r="X49" s="23"/>
      <c r="Y49" s="26"/>
      <c r="Z49" s="26"/>
      <c r="AA49" s="627"/>
      <c r="AB49" s="628"/>
      <c r="AC49" s="25"/>
      <c r="AD49" s="25"/>
      <c r="AE49" s="19">
        <f t="shared" si="8"/>
        <v>-115.79999999999973</v>
      </c>
      <c r="AF49" s="125">
        <f t="shared" si="9"/>
        <v>0.9517500000000001</v>
      </c>
      <c r="AG49" s="637"/>
    </row>
    <row r="50" spans="1:33">
      <c r="A50" s="652" t="s">
        <v>414</v>
      </c>
      <c r="B50" s="42" t="s">
        <v>116</v>
      </c>
      <c r="C50" s="633" t="s">
        <v>126</v>
      </c>
      <c r="D50" s="633"/>
      <c r="E50" s="42">
        <v>34.1</v>
      </c>
      <c r="F50" s="128">
        <v>3032</v>
      </c>
      <c r="G50" s="124">
        <f t="shared" si="27"/>
        <v>103391.2</v>
      </c>
      <c r="H50" s="37" t="s">
        <v>91</v>
      </c>
      <c r="I50" s="123">
        <v>17</v>
      </c>
      <c r="J50" s="39">
        <v>1600</v>
      </c>
      <c r="K50" s="17">
        <f t="shared" si="1"/>
        <v>94.117647058823536</v>
      </c>
      <c r="L50" s="123">
        <v>17</v>
      </c>
      <c r="M50" s="18">
        <f t="shared" si="28"/>
        <v>1528.7394957983186</v>
      </c>
      <c r="N50" s="17">
        <f t="shared" si="3"/>
        <v>89.925852694018744</v>
      </c>
      <c r="O50" s="19">
        <f t="shared" si="4"/>
        <v>0</v>
      </c>
      <c r="P50" s="20">
        <f t="shared" si="5"/>
        <v>-4.1917943648047924</v>
      </c>
      <c r="Q50" s="125">
        <f t="shared" si="6"/>
        <v>0.95546218487394907</v>
      </c>
      <c r="R50" s="637"/>
      <c r="S50" s="40">
        <v>0.68194444444444435</v>
      </c>
      <c r="T50" s="40">
        <v>0.76458333333333328</v>
      </c>
      <c r="U50" s="124">
        <f t="shared" si="30"/>
        <v>5.9999999999999787</v>
      </c>
      <c r="V50" s="126">
        <f t="shared" si="29"/>
        <v>119.00000000000006</v>
      </c>
      <c r="W50" s="23"/>
      <c r="X50" s="23"/>
      <c r="Y50" s="26"/>
      <c r="Z50" s="26"/>
      <c r="AA50" s="627"/>
      <c r="AB50" s="628"/>
      <c r="AC50" s="25"/>
      <c r="AD50" s="25"/>
      <c r="AE50" s="19">
        <f t="shared" si="8"/>
        <v>-71.260504201681442</v>
      </c>
      <c r="AF50" s="125">
        <f t="shared" si="9"/>
        <v>0.95546218487394907</v>
      </c>
      <c r="AG50" s="637"/>
    </row>
    <row r="51" spans="1:33">
      <c r="A51" s="652" t="s">
        <v>414</v>
      </c>
      <c r="B51" s="44" t="s">
        <v>408</v>
      </c>
      <c r="C51" s="638"/>
      <c r="D51" s="638"/>
      <c r="E51" s="129"/>
      <c r="F51" s="44"/>
      <c r="G51" s="17"/>
      <c r="H51" s="128"/>
      <c r="I51" s="29">
        <v>18</v>
      </c>
      <c r="J51" s="39">
        <v>2200</v>
      </c>
      <c r="K51" s="17">
        <f t="shared" si="1"/>
        <v>122.22222222222223</v>
      </c>
      <c r="L51" s="29">
        <v>18</v>
      </c>
      <c r="M51" s="18">
        <f>AVERAGE(M43:M50)</f>
        <v>2099.0623595955203</v>
      </c>
      <c r="N51" s="17">
        <f t="shared" si="3"/>
        <v>116.61457553308446</v>
      </c>
      <c r="O51" s="19">
        <f t="shared" si="4"/>
        <v>0</v>
      </c>
      <c r="P51" s="20">
        <f t="shared" si="5"/>
        <v>-5.6076466891377663</v>
      </c>
      <c r="Q51" s="125">
        <f t="shared" si="6"/>
        <v>0.95411925436160006</v>
      </c>
      <c r="R51" s="637"/>
      <c r="S51" s="40"/>
      <c r="T51" s="40"/>
      <c r="U51" s="17"/>
      <c r="V51" s="126"/>
      <c r="W51" s="17"/>
      <c r="X51" s="17"/>
      <c r="Y51" s="30">
        <f>SUM(Y43:Y50)</f>
        <v>0</v>
      </c>
      <c r="Z51" s="30">
        <f>SUM(Z43:Z50)</f>
        <v>0</v>
      </c>
      <c r="AA51" s="631"/>
      <c r="AB51" s="631"/>
      <c r="AC51" s="30">
        <v>8</v>
      </c>
      <c r="AD51" s="30">
        <f>SUM(AD43:AD50)</f>
        <v>0</v>
      </c>
      <c r="AE51" s="19">
        <f t="shared" si="8"/>
        <v>-100.93764040447968</v>
      </c>
      <c r="AF51" s="125">
        <f t="shared" si="9"/>
        <v>0.95411925436160017</v>
      </c>
      <c r="AG51" s="637"/>
    </row>
    <row r="52" spans="1:33" ht="15.75" customHeight="1">
      <c r="A52" s="648" t="s">
        <v>416</v>
      </c>
      <c r="B52" s="42" t="s">
        <v>127</v>
      </c>
      <c r="C52" s="625" t="s">
        <v>128</v>
      </c>
      <c r="D52" s="626"/>
      <c r="E52" s="42">
        <v>21.13</v>
      </c>
      <c r="F52" s="128">
        <v>6315</v>
      </c>
      <c r="G52" s="124">
        <f t="shared" ref="G52:G55" si="31">E52*F52</f>
        <v>133435.94999999998</v>
      </c>
      <c r="H52" s="37" t="s">
        <v>91</v>
      </c>
      <c r="I52" s="123">
        <v>10</v>
      </c>
      <c r="J52" s="39">
        <v>3000</v>
      </c>
      <c r="K52" s="17">
        <f t="shared" si="1"/>
        <v>300</v>
      </c>
      <c r="L52" s="123">
        <v>10</v>
      </c>
      <c r="M52" s="18">
        <f t="shared" ref="M52:M55" si="32">F52/V52*60</f>
        <v>2870.4545454545441</v>
      </c>
      <c r="N52" s="18">
        <f t="shared" si="3"/>
        <v>287.04545454545439</v>
      </c>
      <c r="O52" s="19">
        <f t="shared" si="4"/>
        <v>0</v>
      </c>
      <c r="P52" s="20">
        <f t="shared" si="5"/>
        <v>-12.95454545454561</v>
      </c>
      <c r="Q52" s="125">
        <f t="shared" si="6"/>
        <v>0.95681818181818135</v>
      </c>
      <c r="R52" s="643">
        <f>Q56</f>
        <v>0.96398476523476528</v>
      </c>
      <c r="S52" s="40">
        <v>0.20833333333333334</v>
      </c>
      <c r="T52" s="40">
        <v>0.30000000000000004</v>
      </c>
      <c r="U52" s="28"/>
      <c r="V52" s="126">
        <f t="shared" ref="V52:V55" si="33">(T52-S52)*24*60</f>
        <v>132.00000000000006</v>
      </c>
      <c r="W52" s="23"/>
      <c r="X52" s="23"/>
      <c r="Y52" s="26"/>
      <c r="Z52" s="26"/>
      <c r="AA52" s="627"/>
      <c r="AB52" s="628"/>
      <c r="AC52" s="25">
        <v>4</v>
      </c>
      <c r="AD52" s="25"/>
      <c r="AE52" s="19">
        <f t="shared" si="8"/>
        <v>-129.54545454545587</v>
      </c>
      <c r="AF52" s="125">
        <f t="shared" si="9"/>
        <v>0.95681818181818135</v>
      </c>
      <c r="AG52" s="643">
        <f>AF56</f>
        <v>0.96398476523476528</v>
      </c>
    </row>
    <row r="53" spans="1:33" ht="15.75" customHeight="1">
      <c r="A53" s="649" t="s">
        <v>417</v>
      </c>
      <c r="B53" s="42" t="s">
        <v>127</v>
      </c>
      <c r="C53" s="625" t="s">
        <v>129</v>
      </c>
      <c r="D53" s="626"/>
      <c r="E53" s="42">
        <v>27.17</v>
      </c>
      <c r="F53" s="128">
        <v>5583</v>
      </c>
      <c r="G53" s="124">
        <f t="shared" si="31"/>
        <v>151690.11000000002</v>
      </c>
      <c r="H53" s="37" t="s">
        <v>91</v>
      </c>
      <c r="I53" s="123">
        <v>10</v>
      </c>
      <c r="J53" s="39">
        <v>3000</v>
      </c>
      <c r="K53" s="17">
        <f t="shared" si="1"/>
        <v>300</v>
      </c>
      <c r="L53" s="123">
        <v>10</v>
      </c>
      <c r="M53" s="18">
        <f t="shared" si="32"/>
        <v>2863.0769230769233</v>
      </c>
      <c r="N53" s="18">
        <f t="shared" si="3"/>
        <v>286.30769230769232</v>
      </c>
      <c r="O53" s="19">
        <f t="shared" si="4"/>
        <v>0</v>
      </c>
      <c r="P53" s="20">
        <f t="shared" si="5"/>
        <v>-13.692307692307679</v>
      </c>
      <c r="Q53" s="125">
        <f t="shared" si="6"/>
        <v>0.95435897435897443</v>
      </c>
      <c r="R53" s="644"/>
      <c r="S53" s="40">
        <v>0.3041666666666667</v>
      </c>
      <c r="T53" s="40">
        <v>0.38541666666666669</v>
      </c>
      <c r="U53" s="124">
        <f t="shared" ref="U53:U55" si="34">(S53-T52)*24*60</f>
        <v>5.9999999999999787</v>
      </c>
      <c r="V53" s="126">
        <f t="shared" si="33"/>
        <v>116.99999999999999</v>
      </c>
      <c r="W53" s="23"/>
      <c r="X53" s="23"/>
      <c r="Y53" s="26"/>
      <c r="Z53" s="26"/>
      <c r="AA53" s="627"/>
      <c r="AB53" s="628"/>
      <c r="AC53" s="25"/>
      <c r="AD53" s="25"/>
      <c r="AE53" s="19">
        <f t="shared" si="8"/>
        <v>-136.92307692307668</v>
      </c>
      <c r="AF53" s="125">
        <f t="shared" si="9"/>
        <v>0.95435897435897443</v>
      </c>
      <c r="AG53" s="644"/>
    </row>
    <row r="54" spans="1:33" ht="15.75" customHeight="1">
      <c r="A54" s="649" t="s">
        <v>417</v>
      </c>
      <c r="B54" s="42" t="s">
        <v>127</v>
      </c>
      <c r="C54" s="625" t="s">
        <v>130</v>
      </c>
      <c r="D54" s="626"/>
      <c r="E54" s="42">
        <v>35.869999999999997</v>
      </c>
      <c r="F54" s="128">
        <v>2431</v>
      </c>
      <c r="G54" s="124">
        <f t="shared" si="31"/>
        <v>87199.969999999987</v>
      </c>
      <c r="H54" s="37" t="s">
        <v>91</v>
      </c>
      <c r="I54" s="123">
        <v>9</v>
      </c>
      <c r="J54" s="39">
        <v>3000</v>
      </c>
      <c r="K54" s="17">
        <f t="shared" si="1"/>
        <v>333.33333333333331</v>
      </c>
      <c r="L54" s="123">
        <v>9</v>
      </c>
      <c r="M54" s="18">
        <f t="shared" si="32"/>
        <v>2860.0000000000009</v>
      </c>
      <c r="N54" s="18">
        <f t="shared" si="3"/>
        <v>317.77777777777789</v>
      </c>
      <c r="O54" s="19">
        <f t="shared" si="4"/>
        <v>0</v>
      </c>
      <c r="P54" s="20">
        <f t="shared" si="5"/>
        <v>-15.555555555555429</v>
      </c>
      <c r="Q54" s="125">
        <f t="shared" si="6"/>
        <v>0.9533333333333337</v>
      </c>
      <c r="R54" s="644"/>
      <c r="S54" s="40">
        <v>0.3888888888888889</v>
      </c>
      <c r="T54" s="40">
        <v>0.42430555555555555</v>
      </c>
      <c r="U54" s="124">
        <f t="shared" si="34"/>
        <v>4.9999999999999822</v>
      </c>
      <c r="V54" s="126">
        <f t="shared" si="33"/>
        <v>50.999999999999979</v>
      </c>
      <c r="W54" s="23"/>
      <c r="X54" s="23"/>
      <c r="Y54" s="26"/>
      <c r="Z54" s="26"/>
      <c r="AA54" s="627"/>
      <c r="AB54" s="628"/>
      <c r="AC54" s="25"/>
      <c r="AD54" s="25"/>
      <c r="AE54" s="19">
        <f t="shared" si="8"/>
        <v>-139.99999999999909</v>
      </c>
      <c r="AF54" s="125">
        <f t="shared" si="9"/>
        <v>0.95333333333333359</v>
      </c>
      <c r="AG54" s="644"/>
    </row>
    <row r="55" spans="1:33" ht="15.75" customHeight="1">
      <c r="A55" s="649" t="s">
        <v>417</v>
      </c>
      <c r="B55" s="42" t="s">
        <v>127</v>
      </c>
      <c r="C55" s="625" t="s">
        <v>131</v>
      </c>
      <c r="D55" s="626"/>
      <c r="E55" s="42">
        <v>34.35</v>
      </c>
      <c r="F55" s="128">
        <v>1041</v>
      </c>
      <c r="G55" s="124">
        <f t="shared" si="31"/>
        <v>35758.35</v>
      </c>
      <c r="H55" s="37" t="s">
        <v>91</v>
      </c>
      <c r="I55" s="123">
        <v>8</v>
      </c>
      <c r="J55" s="39">
        <v>3000</v>
      </c>
      <c r="K55" s="17">
        <f t="shared" si="1"/>
        <v>375</v>
      </c>
      <c r="L55" s="123">
        <v>8</v>
      </c>
      <c r="M55" s="18">
        <f t="shared" si="32"/>
        <v>2974.2857142857133</v>
      </c>
      <c r="N55" s="18">
        <f t="shared" si="3"/>
        <v>371.78571428571416</v>
      </c>
      <c r="O55" s="19">
        <f t="shared" si="4"/>
        <v>0</v>
      </c>
      <c r="P55" s="20">
        <f t="shared" si="5"/>
        <v>-3.2142857142858361</v>
      </c>
      <c r="Q55" s="125">
        <f t="shared" si="6"/>
        <v>0.9914285714285711</v>
      </c>
      <c r="R55" s="644"/>
      <c r="S55" s="40">
        <v>0.42916666666666664</v>
      </c>
      <c r="T55" s="40">
        <v>0.44374999999999998</v>
      </c>
      <c r="U55" s="124">
        <f t="shared" si="34"/>
        <v>6.9999999999999751</v>
      </c>
      <c r="V55" s="126">
        <f t="shared" si="33"/>
        <v>21.000000000000007</v>
      </c>
      <c r="W55" s="23"/>
      <c r="X55" s="23"/>
      <c r="Y55" s="26"/>
      <c r="Z55" s="26"/>
      <c r="AA55" s="627"/>
      <c r="AB55" s="628"/>
      <c r="AC55" s="25"/>
      <c r="AD55" s="25"/>
      <c r="AE55" s="19">
        <f t="shared" si="8"/>
        <v>-25.714285714286689</v>
      </c>
      <c r="AF55" s="125">
        <f t="shared" si="9"/>
        <v>0.9914285714285711</v>
      </c>
      <c r="AG55" s="644"/>
    </row>
    <row r="56" spans="1:33" ht="15.75" customHeight="1">
      <c r="A56" s="650" t="s">
        <v>417</v>
      </c>
      <c r="B56" s="42" t="s">
        <v>408</v>
      </c>
      <c r="C56" s="629"/>
      <c r="D56" s="630"/>
      <c r="E56" s="134"/>
      <c r="F56" s="128"/>
      <c r="G56" s="124"/>
      <c r="H56" s="128"/>
      <c r="I56" s="29">
        <v>9.25</v>
      </c>
      <c r="J56" s="39">
        <v>3000</v>
      </c>
      <c r="K56" s="17">
        <f t="shared" si="1"/>
        <v>324.32432432432432</v>
      </c>
      <c r="L56" s="29">
        <v>9.25</v>
      </c>
      <c r="M56" s="18">
        <f>AVERAGE(M52:M55)</f>
        <v>2891.9542957042959</v>
      </c>
      <c r="N56" s="17">
        <f t="shared" si="3"/>
        <v>312.64370764370767</v>
      </c>
      <c r="O56" s="19">
        <f t="shared" si="4"/>
        <v>0</v>
      </c>
      <c r="P56" s="20">
        <f t="shared" si="5"/>
        <v>-11.680616680616652</v>
      </c>
      <c r="Q56" s="125">
        <f t="shared" si="6"/>
        <v>0.96398476523476528</v>
      </c>
      <c r="R56" s="645"/>
      <c r="S56" s="40"/>
      <c r="T56" s="40"/>
      <c r="U56" s="124"/>
      <c r="V56" s="126"/>
      <c r="W56" s="23"/>
      <c r="X56" s="23"/>
      <c r="Y56" s="30">
        <f>SUM(Y52:Y55)</f>
        <v>0</v>
      </c>
      <c r="Z56" s="30">
        <f>SUM(Z52:Z55)</f>
        <v>0</v>
      </c>
      <c r="AA56" s="646"/>
      <c r="AB56" s="647"/>
      <c r="AC56" s="30">
        <v>4</v>
      </c>
      <c r="AD56" s="30">
        <f>SUM(AD52:AD55)</f>
        <v>0</v>
      </c>
      <c r="AE56" s="19">
        <f t="shared" si="8"/>
        <v>-108.04570429570413</v>
      </c>
      <c r="AF56" s="125">
        <f t="shared" si="9"/>
        <v>0.96398476523476528</v>
      </c>
      <c r="AG56" s="645"/>
    </row>
    <row r="57" spans="1:33" ht="15.75" customHeight="1">
      <c r="A57" s="641" t="s">
        <v>418</v>
      </c>
      <c r="B57" s="42" t="s">
        <v>92</v>
      </c>
      <c r="C57" s="633" t="s">
        <v>133</v>
      </c>
      <c r="D57" s="633"/>
      <c r="E57" s="42">
        <v>59.04</v>
      </c>
      <c r="F57" s="48">
        <v>1973</v>
      </c>
      <c r="G57" s="124">
        <f t="shared" ref="G57:G66" si="35">E57*F57</f>
        <v>116485.92</v>
      </c>
      <c r="H57" s="37" t="s">
        <v>91</v>
      </c>
      <c r="I57" s="123">
        <v>19</v>
      </c>
      <c r="J57" s="39">
        <v>2000</v>
      </c>
      <c r="K57" s="17">
        <f t="shared" si="1"/>
        <v>105.26315789473684</v>
      </c>
      <c r="L57" s="123">
        <v>19</v>
      </c>
      <c r="M57" s="18">
        <f t="shared" ref="M57" si="36">F57/V57*60</f>
        <v>1909.3548387096778</v>
      </c>
      <c r="N57" s="18">
        <f t="shared" si="3"/>
        <v>100.49235993208831</v>
      </c>
      <c r="O57" s="19">
        <f t="shared" si="4"/>
        <v>0</v>
      </c>
      <c r="P57" s="20">
        <f t="shared" si="5"/>
        <v>-4.7707979626485297</v>
      </c>
      <c r="Q57" s="125">
        <f t="shared" si="6"/>
        <v>0.95467741935483896</v>
      </c>
      <c r="R57" s="637">
        <f>Q67</f>
        <v>0.95648019829665643</v>
      </c>
      <c r="S57" s="40">
        <v>8.3333333333333329E-2</v>
      </c>
      <c r="T57" s="40">
        <v>0.12638888888888888</v>
      </c>
      <c r="U57" s="28"/>
      <c r="V57" s="126">
        <f t="shared" ref="V57:V66" si="37">(T57-S57)*24*60</f>
        <v>61.999999999999993</v>
      </c>
      <c r="W57" s="23">
        <f>T57</f>
        <v>0.12638888888888888</v>
      </c>
      <c r="X57" s="23">
        <f>S58</f>
        <v>0.14583333333333331</v>
      </c>
      <c r="Y57" s="28"/>
      <c r="Z57" s="28"/>
      <c r="AA57" s="632"/>
      <c r="AB57" s="632"/>
      <c r="AC57" s="25">
        <v>10</v>
      </c>
      <c r="AD57" s="25"/>
      <c r="AE57" s="19">
        <f t="shared" si="8"/>
        <v>-90.645161290322221</v>
      </c>
      <c r="AF57" s="125">
        <f t="shared" si="9"/>
        <v>0.95467741935483885</v>
      </c>
      <c r="AG57" s="637">
        <f>AF67</f>
        <v>0.95648019829665643</v>
      </c>
    </row>
    <row r="58" spans="1:33" ht="15.75" customHeight="1">
      <c r="A58" s="641" t="s">
        <v>419</v>
      </c>
      <c r="B58" s="42" t="s">
        <v>103</v>
      </c>
      <c r="C58" s="633" t="s">
        <v>132</v>
      </c>
      <c r="D58" s="633"/>
      <c r="E58" s="42">
        <v>51.44</v>
      </c>
      <c r="F58" s="48">
        <v>5134</v>
      </c>
      <c r="G58" s="124">
        <f t="shared" si="35"/>
        <v>264092.95999999996</v>
      </c>
      <c r="H58" s="37" t="s">
        <v>91</v>
      </c>
      <c r="I58" s="123">
        <v>18</v>
      </c>
      <c r="J58" s="39">
        <v>2000</v>
      </c>
      <c r="K58" s="17">
        <f t="shared" si="1"/>
        <v>111.11111111111111</v>
      </c>
      <c r="L58" s="123">
        <v>18</v>
      </c>
      <c r="M58" s="18">
        <f>F58/V58*60</f>
        <v>1913.2919254658384</v>
      </c>
      <c r="N58" s="18">
        <f t="shared" si="3"/>
        <v>106.29399585921324</v>
      </c>
      <c r="O58" s="19">
        <f t="shared" si="4"/>
        <v>0</v>
      </c>
      <c r="P58" s="20">
        <f t="shared" si="5"/>
        <v>-4.8171152518978744</v>
      </c>
      <c r="Q58" s="125">
        <f t="shared" si="6"/>
        <v>0.95664596273291913</v>
      </c>
      <c r="R58" s="637"/>
      <c r="S58" s="40">
        <v>0.14583333333333331</v>
      </c>
      <c r="T58" s="40">
        <v>0.25763888888888886</v>
      </c>
      <c r="U58" s="124">
        <f t="shared" ref="U58:U66" si="38">IF(S58=TIME(17,0,0),"",(S58-T57)*24*60)</f>
        <v>27.999999999999979</v>
      </c>
      <c r="V58" s="126">
        <f t="shared" si="37"/>
        <v>161</v>
      </c>
      <c r="W58" s="23"/>
      <c r="X58" s="23"/>
      <c r="Y58" s="23"/>
      <c r="Z58" s="23"/>
      <c r="AA58" s="632"/>
      <c r="AB58" s="632"/>
      <c r="AC58" s="25"/>
      <c r="AD58" s="25"/>
      <c r="AE58" s="19">
        <f t="shared" si="8"/>
        <v>-86.708074534161597</v>
      </c>
      <c r="AF58" s="125">
        <f t="shared" si="9"/>
        <v>0.95664596273291924</v>
      </c>
      <c r="AG58" s="637"/>
    </row>
    <row r="59" spans="1:33" ht="15.75" customHeight="1">
      <c r="A59" s="641" t="s">
        <v>419</v>
      </c>
      <c r="B59" s="42" t="s">
        <v>92</v>
      </c>
      <c r="C59" s="625" t="s">
        <v>134</v>
      </c>
      <c r="D59" s="626"/>
      <c r="E59" s="42">
        <v>56.43</v>
      </c>
      <c r="F59" s="48">
        <v>1465</v>
      </c>
      <c r="G59" s="124">
        <f t="shared" si="35"/>
        <v>82669.95</v>
      </c>
      <c r="H59" s="37" t="s">
        <v>91</v>
      </c>
      <c r="I59" s="123">
        <v>22</v>
      </c>
      <c r="J59" s="39">
        <v>2000</v>
      </c>
      <c r="K59" s="17">
        <f t="shared" si="1"/>
        <v>90.909090909090907</v>
      </c>
      <c r="L59" s="123">
        <v>22</v>
      </c>
      <c r="M59" s="18">
        <f t="shared" ref="M59:M66" si="39">F59/V59*60</f>
        <v>1910.8695652173915</v>
      </c>
      <c r="N59" s="18">
        <f t="shared" si="3"/>
        <v>86.857707509881436</v>
      </c>
      <c r="O59" s="19">
        <f t="shared" si="4"/>
        <v>0</v>
      </c>
      <c r="P59" s="20">
        <f t="shared" si="5"/>
        <v>-4.0513833992094703</v>
      </c>
      <c r="Q59" s="125">
        <f t="shared" si="6"/>
        <v>0.95543478260869585</v>
      </c>
      <c r="R59" s="637"/>
      <c r="S59" s="40">
        <v>0.26180555555555551</v>
      </c>
      <c r="T59" s="40">
        <v>0.29374999999999996</v>
      </c>
      <c r="U59" s="124">
        <f t="shared" si="38"/>
        <v>5.9999999999999787</v>
      </c>
      <c r="V59" s="126">
        <f t="shared" si="37"/>
        <v>46</v>
      </c>
      <c r="W59" s="23"/>
      <c r="X59" s="23"/>
      <c r="Y59" s="26"/>
      <c r="Z59" s="26"/>
      <c r="AA59" s="632"/>
      <c r="AB59" s="632"/>
      <c r="AC59" s="25"/>
      <c r="AD59" s="25"/>
      <c r="AE59" s="19">
        <f t="shared" si="8"/>
        <v>-89.130434782608518</v>
      </c>
      <c r="AF59" s="125">
        <f t="shared" si="9"/>
        <v>0.95543478260869574</v>
      </c>
      <c r="AG59" s="637"/>
    </row>
    <row r="60" spans="1:33" ht="15.75" customHeight="1">
      <c r="A60" s="641" t="s">
        <v>419</v>
      </c>
      <c r="B60" s="42" t="s">
        <v>92</v>
      </c>
      <c r="C60" s="132" t="s">
        <v>135</v>
      </c>
      <c r="D60" s="133"/>
      <c r="E60" s="42">
        <v>51.44</v>
      </c>
      <c r="F60" s="48">
        <v>2023</v>
      </c>
      <c r="G60" s="124">
        <f t="shared" si="35"/>
        <v>104063.12</v>
      </c>
      <c r="H60" s="37" t="s">
        <v>91</v>
      </c>
      <c r="I60" s="123">
        <v>25</v>
      </c>
      <c r="J60" s="39">
        <v>2000</v>
      </c>
      <c r="K60" s="17">
        <f t="shared" si="1"/>
        <v>80</v>
      </c>
      <c r="L60" s="123">
        <v>25</v>
      </c>
      <c r="M60" s="18">
        <f t="shared" si="39"/>
        <v>1926.6666666666665</v>
      </c>
      <c r="N60" s="18">
        <f t="shared" si="3"/>
        <v>77.066666666666663</v>
      </c>
      <c r="O60" s="19">
        <f t="shared" si="4"/>
        <v>0</v>
      </c>
      <c r="P60" s="20">
        <f t="shared" si="5"/>
        <v>-2.9333333333333371</v>
      </c>
      <c r="Q60" s="125">
        <f t="shared" si="6"/>
        <v>0.96333333333333326</v>
      </c>
      <c r="R60" s="637"/>
      <c r="S60" s="40">
        <v>0.29722222222222217</v>
      </c>
      <c r="T60" s="40">
        <v>0.34097222222222218</v>
      </c>
      <c r="U60" s="124">
        <f t="shared" si="38"/>
        <v>4.9999999999999822</v>
      </c>
      <c r="V60" s="126">
        <f t="shared" si="37"/>
        <v>63.000000000000014</v>
      </c>
      <c r="W60" s="23"/>
      <c r="X60" s="23"/>
      <c r="Y60" s="26"/>
      <c r="Z60" s="26"/>
      <c r="AA60" s="632"/>
      <c r="AB60" s="632"/>
      <c r="AC60" s="25"/>
      <c r="AD60" s="25"/>
      <c r="AE60" s="19">
        <f t="shared" si="8"/>
        <v>-73.333333333333485</v>
      </c>
      <c r="AF60" s="125">
        <f t="shared" si="9"/>
        <v>0.96333333333333326</v>
      </c>
      <c r="AG60" s="637"/>
    </row>
    <row r="61" spans="1:33" ht="15.75" customHeight="1">
      <c r="A61" s="641" t="s">
        <v>419</v>
      </c>
      <c r="B61" s="42" t="s">
        <v>96</v>
      </c>
      <c r="C61" s="132" t="s">
        <v>136</v>
      </c>
      <c r="D61" s="133"/>
      <c r="E61" s="42">
        <v>46</v>
      </c>
      <c r="F61" s="48">
        <v>2005</v>
      </c>
      <c r="G61" s="124">
        <f t="shared" si="35"/>
        <v>92230</v>
      </c>
      <c r="H61" s="37" t="s">
        <v>91</v>
      </c>
      <c r="I61" s="123">
        <v>16</v>
      </c>
      <c r="J61" s="39">
        <v>2000</v>
      </c>
      <c r="K61" s="17">
        <f t="shared" si="1"/>
        <v>125</v>
      </c>
      <c r="L61" s="123">
        <v>16</v>
      </c>
      <c r="M61" s="18">
        <f t="shared" si="39"/>
        <v>1909.5238095238092</v>
      </c>
      <c r="N61" s="18">
        <f t="shared" si="3"/>
        <v>119.34523809523807</v>
      </c>
      <c r="O61" s="19">
        <f t="shared" si="4"/>
        <v>0</v>
      </c>
      <c r="P61" s="20">
        <f t="shared" si="5"/>
        <v>-5.6547619047619264</v>
      </c>
      <c r="Q61" s="125">
        <f t="shared" si="6"/>
        <v>0.95476190476190459</v>
      </c>
      <c r="R61" s="637"/>
      <c r="S61" s="40">
        <v>0.34652777777777771</v>
      </c>
      <c r="T61" s="40">
        <v>0.39027777777777772</v>
      </c>
      <c r="U61" s="124">
        <f t="shared" si="38"/>
        <v>7.9999999999999716</v>
      </c>
      <c r="V61" s="126">
        <f t="shared" si="37"/>
        <v>63.000000000000014</v>
      </c>
      <c r="W61" s="23"/>
      <c r="X61" s="23"/>
      <c r="Y61" s="26"/>
      <c r="Z61" s="26"/>
      <c r="AA61" s="632"/>
      <c r="AB61" s="632"/>
      <c r="AC61" s="25"/>
      <c r="AD61" s="25"/>
      <c r="AE61" s="19">
        <f t="shared" si="8"/>
        <v>-90.476190476190823</v>
      </c>
      <c r="AF61" s="125">
        <f t="shared" si="9"/>
        <v>0.95476190476190459</v>
      </c>
      <c r="AG61" s="637"/>
    </row>
    <row r="62" spans="1:33" ht="15.75" customHeight="1">
      <c r="A62" s="641" t="s">
        <v>419</v>
      </c>
      <c r="B62" s="42" t="s">
        <v>96</v>
      </c>
      <c r="C62" s="625" t="s">
        <v>137</v>
      </c>
      <c r="D62" s="626"/>
      <c r="E62" s="42">
        <v>46</v>
      </c>
      <c r="F62" s="48">
        <v>2259</v>
      </c>
      <c r="G62" s="124">
        <f t="shared" si="35"/>
        <v>103914</v>
      </c>
      <c r="H62" s="37" t="s">
        <v>91</v>
      </c>
      <c r="I62" s="123">
        <v>17</v>
      </c>
      <c r="J62" s="39">
        <v>2000</v>
      </c>
      <c r="K62" s="17">
        <f t="shared" si="1"/>
        <v>117.64705882352941</v>
      </c>
      <c r="L62" s="123">
        <v>17</v>
      </c>
      <c r="M62" s="18">
        <f t="shared" si="39"/>
        <v>1909.0140845070428</v>
      </c>
      <c r="N62" s="18">
        <f t="shared" si="3"/>
        <v>112.2949461474731</v>
      </c>
      <c r="O62" s="19">
        <f t="shared" si="4"/>
        <v>0</v>
      </c>
      <c r="P62" s="20">
        <f t="shared" si="5"/>
        <v>-5.3521126760563078</v>
      </c>
      <c r="Q62" s="125">
        <f t="shared" si="6"/>
        <v>0.95450704225352134</v>
      </c>
      <c r="R62" s="637"/>
      <c r="S62" s="40">
        <v>0.39374999999999993</v>
      </c>
      <c r="T62" s="40">
        <v>0.44305555555555548</v>
      </c>
      <c r="U62" s="124">
        <f t="shared" si="38"/>
        <v>4.9999999999999822</v>
      </c>
      <c r="V62" s="126">
        <f t="shared" si="37"/>
        <v>70.999999999999986</v>
      </c>
      <c r="W62" s="23"/>
      <c r="X62" s="23"/>
      <c r="Y62" s="26"/>
      <c r="Z62" s="26"/>
      <c r="AA62" s="627"/>
      <c r="AB62" s="628"/>
      <c r="AC62" s="25"/>
      <c r="AD62" s="25"/>
      <c r="AE62" s="19">
        <f t="shared" si="8"/>
        <v>-90.985915492957247</v>
      </c>
      <c r="AF62" s="125">
        <f t="shared" si="9"/>
        <v>0.95450704225352134</v>
      </c>
      <c r="AG62" s="637"/>
    </row>
    <row r="63" spans="1:33" ht="15.75" customHeight="1">
      <c r="A63" s="641" t="s">
        <v>419</v>
      </c>
      <c r="B63" s="42" t="s">
        <v>92</v>
      </c>
      <c r="C63" s="625" t="s">
        <v>138</v>
      </c>
      <c r="D63" s="626"/>
      <c r="E63" s="42">
        <v>55.56</v>
      </c>
      <c r="F63" s="48">
        <v>2831</v>
      </c>
      <c r="G63" s="124">
        <f t="shared" si="35"/>
        <v>157290.36000000002</v>
      </c>
      <c r="H63" s="37" t="s">
        <v>91</v>
      </c>
      <c r="I63" s="123">
        <v>17</v>
      </c>
      <c r="J63" s="39">
        <v>2000</v>
      </c>
      <c r="K63" s="17">
        <f t="shared" si="1"/>
        <v>117.64705882352941</v>
      </c>
      <c r="L63" s="123">
        <v>17</v>
      </c>
      <c r="M63" s="18">
        <f t="shared" si="39"/>
        <v>1908.5393258426966</v>
      </c>
      <c r="N63" s="18">
        <f t="shared" si="3"/>
        <v>112.26701916721744</v>
      </c>
      <c r="O63" s="19">
        <f t="shared" si="4"/>
        <v>0</v>
      </c>
      <c r="P63" s="20">
        <f t="shared" si="5"/>
        <v>-5.3800396563119648</v>
      </c>
      <c r="Q63" s="125">
        <f t="shared" si="6"/>
        <v>0.95426966292134829</v>
      </c>
      <c r="R63" s="637"/>
      <c r="S63" s="40">
        <v>0.70833333333333337</v>
      </c>
      <c r="T63" s="40">
        <v>0.77013888888888893</v>
      </c>
      <c r="U63" s="124" t="str">
        <f t="shared" si="38"/>
        <v/>
      </c>
      <c r="V63" s="126">
        <f t="shared" si="37"/>
        <v>89</v>
      </c>
      <c r="W63" s="23"/>
      <c r="X63" s="23"/>
      <c r="Y63" s="26"/>
      <c r="Z63" s="26"/>
      <c r="AA63" s="627"/>
      <c r="AB63" s="628"/>
      <c r="AC63" s="25"/>
      <c r="AD63" s="25"/>
      <c r="AE63" s="19">
        <f t="shared" si="8"/>
        <v>-91.460674157303401</v>
      </c>
      <c r="AF63" s="125">
        <f t="shared" si="9"/>
        <v>0.95426966292134829</v>
      </c>
      <c r="AG63" s="637"/>
    </row>
    <row r="64" spans="1:33" ht="15.75" customHeight="1">
      <c r="A64" s="641" t="s">
        <v>419</v>
      </c>
      <c r="B64" s="42" t="s">
        <v>92</v>
      </c>
      <c r="C64" s="625" t="s">
        <v>139</v>
      </c>
      <c r="D64" s="626"/>
      <c r="E64" s="42">
        <v>54.09</v>
      </c>
      <c r="F64" s="48">
        <v>383</v>
      </c>
      <c r="G64" s="124">
        <f t="shared" si="35"/>
        <v>20716.47</v>
      </c>
      <c r="H64" s="37" t="s">
        <v>91</v>
      </c>
      <c r="I64" s="123">
        <v>13</v>
      </c>
      <c r="J64" s="39">
        <v>2000</v>
      </c>
      <c r="K64" s="17">
        <f t="shared" si="1"/>
        <v>153.84615384615384</v>
      </c>
      <c r="L64" s="123">
        <v>13</v>
      </c>
      <c r="M64" s="18">
        <f t="shared" si="39"/>
        <v>1915.0000000000068</v>
      </c>
      <c r="N64" s="18">
        <f t="shared" si="3"/>
        <v>147.30769230769283</v>
      </c>
      <c r="O64" s="19">
        <f t="shared" si="4"/>
        <v>0</v>
      </c>
      <c r="P64" s="20">
        <f t="shared" si="5"/>
        <v>-6.5384615384610072</v>
      </c>
      <c r="Q64" s="125">
        <f t="shared" si="6"/>
        <v>0.95750000000000346</v>
      </c>
      <c r="R64" s="637"/>
      <c r="S64" s="40">
        <v>0.77500000000000002</v>
      </c>
      <c r="T64" s="40">
        <v>0.78333333333333333</v>
      </c>
      <c r="U64" s="124">
        <f t="shared" si="38"/>
        <v>6.9999999999999751</v>
      </c>
      <c r="V64" s="126">
        <f t="shared" si="37"/>
        <v>11.999999999999957</v>
      </c>
      <c r="W64" s="23"/>
      <c r="X64" s="23"/>
      <c r="Y64" s="26"/>
      <c r="Z64" s="26"/>
      <c r="AA64" s="627"/>
      <c r="AB64" s="628"/>
      <c r="AC64" s="25"/>
      <c r="AD64" s="25"/>
      <c r="AE64" s="19">
        <f t="shared" si="8"/>
        <v>-84.999999999993179</v>
      </c>
      <c r="AF64" s="125">
        <f t="shared" si="9"/>
        <v>0.95750000000000346</v>
      </c>
      <c r="AG64" s="637"/>
    </row>
    <row r="65" spans="1:33">
      <c r="A65" s="641" t="s">
        <v>419</v>
      </c>
      <c r="B65" s="42" t="s">
        <v>92</v>
      </c>
      <c r="C65" s="132" t="s">
        <v>420</v>
      </c>
      <c r="D65" s="133"/>
      <c r="E65" s="42">
        <v>58.17</v>
      </c>
      <c r="F65" s="48">
        <v>1600</v>
      </c>
      <c r="G65" s="124">
        <f t="shared" si="35"/>
        <v>93072</v>
      </c>
      <c r="H65" s="37">
        <v>2</v>
      </c>
      <c r="I65" s="123">
        <v>13</v>
      </c>
      <c r="J65" s="39">
        <v>2000</v>
      </c>
      <c r="K65" s="17">
        <f t="shared" si="1"/>
        <v>153.84615384615384</v>
      </c>
      <c r="L65" s="123">
        <v>13</v>
      </c>
      <c r="M65" s="18">
        <f t="shared" si="39"/>
        <v>1920.0000000000005</v>
      </c>
      <c r="N65" s="18">
        <f t="shared" si="3"/>
        <v>147.69230769230774</v>
      </c>
      <c r="O65" s="19">
        <f t="shared" si="4"/>
        <v>0</v>
      </c>
      <c r="P65" s="20">
        <f t="shared" si="5"/>
        <v>-6.1538461538461036</v>
      </c>
      <c r="Q65" s="125">
        <f t="shared" si="6"/>
        <v>0.9600000000000003</v>
      </c>
      <c r="R65" s="637"/>
      <c r="S65" s="40">
        <v>0.78749999999999998</v>
      </c>
      <c r="T65" s="40">
        <v>0.82222222222222219</v>
      </c>
      <c r="U65" s="124">
        <f t="shared" si="38"/>
        <v>5.9999999999999787</v>
      </c>
      <c r="V65" s="126">
        <f t="shared" si="37"/>
        <v>49.999999999999986</v>
      </c>
      <c r="W65" s="23">
        <f>T65</f>
        <v>0.82222222222222219</v>
      </c>
      <c r="X65" s="23">
        <f>S66</f>
        <v>0.86458333333333326</v>
      </c>
      <c r="Y65" s="26"/>
      <c r="Z65" s="26"/>
      <c r="AA65" s="130"/>
      <c r="AB65" s="131"/>
      <c r="AC65" s="25"/>
      <c r="AD65" s="25"/>
      <c r="AE65" s="19">
        <f t="shared" si="8"/>
        <v>-79.999999999999545</v>
      </c>
      <c r="AF65" s="125">
        <f t="shared" si="9"/>
        <v>0.96000000000000019</v>
      </c>
      <c r="AG65" s="637"/>
    </row>
    <row r="66" spans="1:33">
      <c r="A66" s="641" t="s">
        <v>419</v>
      </c>
      <c r="B66" s="42" t="s">
        <v>92</v>
      </c>
      <c r="C66" s="625" t="s">
        <v>420</v>
      </c>
      <c r="D66" s="626"/>
      <c r="E66" s="42">
        <v>58.17</v>
      </c>
      <c r="F66" s="48">
        <v>4069</v>
      </c>
      <c r="G66" s="124">
        <f t="shared" si="35"/>
        <v>236693.73</v>
      </c>
      <c r="H66" s="37" t="s">
        <v>91</v>
      </c>
      <c r="I66" s="123">
        <v>13</v>
      </c>
      <c r="J66" s="39">
        <v>2000</v>
      </c>
      <c r="K66" s="17">
        <f t="shared" si="1"/>
        <v>153.84615384615384</v>
      </c>
      <c r="L66" s="123">
        <v>13</v>
      </c>
      <c r="M66" s="18">
        <f t="shared" si="39"/>
        <v>1907.3437499999995</v>
      </c>
      <c r="N66" s="18">
        <f t="shared" si="3"/>
        <v>146.71874999999997</v>
      </c>
      <c r="O66" s="19">
        <f t="shared" si="4"/>
        <v>0</v>
      </c>
      <c r="P66" s="20">
        <f t="shared" si="5"/>
        <v>-7.127403846153868</v>
      </c>
      <c r="Q66" s="125">
        <f t="shared" si="6"/>
        <v>0.95367187499999984</v>
      </c>
      <c r="R66" s="637"/>
      <c r="S66" s="40">
        <v>0.86458333333333326</v>
      </c>
      <c r="T66" s="40">
        <v>0.95347222222222217</v>
      </c>
      <c r="U66" s="124">
        <f t="shared" si="38"/>
        <v>60.999999999999943</v>
      </c>
      <c r="V66" s="126">
        <f t="shared" si="37"/>
        <v>128.00000000000003</v>
      </c>
      <c r="W66" s="23"/>
      <c r="X66" s="23"/>
      <c r="Y66" s="26"/>
      <c r="Z66" s="26"/>
      <c r="AA66" s="627"/>
      <c r="AB66" s="628"/>
      <c r="AC66" s="25"/>
      <c r="AD66" s="25"/>
      <c r="AE66" s="19">
        <f t="shared" si="8"/>
        <v>-92.656250000000455</v>
      </c>
      <c r="AF66" s="125">
        <f t="shared" si="9"/>
        <v>0.95367187499999972</v>
      </c>
      <c r="AG66" s="637"/>
    </row>
    <row r="67" spans="1:33">
      <c r="A67" s="642" t="s">
        <v>419</v>
      </c>
      <c r="B67" s="42" t="s">
        <v>408</v>
      </c>
      <c r="C67" s="638"/>
      <c r="D67" s="638"/>
      <c r="E67" s="129"/>
      <c r="F67" s="44"/>
      <c r="G67" s="17"/>
      <c r="H67" s="128"/>
      <c r="I67" s="29">
        <v>17.3</v>
      </c>
      <c r="J67" s="39">
        <v>2000</v>
      </c>
      <c r="K67" s="17">
        <f t="shared" si="1"/>
        <v>115.60693641618496</v>
      </c>
      <c r="L67" s="29">
        <v>17.3</v>
      </c>
      <c r="M67" s="18">
        <f>AVERAGE(M57:M66)</f>
        <v>1912.9603965933129</v>
      </c>
      <c r="N67" s="17">
        <f t="shared" si="3"/>
        <v>110.57574546782155</v>
      </c>
      <c r="O67" s="19">
        <f t="shared" si="4"/>
        <v>0</v>
      </c>
      <c r="P67" s="20">
        <f t="shared" si="5"/>
        <v>-5.0311909483634167</v>
      </c>
      <c r="Q67" s="125">
        <f t="shared" si="6"/>
        <v>0.95648019829665643</v>
      </c>
      <c r="R67" s="637"/>
      <c r="S67" s="40"/>
      <c r="T67" s="40"/>
      <c r="U67" s="124"/>
      <c r="V67" s="126"/>
      <c r="W67" s="17"/>
      <c r="X67" s="17"/>
      <c r="Y67" s="30">
        <f>SUM(Y57:Y66)</f>
        <v>0</v>
      </c>
      <c r="Z67" s="30">
        <f>SUM(Z57:Z66)</f>
        <v>0</v>
      </c>
      <c r="AA67" s="631"/>
      <c r="AB67" s="631"/>
      <c r="AC67" s="30">
        <v>10</v>
      </c>
      <c r="AD67" s="30">
        <f>SUM(AD57:AD66)</f>
        <v>0</v>
      </c>
      <c r="AE67" s="19">
        <f>M67-J67</f>
        <v>-87.039603406687093</v>
      </c>
      <c r="AF67" s="125">
        <f t="shared" si="9"/>
        <v>0.95648019829665643</v>
      </c>
      <c r="AG67" s="637"/>
    </row>
    <row r="68" spans="1:33" ht="15.75" customHeight="1">
      <c r="A68" s="639" t="s">
        <v>421</v>
      </c>
      <c r="B68" s="128" t="s">
        <v>127</v>
      </c>
      <c r="C68" s="633" t="s">
        <v>141</v>
      </c>
      <c r="D68" s="633"/>
      <c r="E68" s="42">
        <v>35.119999999999997</v>
      </c>
      <c r="F68" s="48">
        <v>5108</v>
      </c>
      <c r="G68" s="124">
        <f t="shared" ref="G68:G71" si="40">E68*F68</f>
        <v>179392.96</v>
      </c>
      <c r="H68" s="37" t="s">
        <v>91</v>
      </c>
      <c r="I68" s="123">
        <v>10</v>
      </c>
      <c r="J68" s="39">
        <v>3000</v>
      </c>
      <c r="K68" s="17">
        <f t="shared" si="1"/>
        <v>300</v>
      </c>
      <c r="L68" s="123">
        <v>10</v>
      </c>
      <c r="M68" s="18">
        <f t="shared" ref="M68:M71" si="41">F68/V68*60</f>
        <v>2864.2990654205614</v>
      </c>
      <c r="N68" s="17">
        <f t="shared" si="3"/>
        <v>286.42990654205613</v>
      </c>
      <c r="O68" s="19">
        <f t="shared" si="4"/>
        <v>0</v>
      </c>
      <c r="P68" s="20">
        <f t="shared" si="5"/>
        <v>-13.570093457943869</v>
      </c>
      <c r="Q68" s="125">
        <f t="shared" si="6"/>
        <v>0.95476635514018715</v>
      </c>
      <c r="R68" s="637">
        <f>Q72</f>
        <v>0.96092661182652128</v>
      </c>
      <c r="S68" s="40">
        <v>0.20833333333333334</v>
      </c>
      <c r="T68" s="40">
        <v>0.28263888888888888</v>
      </c>
      <c r="U68" s="124"/>
      <c r="V68" s="126">
        <f t="shared" ref="V68:V71" si="42">(T68-S68)*24*60</f>
        <v>106.99999999999999</v>
      </c>
      <c r="W68" s="23"/>
      <c r="X68" s="23"/>
      <c r="Y68" s="28"/>
      <c r="Z68" s="28"/>
      <c r="AA68" s="632"/>
      <c r="AB68" s="632"/>
      <c r="AC68" s="25">
        <v>4</v>
      </c>
      <c r="AD68" s="25"/>
      <c r="AE68" s="19">
        <f t="shared" ref="AE68:AE83" si="43">M68-J68</f>
        <v>-135.70093457943858</v>
      </c>
      <c r="AF68" s="125">
        <f t="shared" si="9"/>
        <v>0.95476635514018715</v>
      </c>
      <c r="AG68" s="637">
        <f>AF72</f>
        <v>0.96092661182652139</v>
      </c>
    </row>
    <row r="69" spans="1:33" ht="15.75" customHeight="1">
      <c r="A69" s="639" t="s">
        <v>421</v>
      </c>
      <c r="B69" s="128" t="s">
        <v>127</v>
      </c>
      <c r="C69" s="633" t="s">
        <v>142</v>
      </c>
      <c r="D69" s="633"/>
      <c r="E69" s="42">
        <v>26.78</v>
      </c>
      <c r="F69" s="48">
        <v>2982</v>
      </c>
      <c r="G69" s="124">
        <f t="shared" si="40"/>
        <v>79857.960000000006</v>
      </c>
      <c r="H69" s="37" t="s">
        <v>91</v>
      </c>
      <c r="I69" s="123">
        <v>10</v>
      </c>
      <c r="J69" s="39">
        <v>3000</v>
      </c>
      <c r="K69" s="17">
        <f t="shared" ref="K69:K83" si="44">J69/I69</f>
        <v>300</v>
      </c>
      <c r="L69" s="123">
        <v>10</v>
      </c>
      <c r="M69" s="18">
        <f t="shared" si="41"/>
        <v>2885.806451612902</v>
      </c>
      <c r="N69" s="17">
        <f t="shared" ref="N69:N83" si="45">M69/L69</f>
        <v>288.58064516129019</v>
      </c>
      <c r="O69" s="19">
        <f t="shared" ref="O69:O83" si="46">L69-I69</f>
        <v>0</v>
      </c>
      <c r="P69" s="20">
        <f t="shared" ref="P69:P83" si="47">N69-K69</f>
        <v>-11.419354838709808</v>
      </c>
      <c r="Q69" s="125">
        <f t="shared" ref="Q69:Q83" si="48">N69/K69</f>
        <v>0.96193548387096728</v>
      </c>
      <c r="R69" s="637"/>
      <c r="S69" s="40">
        <v>0.28611111111111109</v>
      </c>
      <c r="T69" s="40">
        <v>0.32916666666666666</v>
      </c>
      <c r="U69" s="124">
        <f t="shared" ref="U69:U71" si="49">(S69-T68)*24*60</f>
        <v>4.9999999999999822</v>
      </c>
      <c r="V69" s="126">
        <f t="shared" si="42"/>
        <v>62.000000000000021</v>
      </c>
      <c r="W69" s="124"/>
      <c r="X69" s="124"/>
      <c r="Y69" s="124"/>
      <c r="Z69" s="124"/>
      <c r="AA69" s="632"/>
      <c r="AB69" s="632"/>
      <c r="AC69" s="25"/>
      <c r="AD69" s="25"/>
      <c r="AE69" s="19">
        <f t="shared" si="43"/>
        <v>-114.19354838709796</v>
      </c>
      <c r="AF69" s="125">
        <f t="shared" ref="AF69:AF83" si="50">M69/J69</f>
        <v>0.96193548387096739</v>
      </c>
      <c r="AG69" s="637"/>
    </row>
    <row r="70" spans="1:33" ht="15.75" customHeight="1">
      <c r="A70" s="639" t="s">
        <v>421</v>
      </c>
      <c r="B70" s="128" t="s">
        <v>127</v>
      </c>
      <c r="C70" s="633" t="s">
        <v>143</v>
      </c>
      <c r="D70" s="633"/>
      <c r="E70" s="42">
        <v>36.14</v>
      </c>
      <c r="F70" s="48">
        <v>2042</v>
      </c>
      <c r="G70" s="124">
        <f t="shared" si="40"/>
        <v>73797.88</v>
      </c>
      <c r="H70" s="37" t="s">
        <v>91</v>
      </c>
      <c r="I70" s="123">
        <v>11</v>
      </c>
      <c r="J70" s="39">
        <v>3000</v>
      </c>
      <c r="K70" s="17">
        <f t="shared" si="44"/>
        <v>272.72727272727275</v>
      </c>
      <c r="L70" s="123">
        <v>11</v>
      </c>
      <c r="M70" s="18">
        <f t="shared" si="41"/>
        <v>2917.142857142856</v>
      </c>
      <c r="N70" s="17">
        <f t="shared" si="45"/>
        <v>265.1948051948051</v>
      </c>
      <c r="O70" s="19">
        <f t="shared" si="46"/>
        <v>0</v>
      </c>
      <c r="P70" s="20">
        <f t="shared" si="47"/>
        <v>-7.5324675324676491</v>
      </c>
      <c r="Q70" s="125">
        <f t="shared" si="48"/>
        <v>0.9723809523809519</v>
      </c>
      <c r="R70" s="637"/>
      <c r="S70" s="40">
        <v>0.33402777777777776</v>
      </c>
      <c r="T70" s="40">
        <v>0.36319444444444443</v>
      </c>
      <c r="U70" s="124">
        <f t="shared" si="49"/>
        <v>6.9999999999999751</v>
      </c>
      <c r="V70" s="126">
        <f t="shared" si="42"/>
        <v>42.000000000000014</v>
      </c>
      <c r="W70" s="124"/>
      <c r="X70" s="124"/>
      <c r="Y70" s="124"/>
      <c r="Z70" s="124"/>
      <c r="AA70" s="632"/>
      <c r="AB70" s="632"/>
      <c r="AC70" s="25"/>
      <c r="AD70" s="25"/>
      <c r="AE70" s="19">
        <f t="shared" si="43"/>
        <v>-82.857142857144026</v>
      </c>
      <c r="AF70" s="125">
        <f t="shared" si="50"/>
        <v>0.97238095238095201</v>
      </c>
      <c r="AG70" s="637"/>
    </row>
    <row r="71" spans="1:33" ht="15.75" customHeight="1">
      <c r="A71" s="639" t="s">
        <v>421</v>
      </c>
      <c r="B71" s="128" t="s">
        <v>127</v>
      </c>
      <c r="C71" s="633" t="s">
        <v>144</v>
      </c>
      <c r="D71" s="633"/>
      <c r="E71" s="42">
        <v>35.869999999999997</v>
      </c>
      <c r="F71" s="48">
        <v>4439</v>
      </c>
      <c r="G71" s="124">
        <f t="shared" si="40"/>
        <v>159226.93</v>
      </c>
      <c r="H71" s="37" t="s">
        <v>91</v>
      </c>
      <c r="I71" s="123">
        <v>10</v>
      </c>
      <c r="J71" s="39">
        <v>3000</v>
      </c>
      <c r="K71" s="17">
        <f t="shared" si="44"/>
        <v>300</v>
      </c>
      <c r="L71" s="123">
        <v>10</v>
      </c>
      <c r="M71" s="18">
        <f t="shared" si="41"/>
        <v>2863.8709677419361</v>
      </c>
      <c r="N71" s="17">
        <f t="shared" si="45"/>
        <v>286.38709677419359</v>
      </c>
      <c r="O71" s="19">
        <f t="shared" si="46"/>
        <v>0</v>
      </c>
      <c r="P71" s="20">
        <f t="shared" si="47"/>
        <v>-13.612903225806406</v>
      </c>
      <c r="Q71" s="125">
        <f t="shared" si="48"/>
        <v>0.95462365591397869</v>
      </c>
      <c r="R71" s="637"/>
      <c r="S71" s="40">
        <v>0.36805555555555552</v>
      </c>
      <c r="T71" s="40">
        <v>0.43263888888888885</v>
      </c>
      <c r="U71" s="124">
        <f t="shared" si="49"/>
        <v>6.9999999999999751</v>
      </c>
      <c r="V71" s="126">
        <f t="shared" si="42"/>
        <v>92.999999999999986</v>
      </c>
      <c r="W71" s="124"/>
      <c r="X71" s="124"/>
      <c r="Y71" s="124"/>
      <c r="Z71" s="124"/>
      <c r="AA71" s="632"/>
      <c r="AB71" s="632"/>
      <c r="AC71" s="25"/>
      <c r="AD71" s="25"/>
      <c r="AE71" s="19">
        <f t="shared" si="43"/>
        <v>-136.12903225806394</v>
      </c>
      <c r="AF71" s="125">
        <f t="shared" si="50"/>
        <v>0.95462365591397869</v>
      </c>
      <c r="AG71" s="637"/>
    </row>
    <row r="72" spans="1:33">
      <c r="A72" s="640" t="s">
        <v>421</v>
      </c>
      <c r="B72" s="42" t="s">
        <v>408</v>
      </c>
      <c r="C72" s="638"/>
      <c r="D72" s="638"/>
      <c r="E72" s="129"/>
      <c r="F72" s="44"/>
      <c r="G72" s="17"/>
      <c r="H72" s="128"/>
      <c r="I72" s="29">
        <v>10.25</v>
      </c>
      <c r="J72" s="39">
        <v>3000</v>
      </c>
      <c r="K72" s="17">
        <f t="shared" si="44"/>
        <v>292.6829268292683</v>
      </c>
      <c r="L72" s="29">
        <v>10.25</v>
      </c>
      <c r="M72" s="18">
        <f>AVERAGE(M68:M71)</f>
        <v>2882.7798354795641</v>
      </c>
      <c r="N72" s="17">
        <f t="shared" si="45"/>
        <v>281.24681321751842</v>
      </c>
      <c r="O72" s="19">
        <f t="shared" si="46"/>
        <v>0</v>
      </c>
      <c r="P72" s="20">
        <f t="shared" si="47"/>
        <v>-11.436113611749875</v>
      </c>
      <c r="Q72" s="125">
        <f t="shared" si="48"/>
        <v>0.96092661182652128</v>
      </c>
      <c r="R72" s="637"/>
      <c r="S72" s="40"/>
      <c r="T72" s="40"/>
      <c r="U72" s="17"/>
      <c r="V72" s="126"/>
      <c r="W72" s="17"/>
      <c r="X72" s="17"/>
      <c r="Y72" s="30">
        <f>SUM(Y68:Y71)</f>
        <v>0</v>
      </c>
      <c r="Z72" s="30">
        <f>SUM(Z68:Z71)</f>
        <v>0</v>
      </c>
      <c r="AA72" s="631"/>
      <c r="AB72" s="631"/>
      <c r="AC72" s="30">
        <v>4</v>
      </c>
      <c r="AD72" s="30">
        <f>SUM(AD68:AD71)</f>
        <v>0</v>
      </c>
      <c r="AE72" s="19">
        <f t="shared" si="43"/>
        <v>-117.2201645204359</v>
      </c>
      <c r="AF72" s="125">
        <f t="shared" si="50"/>
        <v>0.96092661182652139</v>
      </c>
      <c r="AG72" s="637"/>
    </row>
    <row r="73" spans="1:33" ht="15.75" customHeight="1">
      <c r="A73" s="634" t="s">
        <v>315</v>
      </c>
      <c r="B73" s="128" t="s">
        <v>116</v>
      </c>
      <c r="C73" s="633" t="s">
        <v>145</v>
      </c>
      <c r="D73" s="633"/>
      <c r="E73" s="42">
        <v>19.02</v>
      </c>
      <c r="F73" s="128">
        <v>6000</v>
      </c>
      <c r="G73" s="124">
        <f t="shared" ref="G73:G82" si="51">E73*F73</f>
        <v>114120</v>
      </c>
      <c r="H73" s="37">
        <v>2</v>
      </c>
      <c r="I73" s="123">
        <v>14</v>
      </c>
      <c r="J73" s="39">
        <v>2400</v>
      </c>
      <c r="K73" s="17">
        <f t="shared" si="44"/>
        <v>171.42857142857142</v>
      </c>
      <c r="L73" s="123">
        <v>14</v>
      </c>
      <c r="M73" s="18">
        <f t="shared" ref="M73:M82" si="52">F73/V73*60</f>
        <v>2292.993630573249</v>
      </c>
      <c r="N73" s="17">
        <f t="shared" si="45"/>
        <v>163.78525932666065</v>
      </c>
      <c r="O73" s="19">
        <f t="shared" si="46"/>
        <v>0</v>
      </c>
      <c r="P73" s="20">
        <f t="shared" si="47"/>
        <v>-7.6433121019107659</v>
      </c>
      <c r="Q73" s="125">
        <f t="shared" si="48"/>
        <v>0.95541401273885385</v>
      </c>
      <c r="R73" s="637">
        <f>Q83</f>
        <v>0.96030124831884645</v>
      </c>
      <c r="S73" s="40">
        <v>8.3333333333333329E-2</v>
      </c>
      <c r="T73" s="40">
        <v>0.19236111111111109</v>
      </c>
      <c r="U73" s="28"/>
      <c r="V73" s="126">
        <f t="shared" ref="V73:V82" si="53">(T73-S73)*24*60</f>
        <v>156.99999999999997</v>
      </c>
      <c r="W73" s="23">
        <f>T73</f>
        <v>0.19236111111111109</v>
      </c>
      <c r="X73" s="23">
        <f>S74</f>
        <v>0.21111111111111108</v>
      </c>
      <c r="Y73" s="23"/>
      <c r="Z73" s="23"/>
      <c r="AA73" s="632"/>
      <c r="AB73" s="632"/>
      <c r="AC73" s="25">
        <v>10</v>
      </c>
      <c r="AD73" s="25"/>
      <c r="AE73" s="19">
        <f t="shared" si="43"/>
        <v>-107.00636942675101</v>
      </c>
      <c r="AF73" s="125">
        <f t="shared" si="50"/>
        <v>0.95541401273885374</v>
      </c>
      <c r="AG73" s="637">
        <f>AF83</f>
        <v>0.96030124831884645</v>
      </c>
    </row>
    <row r="74" spans="1:33" ht="15.75" customHeight="1">
      <c r="A74" s="635" t="s">
        <v>315</v>
      </c>
      <c r="B74" s="128" t="s">
        <v>116</v>
      </c>
      <c r="C74" s="633" t="s">
        <v>146</v>
      </c>
      <c r="D74" s="633"/>
      <c r="E74" s="42">
        <v>20.36</v>
      </c>
      <c r="F74" s="128">
        <v>2500</v>
      </c>
      <c r="G74" s="124">
        <f t="shared" si="51"/>
        <v>50900</v>
      </c>
      <c r="H74" s="37">
        <v>2</v>
      </c>
      <c r="I74" s="123">
        <v>17</v>
      </c>
      <c r="J74" s="39">
        <v>2400</v>
      </c>
      <c r="K74" s="17">
        <f t="shared" si="44"/>
        <v>141.1764705882353</v>
      </c>
      <c r="L74" s="123">
        <v>17</v>
      </c>
      <c r="M74" s="18">
        <f t="shared" si="52"/>
        <v>2307.6923076923072</v>
      </c>
      <c r="N74" s="17">
        <f t="shared" si="45"/>
        <v>135.7466063348416</v>
      </c>
      <c r="O74" s="19">
        <f t="shared" si="46"/>
        <v>0</v>
      </c>
      <c r="P74" s="20">
        <f t="shared" si="47"/>
        <v>-5.4298642533937027</v>
      </c>
      <c r="Q74" s="125">
        <f t="shared" si="48"/>
        <v>0.96153846153846123</v>
      </c>
      <c r="R74" s="637"/>
      <c r="S74" s="40">
        <v>0.21111111111111108</v>
      </c>
      <c r="T74" s="40">
        <v>0.25624999999999998</v>
      </c>
      <c r="U74" s="124">
        <f t="shared" ref="U74:U82" si="54">(S74-T73)*24*60</f>
        <v>26.999999999999986</v>
      </c>
      <c r="V74" s="126">
        <f t="shared" si="53"/>
        <v>65.000000000000014</v>
      </c>
      <c r="W74" s="23"/>
      <c r="X74" s="23"/>
      <c r="Y74" s="23"/>
      <c r="Z74" s="23"/>
      <c r="AA74" s="632"/>
      <c r="AB74" s="632"/>
      <c r="AC74" s="25"/>
      <c r="AD74" s="25"/>
      <c r="AE74" s="19">
        <f t="shared" si="43"/>
        <v>-92.307692307692832</v>
      </c>
      <c r="AF74" s="125">
        <f t="shared" si="50"/>
        <v>0.96153846153846134</v>
      </c>
      <c r="AG74" s="637"/>
    </row>
    <row r="75" spans="1:33" ht="15.75" customHeight="1">
      <c r="A75" s="635" t="s">
        <v>315</v>
      </c>
      <c r="B75" s="128" t="s">
        <v>116</v>
      </c>
      <c r="C75" s="633" t="s">
        <v>120</v>
      </c>
      <c r="D75" s="633"/>
      <c r="E75" s="42">
        <v>25.99</v>
      </c>
      <c r="F75" s="128">
        <v>1330</v>
      </c>
      <c r="G75" s="124">
        <f t="shared" si="51"/>
        <v>34566.699999999997</v>
      </c>
      <c r="H75" s="37" t="s">
        <v>91</v>
      </c>
      <c r="I75" s="123">
        <v>18</v>
      </c>
      <c r="J75" s="39">
        <v>2400</v>
      </c>
      <c r="K75" s="17">
        <f t="shared" si="44"/>
        <v>133.33333333333334</v>
      </c>
      <c r="L75" s="123">
        <v>18</v>
      </c>
      <c r="M75" s="18">
        <f t="shared" si="52"/>
        <v>2347.058823529409</v>
      </c>
      <c r="N75" s="17">
        <f t="shared" si="45"/>
        <v>130.39215686274494</v>
      </c>
      <c r="O75" s="19">
        <f t="shared" si="46"/>
        <v>0</v>
      </c>
      <c r="P75" s="20">
        <f t="shared" si="47"/>
        <v>-2.9411764705884025</v>
      </c>
      <c r="Q75" s="125">
        <f t="shared" si="48"/>
        <v>0.97794117647058698</v>
      </c>
      <c r="R75" s="637"/>
      <c r="S75" s="40">
        <v>0.26041666666666663</v>
      </c>
      <c r="T75" s="40">
        <v>0.28402777777777777</v>
      </c>
      <c r="U75" s="124">
        <f t="shared" si="54"/>
        <v>5.9999999999999787</v>
      </c>
      <c r="V75" s="126">
        <f t="shared" si="53"/>
        <v>34.000000000000043</v>
      </c>
      <c r="W75" s="23"/>
      <c r="X75" s="23"/>
      <c r="Y75" s="23"/>
      <c r="Z75" s="23"/>
      <c r="AA75" s="632"/>
      <c r="AB75" s="632"/>
      <c r="AC75" s="25"/>
      <c r="AD75" s="25"/>
      <c r="AE75" s="19">
        <f t="shared" si="43"/>
        <v>-52.941176470591017</v>
      </c>
      <c r="AF75" s="125">
        <f t="shared" si="50"/>
        <v>0.97794117647058709</v>
      </c>
      <c r="AG75" s="637"/>
    </row>
    <row r="76" spans="1:33" ht="15.75" customHeight="1">
      <c r="A76" s="635" t="s">
        <v>315</v>
      </c>
      <c r="B76" s="128" t="s">
        <v>116</v>
      </c>
      <c r="C76" s="633" t="s">
        <v>148</v>
      </c>
      <c r="D76" s="633"/>
      <c r="E76" s="42">
        <v>28.29</v>
      </c>
      <c r="F76" s="128">
        <v>2700</v>
      </c>
      <c r="G76" s="124">
        <f t="shared" si="51"/>
        <v>76383</v>
      </c>
      <c r="H76" s="37">
        <v>2</v>
      </c>
      <c r="I76" s="123">
        <v>21</v>
      </c>
      <c r="J76" s="39">
        <v>2400</v>
      </c>
      <c r="K76" s="17">
        <f t="shared" si="44"/>
        <v>114.28571428571429</v>
      </c>
      <c r="L76" s="123">
        <v>21</v>
      </c>
      <c r="M76" s="18">
        <f t="shared" si="52"/>
        <v>2314.2857142857147</v>
      </c>
      <c r="N76" s="17">
        <f t="shared" si="45"/>
        <v>110.20408163265309</v>
      </c>
      <c r="O76" s="19">
        <f t="shared" si="46"/>
        <v>0</v>
      </c>
      <c r="P76" s="20">
        <f t="shared" si="47"/>
        <v>-4.0816326530612059</v>
      </c>
      <c r="Q76" s="125">
        <f t="shared" si="48"/>
        <v>0.96428571428571441</v>
      </c>
      <c r="R76" s="637"/>
      <c r="S76" s="40">
        <v>0.2895833333333333</v>
      </c>
      <c r="T76" s="40">
        <v>0.33819444444444441</v>
      </c>
      <c r="U76" s="124">
        <f t="shared" si="54"/>
        <v>7.9999999999999716</v>
      </c>
      <c r="V76" s="126">
        <f t="shared" si="53"/>
        <v>69.999999999999986</v>
      </c>
      <c r="W76" s="23"/>
      <c r="X76" s="23"/>
      <c r="Y76" s="23"/>
      <c r="Z76" s="23"/>
      <c r="AA76" s="632"/>
      <c r="AB76" s="632"/>
      <c r="AC76" s="25"/>
      <c r="AD76" s="25"/>
      <c r="AE76" s="19">
        <f t="shared" si="43"/>
        <v>-85.714285714285325</v>
      </c>
      <c r="AF76" s="125">
        <f t="shared" si="50"/>
        <v>0.96428571428571441</v>
      </c>
      <c r="AG76" s="637"/>
    </row>
    <row r="77" spans="1:33" ht="15.75" customHeight="1">
      <c r="A77" s="635" t="s">
        <v>315</v>
      </c>
      <c r="B77" s="128" t="s">
        <v>116</v>
      </c>
      <c r="C77" s="633" t="s">
        <v>149</v>
      </c>
      <c r="D77" s="633"/>
      <c r="E77" s="42">
        <v>24.25</v>
      </c>
      <c r="F77" s="128">
        <v>2900</v>
      </c>
      <c r="G77" s="124">
        <f t="shared" si="51"/>
        <v>70325</v>
      </c>
      <c r="H77" s="37">
        <v>2</v>
      </c>
      <c r="I77" s="123">
        <v>17</v>
      </c>
      <c r="J77" s="39">
        <v>2400</v>
      </c>
      <c r="K77" s="17">
        <f t="shared" si="44"/>
        <v>141.1764705882353</v>
      </c>
      <c r="L77" s="123">
        <v>17</v>
      </c>
      <c r="M77" s="18">
        <f t="shared" si="52"/>
        <v>2289.4736842105272</v>
      </c>
      <c r="N77" s="17">
        <f t="shared" si="45"/>
        <v>134.67492260061925</v>
      </c>
      <c r="O77" s="19">
        <f t="shared" si="46"/>
        <v>0</v>
      </c>
      <c r="P77" s="20">
        <f t="shared" si="47"/>
        <v>-6.5015479876160498</v>
      </c>
      <c r="Q77" s="125">
        <f t="shared" si="48"/>
        <v>0.95394736842105299</v>
      </c>
      <c r="R77" s="637"/>
      <c r="S77" s="40">
        <v>0.34374999999999994</v>
      </c>
      <c r="T77" s="40">
        <v>0.3965277777777777</v>
      </c>
      <c r="U77" s="124">
        <f t="shared" si="54"/>
        <v>7.9999999999999716</v>
      </c>
      <c r="V77" s="126">
        <f t="shared" si="53"/>
        <v>75.999999999999972</v>
      </c>
      <c r="W77" s="23"/>
      <c r="X77" s="23"/>
      <c r="Y77" s="23"/>
      <c r="Z77" s="23"/>
      <c r="AA77" s="632"/>
      <c r="AB77" s="632"/>
      <c r="AC77" s="25"/>
      <c r="AD77" s="25"/>
      <c r="AE77" s="19">
        <f t="shared" si="43"/>
        <v>-110.52631578947285</v>
      </c>
      <c r="AF77" s="125">
        <f t="shared" si="50"/>
        <v>0.95394736842105299</v>
      </c>
      <c r="AG77" s="637"/>
    </row>
    <row r="78" spans="1:33" ht="15.75" customHeight="1">
      <c r="A78" s="635" t="s">
        <v>315</v>
      </c>
      <c r="B78" s="128" t="s">
        <v>116</v>
      </c>
      <c r="C78" s="633" t="s">
        <v>150</v>
      </c>
      <c r="D78" s="633"/>
      <c r="E78" s="42">
        <v>23.89</v>
      </c>
      <c r="F78" s="128">
        <v>5311</v>
      </c>
      <c r="G78" s="124">
        <f t="shared" si="51"/>
        <v>126879.79000000001</v>
      </c>
      <c r="H78" s="37" t="s">
        <v>91</v>
      </c>
      <c r="I78" s="123">
        <v>13</v>
      </c>
      <c r="J78" s="39">
        <v>2400</v>
      </c>
      <c r="K78" s="17">
        <f t="shared" si="44"/>
        <v>184.61538461538461</v>
      </c>
      <c r="L78" s="123">
        <v>13</v>
      </c>
      <c r="M78" s="18">
        <f t="shared" si="52"/>
        <v>2292.517985611511</v>
      </c>
      <c r="N78" s="17">
        <f t="shared" si="45"/>
        <v>176.34753735473163</v>
      </c>
      <c r="O78" s="19">
        <f t="shared" si="46"/>
        <v>0</v>
      </c>
      <c r="P78" s="20">
        <f t="shared" si="47"/>
        <v>-8.2678472606529851</v>
      </c>
      <c r="Q78" s="125">
        <f t="shared" si="48"/>
        <v>0.95521582733812971</v>
      </c>
      <c r="R78" s="637"/>
      <c r="S78" s="40">
        <v>0.40069444444444435</v>
      </c>
      <c r="T78" s="40">
        <v>0.49722222222222212</v>
      </c>
      <c r="U78" s="124">
        <f t="shared" si="54"/>
        <v>5.9999999999999787</v>
      </c>
      <c r="V78" s="126">
        <f t="shared" si="53"/>
        <v>139</v>
      </c>
      <c r="W78" s="23">
        <f>T78</f>
        <v>0.49722222222222212</v>
      </c>
      <c r="X78" s="23">
        <f>S79</f>
        <v>0.53888888888888875</v>
      </c>
      <c r="Y78" s="23"/>
      <c r="Z78" s="23"/>
      <c r="AA78" s="632"/>
      <c r="AB78" s="632"/>
      <c r="AC78" s="25"/>
      <c r="AD78" s="25"/>
      <c r="AE78" s="19">
        <f t="shared" si="43"/>
        <v>-107.48201438848901</v>
      </c>
      <c r="AF78" s="125">
        <f t="shared" si="50"/>
        <v>0.9552158273381296</v>
      </c>
      <c r="AG78" s="637"/>
    </row>
    <row r="79" spans="1:33" ht="15.75" customHeight="1">
      <c r="A79" s="635" t="s">
        <v>315</v>
      </c>
      <c r="B79" s="128" t="s">
        <v>116</v>
      </c>
      <c r="C79" s="625" t="s">
        <v>145</v>
      </c>
      <c r="D79" s="626"/>
      <c r="E79" s="42">
        <v>19.02</v>
      </c>
      <c r="F79" s="128">
        <v>4972</v>
      </c>
      <c r="G79" s="124">
        <f t="shared" si="51"/>
        <v>94567.44</v>
      </c>
      <c r="H79" s="37" t="s">
        <v>91</v>
      </c>
      <c r="I79" s="123">
        <v>14</v>
      </c>
      <c r="J79" s="39">
        <v>2400</v>
      </c>
      <c r="K79" s="17">
        <f t="shared" si="44"/>
        <v>171.42857142857142</v>
      </c>
      <c r="L79" s="123">
        <v>14</v>
      </c>
      <c r="M79" s="18">
        <f t="shared" si="52"/>
        <v>2294.7692307692305</v>
      </c>
      <c r="N79" s="17">
        <f t="shared" si="45"/>
        <v>163.91208791208788</v>
      </c>
      <c r="O79" s="19">
        <f t="shared" si="46"/>
        <v>0</v>
      </c>
      <c r="P79" s="20">
        <f t="shared" si="47"/>
        <v>-7.5164835164835324</v>
      </c>
      <c r="Q79" s="125">
        <f t="shared" si="48"/>
        <v>0.95615384615384602</v>
      </c>
      <c r="R79" s="637"/>
      <c r="S79" s="40">
        <v>0.53888888888888875</v>
      </c>
      <c r="T79" s="40">
        <v>0.62916666666666654</v>
      </c>
      <c r="U79" s="124">
        <f t="shared" si="54"/>
        <v>59.999999999999943</v>
      </c>
      <c r="V79" s="126">
        <f t="shared" si="53"/>
        <v>130.00000000000003</v>
      </c>
      <c r="W79" s="23"/>
      <c r="X79" s="23"/>
      <c r="Y79" s="26"/>
      <c r="Z79" s="26"/>
      <c r="AA79" s="627"/>
      <c r="AB79" s="628"/>
      <c r="AC79" s="25"/>
      <c r="AD79" s="25"/>
      <c r="AE79" s="19">
        <f t="shared" si="43"/>
        <v>-105.23076923076951</v>
      </c>
      <c r="AF79" s="125">
        <f t="shared" si="50"/>
        <v>0.95615384615384602</v>
      </c>
      <c r="AG79" s="637"/>
    </row>
    <row r="80" spans="1:33" ht="15.75" customHeight="1">
      <c r="A80" s="635" t="s">
        <v>315</v>
      </c>
      <c r="B80" s="128" t="s">
        <v>116</v>
      </c>
      <c r="C80" s="625" t="s">
        <v>146</v>
      </c>
      <c r="D80" s="626"/>
      <c r="E80" s="42">
        <v>20.36</v>
      </c>
      <c r="F80" s="128">
        <v>2032</v>
      </c>
      <c r="G80" s="124">
        <f t="shared" si="51"/>
        <v>41371.519999999997</v>
      </c>
      <c r="H80" s="37" t="s">
        <v>91</v>
      </c>
      <c r="I80" s="123">
        <v>17</v>
      </c>
      <c r="J80" s="39">
        <v>2400</v>
      </c>
      <c r="K80" s="17">
        <f t="shared" si="44"/>
        <v>141.1764705882353</v>
      </c>
      <c r="L80" s="123">
        <v>17</v>
      </c>
      <c r="M80" s="18">
        <f t="shared" si="52"/>
        <v>2300.3773584905675</v>
      </c>
      <c r="N80" s="17">
        <f t="shared" si="45"/>
        <v>135.3163152053275</v>
      </c>
      <c r="O80" s="19">
        <f t="shared" si="46"/>
        <v>0</v>
      </c>
      <c r="P80" s="20">
        <f t="shared" si="47"/>
        <v>-5.8601553829078057</v>
      </c>
      <c r="Q80" s="125">
        <f t="shared" si="48"/>
        <v>0.95849056603773641</v>
      </c>
      <c r="R80" s="637"/>
      <c r="S80" s="40">
        <v>0.63333333333333319</v>
      </c>
      <c r="T80" s="40">
        <v>0.67013888888888873</v>
      </c>
      <c r="U80" s="124">
        <f t="shared" si="54"/>
        <v>5.9999999999999787</v>
      </c>
      <c r="V80" s="126">
        <f t="shared" si="53"/>
        <v>52.999999999999972</v>
      </c>
      <c r="W80" s="23"/>
      <c r="X80" s="23"/>
      <c r="Y80" s="26"/>
      <c r="Z80" s="26"/>
      <c r="AA80" s="627"/>
      <c r="AB80" s="628"/>
      <c r="AC80" s="25"/>
      <c r="AD80" s="25"/>
      <c r="AE80" s="19">
        <f t="shared" si="43"/>
        <v>-99.622641509432469</v>
      </c>
      <c r="AF80" s="125">
        <f t="shared" si="50"/>
        <v>0.95849056603773652</v>
      </c>
      <c r="AG80" s="637"/>
    </row>
    <row r="81" spans="1:33" ht="15.75" customHeight="1">
      <c r="A81" s="635" t="s">
        <v>315</v>
      </c>
      <c r="B81" s="128" t="s">
        <v>116</v>
      </c>
      <c r="C81" s="625" t="s">
        <v>149</v>
      </c>
      <c r="D81" s="626"/>
      <c r="E81" s="42">
        <v>24.25</v>
      </c>
      <c r="F81" s="128">
        <v>2150</v>
      </c>
      <c r="G81" s="124">
        <f t="shared" si="51"/>
        <v>52137.5</v>
      </c>
      <c r="H81" s="37" t="s">
        <v>91</v>
      </c>
      <c r="I81" s="123">
        <v>17</v>
      </c>
      <c r="J81" s="39">
        <v>2400</v>
      </c>
      <c r="K81" s="17">
        <f t="shared" si="44"/>
        <v>141.1764705882353</v>
      </c>
      <c r="L81" s="123">
        <v>17</v>
      </c>
      <c r="M81" s="18">
        <f t="shared" si="52"/>
        <v>2303.5714285714303</v>
      </c>
      <c r="N81" s="17">
        <f t="shared" si="45"/>
        <v>135.50420168067237</v>
      </c>
      <c r="O81" s="19">
        <f t="shared" si="46"/>
        <v>0</v>
      </c>
      <c r="P81" s="20">
        <f t="shared" si="47"/>
        <v>-5.6722689075629376</v>
      </c>
      <c r="Q81" s="125">
        <f t="shared" si="48"/>
        <v>0.95982142857142916</v>
      </c>
      <c r="R81" s="637"/>
      <c r="S81" s="40">
        <v>0.67569444444444426</v>
      </c>
      <c r="T81" s="40">
        <v>0.71458333333333313</v>
      </c>
      <c r="U81" s="124">
        <f t="shared" si="54"/>
        <v>7.9999999999999716</v>
      </c>
      <c r="V81" s="126">
        <f t="shared" si="53"/>
        <v>55.999999999999957</v>
      </c>
      <c r="W81" s="23"/>
      <c r="X81" s="23"/>
      <c r="Y81" s="26"/>
      <c r="Z81" s="26"/>
      <c r="AA81" s="627"/>
      <c r="AB81" s="628"/>
      <c r="AC81" s="25"/>
      <c r="AD81" s="25"/>
      <c r="AE81" s="19">
        <f t="shared" si="43"/>
        <v>-96.42857142856974</v>
      </c>
      <c r="AF81" s="125">
        <f t="shared" si="50"/>
        <v>0.95982142857142927</v>
      </c>
      <c r="AG81" s="637"/>
    </row>
    <row r="82" spans="1:33" ht="15.75" customHeight="1">
      <c r="A82" s="635" t="s">
        <v>315</v>
      </c>
      <c r="B82" s="128" t="s">
        <v>116</v>
      </c>
      <c r="C82" s="625" t="s">
        <v>148</v>
      </c>
      <c r="D82" s="626"/>
      <c r="E82" s="42">
        <v>28.29</v>
      </c>
      <c r="F82" s="128">
        <v>1882</v>
      </c>
      <c r="G82" s="124">
        <f t="shared" si="51"/>
        <v>53241.78</v>
      </c>
      <c r="H82" s="37" t="s">
        <v>91</v>
      </c>
      <c r="I82" s="123">
        <v>21</v>
      </c>
      <c r="J82" s="39">
        <v>2400</v>
      </c>
      <c r="K82" s="17">
        <f t="shared" si="44"/>
        <v>114.28571428571429</v>
      </c>
      <c r="L82" s="123">
        <v>21</v>
      </c>
      <c r="M82" s="18">
        <f t="shared" si="52"/>
        <v>2304.4897959183681</v>
      </c>
      <c r="N82" s="17">
        <f t="shared" si="45"/>
        <v>109.7376093294461</v>
      </c>
      <c r="O82" s="19">
        <f t="shared" si="46"/>
        <v>0</v>
      </c>
      <c r="P82" s="20">
        <f t="shared" si="47"/>
        <v>-4.5481049562681903</v>
      </c>
      <c r="Q82" s="125">
        <f t="shared" si="48"/>
        <v>0.96020408163265336</v>
      </c>
      <c r="R82" s="637"/>
      <c r="S82" s="40">
        <v>0.71805555555555534</v>
      </c>
      <c r="T82" s="40">
        <v>0.7520833333333331</v>
      </c>
      <c r="U82" s="124">
        <f t="shared" si="54"/>
        <v>4.9999999999999822</v>
      </c>
      <c r="V82" s="126">
        <f t="shared" si="53"/>
        <v>48.999999999999986</v>
      </c>
      <c r="W82" s="23"/>
      <c r="X82" s="23"/>
      <c r="Y82" s="26"/>
      <c r="Z82" s="26"/>
      <c r="AA82" s="627"/>
      <c r="AB82" s="628"/>
      <c r="AC82" s="25"/>
      <c r="AD82" s="25"/>
      <c r="AE82" s="19">
        <f t="shared" si="43"/>
        <v>-95.510204081631855</v>
      </c>
      <c r="AF82" s="125">
        <f t="shared" si="50"/>
        <v>0.96020408163265336</v>
      </c>
      <c r="AG82" s="637"/>
    </row>
    <row r="83" spans="1:33" ht="16.5" customHeight="1">
      <c r="A83" s="636" t="s">
        <v>315</v>
      </c>
      <c r="B83" s="42" t="s">
        <v>408</v>
      </c>
      <c r="C83" s="629"/>
      <c r="D83" s="630"/>
      <c r="E83" s="129"/>
      <c r="F83" s="44"/>
      <c r="G83" s="17"/>
      <c r="H83" s="128"/>
      <c r="I83" s="29">
        <v>16.899999999999999</v>
      </c>
      <c r="J83" s="39">
        <v>2400</v>
      </c>
      <c r="K83" s="17">
        <f t="shared" si="44"/>
        <v>142.01183431952663</v>
      </c>
      <c r="L83" s="29">
        <v>16.899999999999999</v>
      </c>
      <c r="M83" s="18">
        <f>AVERAGE(M73:M82)</f>
        <v>2304.7229959652313</v>
      </c>
      <c r="N83" s="17">
        <f t="shared" si="45"/>
        <v>136.37414177309063</v>
      </c>
      <c r="O83" s="19">
        <f t="shared" si="46"/>
        <v>0</v>
      </c>
      <c r="P83" s="20">
        <f t="shared" si="47"/>
        <v>-5.6376925464359999</v>
      </c>
      <c r="Q83" s="125">
        <f t="shared" si="48"/>
        <v>0.96030124831884645</v>
      </c>
      <c r="R83" s="637"/>
      <c r="S83" s="40"/>
      <c r="T83" s="40"/>
      <c r="U83" s="17"/>
      <c r="V83" s="126"/>
      <c r="W83" s="17"/>
      <c r="X83" s="17"/>
      <c r="Y83" s="30">
        <f>SUM(Y73:Y82)</f>
        <v>0</v>
      </c>
      <c r="Z83" s="30">
        <f>SUM(Z73:Z82)</f>
        <v>0</v>
      </c>
      <c r="AA83" s="631"/>
      <c r="AB83" s="631"/>
      <c r="AC83" s="30">
        <v>10</v>
      </c>
      <c r="AD83" s="30">
        <f>SUM(AD73:AD82)</f>
        <v>0</v>
      </c>
      <c r="AE83" s="19">
        <f t="shared" si="43"/>
        <v>-95.277004034768652</v>
      </c>
      <c r="AF83" s="125">
        <f t="shared" si="50"/>
        <v>0.96030124831884645</v>
      </c>
      <c r="AG83" s="637"/>
    </row>
    <row r="84" spans="1:33">
      <c r="D84" s="33"/>
      <c r="E84" s="33"/>
    </row>
  </sheetData>
  <mergeCells count="210"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A5:A9"/>
    <mergeCell ref="C5:D5"/>
    <mergeCell ref="R5:R9"/>
    <mergeCell ref="AA5:AB5"/>
    <mergeCell ref="AG5:AG9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J3:J4"/>
    <mergeCell ref="K3:K4"/>
    <mergeCell ref="L3:L4"/>
    <mergeCell ref="C7:D7"/>
    <mergeCell ref="AA7:AB7"/>
    <mergeCell ref="C8:D8"/>
    <mergeCell ref="AA8:AB8"/>
    <mergeCell ref="C9:D9"/>
    <mergeCell ref="AA9:AB9"/>
    <mergeCell ref="AE3:AE4"/>
    <mergeCell ref="AF3:AF4"/>
    <mergeCell ref="AG3:AG4"/>
    <mergeCell ref="M3:M4"/>
    <mergeCell ref="A10:A16"/>
    <mergeCell ref="C10:D10"/>
    <mergeCell ref="R10:R16"/>
    <mergeCell ref="AA10:AB10"/>
    <mergeCell ref="AG10:AG16"/>
    <mergeCell ref="C11:D11"/>
    <mergeCell ref="AA11:AB11"/>
    <mergeCell ref="C12:D12"/>
    <mergeCell ref="AA12:AB12"/>
    <mergeCell ref="C13:D13"/>
    <mergeCell ref="AG17:AG24"/>
    <mergeCell ref="C18:D18"/>
    <mergeCell ref="AA18:AB18"/>
    <mergeCell ref="C19:D19"/>
    <mergeCell ref="AA19:AB19"/>
    <mergeCell ref="C20:D20"/>
    <mergeCell ref="AA13:AB13"/>
    <mergeCell ref="C14:D14"/>
    <mergeCell ref="AA14:AB14"/>
    <mergeCell ref="C15:D15"/>
    <mergeCell ref="AA15:AB15"/>
    <mergeCell ref="C16:D16"/>
    <mergeCell ref="AA16:AB16"/>
    <mergeCell ref="AA20:AB20"/>
    <mergeCell ref="C21:D21"/>
    <mergeCell ref="AA21:AB21"/>
    <mergeCell ref="C24:D24"/>
    <mergeCell ref="AA24:AB24"/>
    <mergeCell ref="A25:A34"/>
    <mergeCell ref="C25:D25"/>
    <mergeCell ref="R25:R34"/>
    <mergeCell ref="AA25:AB25"/>
    <mergeCell ref="AA30:AB30"/>
    <mergeCell ref="A17:A24"/>
    <mergeCell ref="C17:D17"/>
    <mergeCell ref="R17:R24"/>
    <mergeCell ref="AA17:AB17"/>
    <mergeCell ref="AG25:AG34"/>
    <mergeCell ref="C26:D26"/>
    <mergeCell ref="AA26:AB26"/>
    <mergeCell ref="C27:D27"/>
    <mergeCell ref="AA27:AB27"/>
    <mergeCell ref="C28:D28"/>
    <mergeCell ref="AA28:AB28"/>
    <mergeCell ref="C29:D29"/>
    <mergeCell ref="AA29:AB29"/>
    <mergeCell ref="C30:D30"/>
    <mergeCell ref="C31:D31"/>
    <mergeCell ref="AA31:AB31"/>
    <mergeCell ref="C33:D33"/>
    <mergeCell ref="C34:D34"/>
    <mergeCell ref="AA34:AB34"/>
    <mergeCell ref="A35:A42"/>
    <mergeCell ref="C35:D35"/>
    <mergeCell ref="R35:R42"/>
    <mergeCell ref="AA35:AB35"/>
    <mergeCell ref="AA40:AB40"/>
    <mergeCell ref="AG35:AG42"/>
    <mergeCell ref="C36:D36"/>
    <mergeCell ref="AA36:AB36"/>
    <mergeCell ref="C37:D37"/>
    <mergeCell ref="AA37:AB37"/>
    <mergeCell ref="C38:D38"/>
    <mergeCell ref="AA38:AB38"/>
    <mergeCell ref="C39:D39"/>
    <mergeCell ref="AA39:AB39"/>
    <mergeCell ref="C40:D40"/>
    <mergeCell ref="C41:D41"/>
    <mergeCell ref="AA41:AB41"/>
    <mergeCell ref="C42:D42"/>
    <mergeCell ref="AA42:AB42"/>
    <mergeCell ref="A43:A51"/>
    <mergeCell ref="C43:D43"/>
    <mergeCell ref="R43:R51"/>
    <mergeCell ref="AA43:AB43"/>
    <mergeCell ref="AA48:AB48"/>
    <mergeCell ref="C49:D49"/>
    <mergeCell ref="AG43:AG51"/>
    <mergeCell ref="C44:D44"/>
    <mergeCell ref="AA44:AB44"/>
    <mergeCell ref="C45:D45"/>
    <mergeCell ref="AA45:AB45"/>
    <mergeCell ref="C46:D46"/>
    <mergeCell ref="AA46:AB46"/>
    <mergeCell ref="C47:D47"/>
    <mergeCell ref="AA47:AB47"/>
    <mergeCell ref="C48:D48"/>
    <mergeCell ref="AA49:AB49"/>
    <mergeCell ref="C50:D50"/>
    <mergeCell ref="AA50:AB50"/>
    <mergeCell ref="C51:D51"/>
    <mergeCell ref="AA51:AB51"/>
    <mergeCell ref="A73:A83"/>
    <mergeCell ref="C73:D73"/>
    <mergeCell ref="R73:R83"/>
    <mergeCell ref="AA73:AB73"/>
    <mergeCell ref="A52:A56"/>
    <mergeCell ref="C52:D52"/>
    <mergeCell ref="R52:R56"/>
    <mergeCell ref="AA52:AB52"/>
    <mergeCell ref="AG57:AG67"/>
    <mergeCell ref="C58:D58"/>
    <mergeCell ref="AA58:AB58"/>
    <mergeCell ref="C59:D59"/>
    <mergeCell ref="AA59:AB59"/>
    <mergeCell ref="AA60:AB60"/>
    <mergeCell ref="AG52:AG56"/>
    <mergeCell ref="C53:D53"/>
    <mergeCell ref="AA53:AB53"/>
    <mergeCell ref="C54:D54"/>
    <mergeCell ref="AA54:AB54"/>
    <mergeCell ref="C55:D55"/>
    <mergeCell ref="AA55:AB55"/>
    <mergeCell ref="C56:D56"/>
    <mergeCell ref="AA56:AB56"/>
    <mergeCell ref="C66:D66"/>
    <mergeCell ref="A68:A72"/>
    <mergeCell ref="C68:D68"/>
    <mergeCell ref="R68:R72"/>
    <mergeCell ref="AA68:AB68"/>
    <mergeCell ref="AA61:AB61"/>
    <mergeCell ref="C62:D62"/>
    <mergeCell ref="AA62:AB62"/>
    <mergeCell ref="C63:D63"/>
    <mergeCell ref="AA63:AB63"/>
    <mergeCell ref="C64:D64"/>
    <mergeCell ref="AA64:AB64"/>
    <mergeCell ref="A57:A67"/>
    <mergeCell ref="C57:D57"/>
    <mergeCell ref="R57:R67"/>
    <mergeCell ref="AA57:AB57"/>
    <mergeCell ref="AA66:AB66"/>
    <mergeCell ref="C67:D67"/>
    <mergeCell ref="AA67:AB67"/>
    <mergeCell ref="AG68:AG72"/>
    <mergeCell ref="C69:D69"/>
    <mergeCell ref="AA69:AB69"/>
    <mergeCell ref="C70:D70"/>
    <mergeCell ref="AA70:AB70"/>
    <mergeCell ref="C71:D71"/>
    <mergeCell ref="AA71:AB71"/>
    <mergeCell ref="C72:D72"/>
    <mergeCell ref="AA72:AB72"/>
    <mergeCell ref="AG73:AG83"/>
    <mergeCell ref="C74:D74"/>
    <mergeCell ref="AA74:AB74"/>
    <mergeCell ref="C75:D75"/>
    <mergeCell ref="AA75:AB75"/>
    <mergeCell ref="C76:D76"/>
    <mergeCell ref="C83:D83"/>
    <mergeCell ref="AA83:AB83"/>
    <mergeCell ref="C80:D80"/>
    <mergeCell ref="AA80:AB80"/>
    <mergeCell ref="C81:D81"/>
    <mergeCell ref="AA81:AB81"/>
    <mergeCell ref="C82:D82"/>
    <mergeCell ref="AA82:AB82"/>
    <mergeCell ref="AA76:AB76"/>
    <mergeCell ref="C77:D77"/>
    <mergeCell ref="AA77:AB77"/>
    <mergeCell ref="C78:D78"/>
    <mergeCell ref="AA78:AB78"/>
    <mergeCell ref="C79:D79"/>
    <mergeCell ref="AA79:AB79"/>
  </mergeCells>
  <phoneticPr fontId="3" type="noConversion"/>
  <conditionalFormatting sqref="O71:O78 O67:O68 O83 O5:O10 O16:O18 O24:O62">
    <cfRule type="cellIs" dxfId="327" priority="80" operator="greaterThan">
      <formula>0</formula>
    </cfRule>
  </conditionalFormatting>
  <conditionalFormatting sqref="P5:P8 P71 AE71 P73:P78 P35:P41 P68 P10 P16:P18 P25:P33 P57:P62 P43:P55 AE5:AE68 AE73:AE83">
    <cfRule type="cellIs" dxfId="326" priority="84" operator="lessThan">
      <formula>0</formula>
    </cfRule>
  </conditionalFormatting>
  <conditionalFormatting sqref="AF71 Q71:Q78 Q67:Q68 Q83 Q5:Q10 Q16:Q18 Q24:Q62 AF5:AF68 AF73:AF83">
    <cfRule type="cellIs" dxfId="325" priority="81" operator="greaterThan">
      <formula>1</formula>
    </cfRule>
    <cfRule type="cellIs" dxfId="324" priority="82" operator="lessThan">
      <formula>0.8</formula>
    </cfRule>
  </conditionalFormatting>
  <conditionalFormatting sqref="AG17:AG18 R17:R18 AG71 R71:R78 R24:R30 AG24:AG30 AG67:AG68 R67:R68 R83 AG5:AG10 R5:R10 AG34:AG62 R34:R62">
    <cfRule type="cellIs" dxfId="323" priority="86" operator="lessThan">
      <formula>0.8</formula>
    </cfRule>
  </conditionalFormatting>
  <conditionalFormatting sqref="AG52">
    <cfRule type="cellIs" dxfId="322" priority="88" operator="lessThan">
      <formula>0.8</formula>
    </cfRule>
  </conditionalFormatting>
  <conditionalFormatting sqref="AG25:AG30">
    <cfRule type="cellIs" dxfId="321" priority="85" operator="lessThan">
      <formula>0.8</formula>
    </cfRule>
  </conditionalFormatting>
  <conditionalFormatting sqref="AG35">
    <cfRule type="cellIs" dxfId="320" priority="87" operator="lessThan">
      <formula>0.8</formula>
    </cfRule>
  </conditionalFormatting>
  <conditionalFormatting sqref="AG43:AG50">
    <cfRule type="cellIs" dxfId="319" priority="83" operator="lessThan">
      <formula>0.8</formula>
    </cfRule>
  </conditionalFormatting>
  <conditionalFormatting sqref="AE72">
    <cfRule type="cellIs" dxfId="318" priority="79" operator="lessThan">
      <formula>0</formula>
    </cfRule>
  </conditionalFormatting>
  <conditionalFormatting sqref="AF72">
    <cfRule type="cellIs" dxfId="317" priority="77" operator="greaterThan">
      <formula>1</formula>
    </cfRule>
    <cfRule type="cellIs" dxfId="316" priority="78" operator="lessThan">
      <formula>0.8</formula>
    </cfRule>
  </conditionalFormatting>
  <conditionalFormatting sqref="O19:O20">
    <cfRule type="cellIs" dxfId="315" priority="72" operator="greaterThan">
      <formula>0</formula>
    </cfRule>
  </conditionalFormatting>
  <conditionalFormatting sqref="P19:P20">
    <cfRule type="cellIs" dxfId="314" priority="75" operator="lessThan">
      <formula>0</formula>
    </cfRule>
  </conditionalFormatting>
  <conditionalFormatting sqref="Q19:Q20">
    <cfRule type="cellIs" dxfId="313" priority="73" operator="greaterThan">
      <formula>1</formula>
    </cfRule>
    <cfRule type="cellIs" dxfId="312" priority="74" operator="lessThan">
      <formula>0.8</formula>
    </cfRule>
  </conditionalFormatting>
  <conditionalFormatting sqref="R19:R20 AG19:AG20">
    <cfRule type="cellIs" dxfId="311" priority="76" operator="lessThan">
      <formula>0.8</formula>
    </cfRule>
  </conditionalFormatting>
  <conditionalFormatting sqref="O11:O15">
    <cfRule type="cellIs" dxfId="310" priority="68" operator="greaterThan">
      <formula>0</formula>
    </cfRule>
  </conditionalFormatting>
  <conditionalFormatting sqref="P11:P15">
    <cfRule type="cellIs" dxfId="309" priority="71" operator="lessThan">
      <formula>0</formula>
    </cfRule>
  </conditionalFormatting>
  <conditionalFormatting sqref="Q11:Q15">
    <cfRule type="cellIs" dxfId="308" priority="69" operator="greaterThan">
      <formula>1</formula>
    </cfRule>
    <cfRule type="cellIs" dxfId="307" priority="70" operator="lessThan">
      <formula>0.8</formula>
    </cfRule>
  </conditionalFormatting>
  <conditionalFormatting sqref="O63">
    <cfRule type="cellIs" dxfId="306" priority="63" operator="greaterThan">
      <formula>0</formula>
    </cfRule>
  </conditionalFormatting>
  <conditionalFormatting sqref="P63">
    <cfRule type="cellIs" dxfId="305" priority="66" operator="lessThan">
      <formula>0</formula>
    </cfRule>
  </conditionalFormatting>
  <conditionalFormatting sqref="Q63">
    <cfRule type="cellIs" dxfId="304" priority="64" operator="greaterThan">
      <formula>1</formula>
    </cfRule>
    <cfRule type="cellIs" dxfId="303" priority="65" operator="lessThan">
      <formula>0.8</formula>
    </cfRule>
  </conditionalFormatting>
  <conditionalFormatting sqref="R63 AG63">
    <cfRule type="cellIs" dxfId="302" priority="67" operator="lessThan">
      <formula>0.8</formula>
    </cfRule>
  </conditionalFormatting>
  <conditionalFormatting sqref="AG32 R32">
    <cfRule type="cellIs" dxfId="301" priority="62" operator="lessThan">
      <formula>0.8</formula>
    </cfRule>
  </conditionalFormatting>
  <conditionalFormatting sqref="O70">
    <cfRule type="cellIs" dxfId="300" priority="57" operator="greaterThan">
      <formula>0</formula>
    </cfRule>
  </conditionalFormatting>
  <conditionalFormatting sqref="P70 AE70">
    <cfRule type="cellIs" dxfId="299" priority="60" operator="lessThan">
      <formula>0</formula>
    </cfRule>
  </conditionalFormatting>
  <conditionalFormatting sqref="Q70 AF70">
    <cfRule type="cellIs" dxfId="298" priority="58" operator="greaterThan">
      <formula>1</formula>
    </cfRule>
    <cfRule type="cellIs" dxfId="297" priority="59" operator="lessThan">
      <formula>0.8</formula>
    </cfRule>
  </conditionalFormatting>
  <conditionalFormatting sqref="R70 AG70">
    <cfRule type="cellIs" dxfId="296" priority="61" operator="lessThan">
      <formula>0.8</formula>
    </cfRule>
  </conditionalFormatting>
  <conditionalFormatting sqref="O79">
    <cfRule type="cellIs" dxfId="295" priority="52" operator="greaterThan">
      <formula>0</formula>
    </cfRule>
  </conditionalFormatting>
  <conditionalFormatting sqref="P79">
    <cfRule type="cellIs" dxfId="294" priority="55" operator="lessThan">
      <formula>0</formula>
    </cfRule>
  </conditionalFormatting>
  <conditionalFormatting sqref="Q79">
    <cfRule type="cellIs" dxfId="293" priority="53" operator="greaterThan">
      <formula>1</formula>
    </cfRule>
    <cfRule type="cellIs" dxfId="292" priority="54" operator="lessThan">
      <formula>0.8</formula>
    </cfRule>
  </conditionalFormatting>
  <conditionalFormatting sqref="R79">
    <cfRule type="cellIs" dxfId="291" priority="56" operator="lessThan">
      <formula>0.8</formula>
    </cfRule>
  </conditionalFormatting>
  <conditionalFormatting sqref="O21:O22">
    <cfRule type="cellIs" dxfId="290" priority="47" operator="greaterThan">
      <formula>0</formula>
    </cfRule>
  </conditionalFormatting>
  <conditionalFormatting sqref="P21:P22">
    <cfRule type="cellIs" dxfId="289" priority="50" operator="lessThan">
      <formula>0</formula>
    </cfRule>
  </conditionalFormatting>
  <conditionalFormatting sqref="Q21:Q22">
    <cfRule type="cellIs" dxfId="288" priority="48" operator="greaterThan">
      <formula>1</formula>
    </cfRule>
    <cfRule type="cellIs" dxfId="287" priority="49" operator="lessThan">
      <formula>0.8</formula>
    </cfRule>
  </conditionalFormatting>
  <conditionalFormatting sqref="R21:R22 AG21:AG22">
    <cfRule type="cellIs" dxfId="286" priority="51" operator="lessThan">
      <formula>0.8</formula>
    </cfRule>
  </conditionalFormatting>
  <conditionalFormatting sqref="O64">
    <cfRule type="cellIs" dxfId="285" priority="42" operator="greaterThan">
      <formula>0</formula>
    </cfRule>
  </conditionalFormatting>
  <conditionalFormatting sqref="P64">
    <cfRule type="cellIs" dxfId="284" priority="45" operator="lessThan">
      <formula>0</formula>
    </cfRule>
  </conditionalFormatting>
  <conditionalFormatting sqref="Q64">
    <cfRule type="cellIs" dxfId="283" priority="43" operator="greaterThan">
      <formula>1</formula>
    </cfRule>
    <cfRule type="cellIs" dxfId="282" priority="44" operator="lessThan">
      <formula>0.8</formula>
    </cfRule>
  </conditionalFormatting>
  <conditionalFormatting sqref="AG64 R64">
    <cfRule type="cellIs" dxfId="281" priority="46" operator="lessThan">
      <formula>0.8</formula>
    </cfRule>
  </conditionalFormatting>
  <conditionalFormatting sqref="AG33 R33">
    <cfRule type="cellIs" dxfId="280" priority="41" operator="lessThan">
      <formula>0.8</formula>
    </cfRule>
  </conditionalFormatting>
  <conditionalFormatting sqref="R31 AG31">
    <cfRule type="cellIs" dxfId="279" priority="40" operator="lessThan">
      <formula>0.8</formula>
    </cfRule>
  </conditionalFormatting>
  <conditionalFormatting sqref="AG31">
    <cfRule type="cellIs" dxfId="278" priority="39" operator="lessThan">
      <formula>0.8</formula>
    </cfRule>
  </conditionalFormatting>
  <conditionalFormatting sqref="O69">
    <cfRule type="cellIs" dxfId="277" priority="34" operator="greaterThan">
      <formula>0</formula>
    </cfRule>
  </conditionalFormatting>
  <conditionalFormatting sqref="P69 AE69">
    <cfRule type="cellIs" dxfId="276" priority="37" operator="lessThan">
      <formula>0</formula>
    </cfRule>
  </conditionalFormatting>
  <conditionalFormatting sqref="Q69 AF69">
    <cfRule type="cellIs" dxfId="275" priority="35" operator="greaterThan">
      <formula>1</formula>
    </cfRule>
    <cfRule type="cellIs" dxfId="274" priority="36" operator="lessThan">
      <formula>0.8</formula>
    </cfRule>
  </conditionalFormatting>
  <conditionalFormatting sqref="R69 AG69">
    <cfRule type="cellIs" dxfId="273" priority="38" operator="lessThan">
      <formula>0.8</formula>
    </cfRule>
  </conditionalFormatting>
  <conditionalFormatting sqref="O23">
    <cfRule type="cellIs" dxfId="272" priority="29" operator="greaterThan">
      <formula>0</formula>
    </cfRule>
  </conditionalFormatting>
  <conditionalFormatting sqref="P23">
    <cfRule type="cellIs" dxfId="271" priority="32" operator="lessThan">
      <formula>0</formula>
    </cfRule>
  </conditionalFormatting>
  <conditionalFormatting sqref="Q23">
    <cfRule type="cellIs" dxfId="270" priority="30" operator="greaterThan">
      <formula>1</formula>
    </cfRule>
    <cfRule type="cellIs" dxfId="269" priority="31" operator="lessThan">
      <formula>0.8</formula>
    </cfRule>
  </conditionalFormatting>
  <conditionalFormatting sqref="AG23 R23">
    <cfRule type="cellIs" dxfId="268" priority="33" operator="lessThan">
      <formula>0.8</formula>
    </cfRule>
  </conditionalFormatting>
  <conditionalFormatting sqref="P9">
    <cfRule type="cellIs" dxfId="267" priority="28" operator="lessThan">
      <formula>0</formula>
    </cfRule>
  </conditionalFormatting>
  <conditionalFormatting sqref="P24">
    <cfRule type="cellIs" dxfId="266" priority="27" operator="lessThan">
      <formula>0</formula>
    </cfRule>
  </conditionalFormatting>
  <conditionalFormatting sqref="P34">
    <cfRule type="cellIs" dxfId="265" priority="26" operator="lessThan">
      <formula>0</formula>
    </cfRule>
  </conditionalFormatting>
  <conditionalFormatting sqref="P42">
    <cfRule type="cellIs" dxfId="264" priority="25" operator="lessThan">
      <formula>0</formula>
    </cfRule>
  </conditionalFormatting>
  <conditionalFormatting sqref="P56">
    <cfRule type="cellIs" dxfId="263" priority="24" operator="lessThan">
      <formula>0</formula>
    </cfRule>
  </conditionalFormatting>
  <conditionalFormatting sqref="P67">
    <cfRule type="cellIs" dxfId="262" priority="23" operator="lessThan">
      <formula>0</formula>
    </cfRule>
  </conditionalFormatting>
  <conditionalFormatting sqref="P72">
    <cfRule type="cellIs" dxfId="261" priority="22" operator="lessThan">
      <formula>0</formula>
    </cfRule>
  </conditionalFormatting>
  <conditionalFormatting sqref="P83">
    <cfRule type="cellIs" dxfId="260" priority="21" operator="lessThan">
      <formula>0</formula>
    </cfRule>
  </conditionalFormatting>
  <conditionalFormatting sqref="O80">
    <cfRule type="cellIs" dxfId="259" priority="16" operator="greaterThan">
      <formula>0</formula>
    </cfRule>
  </conditionalFormatting>
  <conditionalFormatting sqref="P80">
    <cfRule type="cellIs" dxfId="258" priority="19" operator="lessThan">
      <formula>0</formula>
    </cfRule>
  </conditionalFormatting>
  <conditionalFormatting sqref="Q80">
    <cfRule type="cellIs" dxfId="257" priority="17" operator="greaterThan">
      <formula>1</formula>
    </cfRule>
    <cfRule type="cellIs" dxfId="256" priority="18" operator="lessThan">
      <formula>0.8</formula>
    </cfRule>
  </conditionalFormatting>
  <conditionalFormatting sqref="R80">
    <cfRule type="cellIs" dxfId="255" priority="20" operator="lessThan">
      <formula>0.8</formula>
    </cfRule>
  </conditionalFormatting>
  <conditionalFormatting sqref="O81">
    <cfRule type="cellIs" dxfId="254" priority="11" operator="greaterThan">
      <formula>0</formula>
    </cfRule>
  </conditionalFormatting>
  <conditionalFormatting sqref="P81">
    <cfRule type="cellIs" dxfId="253" priority="14" operator="lessThan">
      <formula>0</formula>
    </cfRule>
  </conditionalFormatting>
  <conditionalFormatting sqref="Q81">
    <cfRule type="cellIs" dxfId="252" priority="12" operator="greaterThan">
      <formula>1</formula>
    </cfRule>
    <cfRule type="cellIs" dxfId="251" priority="13" operator="lessThan">
      <formula>0.8</formula>
    </cfRule>
  </conditionalFormatting>
  <conditionalFormatting sqref="R81">
    <cfRule type="cellIs" dxfId="250" priority="15" operator="lessThan">
      <formula>0.8</formula>
    </cfRule>
  </conditionalFormatting>
  <conditionalFormatting sqref="O65:O66">
    <cfRule type="cellIs" dxfId="249" priority="6" operator="greaterThan">
      <formula>0</formula>
    </cfRule>
  </conditionalFormatting>
  <conditionalFormatting sqref="P65:P66">
    <cfRule type="cellIs" dxfId="248" priority="9" operator="lessThan">
      <formula>0</formula>
    </cfRule>
  </conditionalFormatting>
  <conditionalFormatting sqref="Q65:Q66">
    <cfRule type="cellIs" dxfId="247" priority="7" operator="greaterThan">
      <formula>1</formula>
    </cfRule>
    <cfRule type="cellIs" dxfId="246" priority="8" operator="lessThan">
      <formula>0.8</formula>
    </cfRule>
  </conditionalFormatting>
  <conditionalFormatting sqref="AG65:AG66 R65:R66">
    <cfRule type="cellIs" dxfId="245" priority="10" operator="lessThan">
      <formula>0.8</formula>
    </cfRule>
  </conditionalFormatting>
  <conditionalFormatting sqref="O82">
    <cfRule type="cellIs" dxfId="244" priority="1" operator="greaterThan">
      <formula>0</formula>
    </cfRule>
  </conditionalFormatting>
  <conditionalFormatting sqref="P82">
    <cfRule type="cellIs" dxfId="243" priority="4" operator="lessThan">
      <formula>0</formula>
    </cfRule>
  </conditionalFormatting>
  <conditionalFormatting sqref="Q82">
    <cfRule type="cellIs" dxfId="242" priority="2" operator="greaterThan">
      <formula>1</formula>
    </cfRule>
    <cfRule type="cellIs" dxfId="241" priority="3" operator="lessThan">
      <formula>0.8</formula>
    </cfRule>
  </conditionalFormatting>
  <conditionalFormatting sqref="R82">
    <cfRule type="cellIs" dxfId="240" priority="5" operator="lessThan">
      <formula>0.8</formula>
    </cfRule>
  </conditionalFormatting>
  <dataValidations count="1">
    <dataValidation type="list" allowBlank="1" showInputMessage="1" showErrorMessage="1" sqref="AB9 AA5:AB8 AA9:AA71 AB11:AB68 AA72:AB83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D9" sqref="D9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612" t="s">
        <v>215</v>
      </c>
      <c r="C1" s="612"/>
      <c r="D1" s="612"/>
      <c r="E1" s="612"/>
      <c r="F1" s="612"/>
      <c r="G1" s="612"/>
      <c r="H1" s="612"/>
      <c r="I1" s="612"/>
      <c r="J1" s="612"/>
      <c r="K1" s="51"/>
      <c r="L1" s="51"/>
      <c r="M1" s="51"/>
      <c r="N1" s="51"/>
      <c r="O1" s="51"/>
      <c r="P1" s="51"/>
    </row>
    <row r="2" spans="2:17" ht="27.75" customHeight="1">
      <c r="B2" s="613"/>
      <c r="C2" s="613"/>
      <c r="D2" s="613"/>
      <c r="E2" s="613"/>
      <c r="F2" s="613"/>
      <c r="G2" s="613"/>
      <c r="H2" s="613"/>
      <c r="I2" s="613"/>
      <c r="J2" s="613"/>
      <c r="K2" s="53"/>
      <c r="L2" s="53"/>
      <c r="M2" s="53"/>
      <c r="N2" s="51"/>
      <c r="O2" s="51"/>
      <c r="P2" s="51"/>
    </row>
    <row r="3" spans="2:17" ht="46.5" customHeight="1">
      <c r="B3" s="54" t="s">
        <v>216</v>
      </c>
      <c r="C3" s="614" t="str">
        <f>TEXT('0802 4度C'!A2,"yyyy.mm.ddaaaa")</f>
        <v>2026.08.02星期日</v>
      </c>
      <c r="D3" s="615"/>
      <c r="E3" s="54" t="s">
        <v>217</v>
      </c>
      <c r="F3" s="616">
        <f>'0802 4度C'!D1</f>
        <v>206437</v>
      </c>
      <c r="G3" s="617"/>
      <c r="H3" s="54" t="s">
        <v>218</v>
      </c>
      <c r="I3" s="618">
        <f>'0802 4度C'!F1</f>
        <v>7189068.7300000014</v>
      </c>
      <c r="J3" s="619"/>
      <c r="K3" s="55"/>
      <c r="L3" s="56"/>
      <c r="M3" s="57"/>
      <c r="N3" s="57"/>
    </row>
    <row r="4" spans="2:17" ht="28.5" customHeight="1">
      <c r="B4" s="620" t="s">
        <v>219</v>
      </c>
      <c r="C4" s="606" t="s">
        <v>220</v>
      </c>
      <c r="D4" s="607"/>
      <c r="E4" s="623" t="s">
        <v>221</v>
      </c>
      <c r="F4" s="624"/>
      <c r="G4" s="623" t="s">
        <v>222</v>
      </c>
      <c r="H4" s="624"/>
      <c r="I4" s="623" t="s">
        <v>223</v>
      </c>
      <c r="J4" s="624"/>
      <c r="K4" s="604" t="s">
        <v>224</v>
      </c>
      <c r="L4" s="605"/>
      <c r="M4" s="605" t="s">
        <v>225</v>
      </c>
      <c r="N4" s="605"/>
    </row>
    <row r="5" spans="2:17" ht="28.5" customHeight="1">
      <c r="B5" s="621"/>
      <c r="C5" s="606" t="s">
        <v>226</v>
      </c>
      <c r="D5" s="607"/>
      <c r="E5" s="606" t="s">
        <v>227</v>
      </c>
      <c r="F5" s="607"/>
      <c r="G5" s="608" t="s">
        <v>228</v>
      </c>
      <c r="H5" s="609"/>
      <c r="I5" s="610" t="s">
        <v>229</v>
      </c>
      <c r="J5" s="611"/>
      <c r="K5" s="58" t="s">
        <v>230</v>
      </c>
      <c r="L5" s="59" t="s">
        <v>231</v>
      </c>
      <c r="M5" s="58" t="s">
        <v>232</v>
      </c>
      <c r="N5" s="59" t="s">
        <v>233</v>
      </c>
    </row>
    <row r="6" spans="2:17" ht="28.5" customHeight="1">
      <c r="B6" s="621"/>
      <c r="C6" s="606" t="s">
        <v>169</v>
      </c>
      <c r="D6" s="607"/>
      <c r="E6" s="598">
        <f>AVERAGE(D13:M13)</f>
        <v>157.46137331259882</v>
      </c>
      <c r="F6" s="599">
        <f>AVERAGE(D31:O31,D13:J13)</f>
        <v>166.48760480445995</v>
      </c>
      <c r="G6" s="600">
        <f>AVERAGE(D13:J13)</f>
        <v>166.48760480445995</v>
      </c>
      <c r="H6" s="601"/>
      <c r="I6" s="600">
        <f>AVERAGE(K13:M13)</f>
        <v>136.40016649825634</v>
      </c>
      <c r="J6" s="601"/>
      <c r="K6" s="602">
        <f>'0802 4度C'!Y2</f>
        <v>0</v>
      </c>
      <c r="L6" s="587">
        <f>'0802 4度C'!Z2</f>
        <v>0</v>
      </c>
      <c r="M6" s="603">
        <f>'0802 4度C'!AC2</f>
        <v>70</v>
      </c>
      <c r="N6" s="587">
        <f>'0802 4度C'!AD2</f>
        <v>0</v>
      </c>
    </row>
    <row r="7" spans="2:17" ht="28.5" customHeight="1">
      <c r="B7" s="621"/>
      <c r="C7" s="588" t="s">
        <v>170</v>
      </c>
      <c r="D7" s="589"/>
      <c r="E7" s="590">
        <f>AVERAGE(D14:M14)</f>
        <v>150.89847000771519</v>
      </c>
      <c r="F7" s="591">
        <f>AVERAGE(D32:O32,D14:J14)</f>
        <v>159.63868649387226</v>
      </c>
      <c r="G7" s="592">
        <f>AVERAGE(D14:J14)</f>
        <v>159.63868649387226</v>
      </c>
      <c r="H7" s="593"/>
      <c r="I7" s="592">
        <f>AVERAGE(K14:M14)</f>
        <v>130.5046315400154</v>
      </c>
      <c r="J7" s="593"/>
      <c r="K7" s="602"/>
      <c r="L7" s="587"/>
      <c r="M7" s="603"/>
      <c r="N7" s="587"/>
    </row>
    <row r="8" spans="2:17" ht="28.5" customHeight="1">
      <c r="B8" s="622"/>
      <c r="C8" s="588" t="s">
        <v>171</v>
      </c>
      <c r="D8" s="589"/>
      <c r="E8" s="594">
        <f>AVERAGE(D15:M15)</f>
        <v>0.95890469740323092</v>
      </c>
      <c r="F8" s="595">
        <f>AVERAGE(D15:J15,D33:O33)</f>
        <v>0.95982975933780235</v>
      </c>
      <c r="G8" s="596">
        <f>AVERAGE(D15:J15)</f>
        <v>0.95982975933780235</v>
      </c>
      <c r="H8" s="597"/>
      <c r="I8" s="596">
        <f>AVERAGE(K15:M15)</f>
        <v>0.95674621955589778</v>
      </c>
      <c r="J8" s="597"/>
      <c r="K8" s="602"/>
      <c r="L8" s="587"/>
      <c r="M8" s="603"/>
      <c r="N8" s="587"/>
    </row>
    <row r="9" spans="2:17" ht="28.5" customHeight="1" thickBot="1">
      <c r="H9" s="61"/>
      <c r="K9" s="62" t="s">
        <v>234</v>
      </c>
      <c r="N9" s="57"/>
      <c r="O9" s="57"/>
      <c r="P9" s="57"/>
      <c r="Q9" s="57"/>
    </row>
    <row r="10" spans="2:17" ht="30" customHeight="1">
      <c r="B10" s="570" t="s">
        <v>235</v>
      </c>
      <c r="C10" s="571"/>
      <c r="D10" s="572" t="s">
        <v>236</v>
      </c>
      <c r="E10" s="573"/>
      <c r="F10" s="573"/>
      <c r="G10" s="573"/>
      <c r="H10" s="573"/>
      <c r="I10" s="573"/>
      <c r="J10" s="574"/>
      <c r="K10" s="575" t="s">
        <v>237</v>
      </c>
      <c r="L10" s="576"/>
      <c r="M10" s="577"/>
      <c r="P10" s="63"/>
      <c r="Q10" s="63"/>
    </row>
    <row r="11" spans="2:17" ht="17.25" customHeight="1">
      <c r="B11" s="578" t="s">
        <v>238</v>
      </c>
      <c r="C11" s="579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80"/>
      <c r="C12" s="581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582" t="s">
        <v>239</v>
      </c>
      <c r="C13" s="70" t="s">
        <v>240</v>
      </c>
      <c r="D13" s="71">
        <f>SUMIFS('0802 4度C'!$K:$K,'0802 4度C'!$A:$A,"新豐6線",'0802 4度C'!$B:$B,"平均")</f>
        <v>129.87012987012986</v>
      </c>
      <c r="E13" s="72">
        <f>SUMIFS('0802 4度C'!$K:$K,'0802 4度C'!$A:$A,"新豐2線",'0802 4度C'!$B:$B,"平均")</f>
        <v>84.905660377358487</v>
      </c>
      <c r="F13" s="73">
        <f>SUMIFS('0802 4度C'!$K:$K,'0802 4度C'!$A:$A,"新豐5線",'0802 4度C'!$B:$B,"平均")</f>
        <v>93.023255813953497</v>
      </c>
      <c r="G13" s="73">
        <f>SUMIFS('0802 4度C'!$K:$K,'0802 4度C'!$A:$A,"新豐7線",'0802 4度C'!$B:$B,"平均")</f>
        <v>125</v>
      </c>
      <c r="H13" s="73">
        <f>SUMIFS('0802 4度C'!$K:$K,'0802 4度C'!$A:$A,"新豐3線",'0802 4度C'!$B:$B,"平均")</f>
        <v>324.32432432432432</v>
      </c>
      <c r="I13" s="73">
        <f>SUMIFS('0802 4度C'!$K:$K,'0802 4度C'!$A:$A,"新豐1線",'0802 4度C'!$B:$B,"平均")</f>
        <v>115.60693641618496</v>
      </c>
      <c r="J13" s="74">
        <f>SUMIFS('0802 4度C'!$K:$K,'0802 4度C'!$A:$A,"新豐10線",'0802 4度C'!$B:$B,"平均")</f>
        <v>292.6829268292683</v>
      </c>
      <c r="K13" s="75">
        <f>SUMIFS('0802 4度C'!$K:$K,'0802 4度C'!$A:$A,"新豐8線",'0802 4度C'!$B:$B,"平均")</f>
        <v>144.96644295302013</v>
      </c>
      <c r="L13" s="76">
        <f>SUMIFS('0802 4度C'!$K:$K,'0802 4度C'!$A:$A,"新豐9線",'0802 4度C'!$B:$B,"平均")</f>
        <v>122.22222222222223</v>
      </c>
      <c r="M13" s="74">
        <f>SUMIFS('0802 4度C'!$K:$K,'0802 4度C'!$A:$A,"新豐4線",'0802 4度C'!$B:$B,"平均")</f>
        <v>142.01183431952663</v>
      </c>
    </row>
    <row r="14" spans="2:17" ht="39.6" customHeight="1">
      <c r="B14" s="583"/>
      <c r="C14" s="77" t="s">
        <v>241</v>
      </c>
      <c r="D14" s="78">
        <f>SUMIFS('0802 4度C'!$N:$N,'0802 4度C'!$A:$A,"新豐6線",'0802 4度C'!$B:$B,"平均")</f>
        <v>125.46309921492147</v>
      </c>
      <c r="E14" s="79">
        <f>SUMIFS('0802 4度C'!$N:$N,'0802 4度C'!$A:$A,"新豐2線",'0802 4度C'!$B:$B,"平均")</f>
        <v>81.119656713238683</v>
      </c>
      <c r="F14" s="79">
        <f>SUMIFS('0802 4度C'!$N:$N,'0802 4度C'!$A:$A,"新豐5線",'0802 4度C'!$B:$B,"平均")</f>
        <v>89.254118234697174</v>
      </c>
      <c r="G14" s="79">
        <f>SUMIFS('0802 4度C'!$N:$N,'0802 4度C'!$A:$A,"新豐7線",'0802 4度C'!$B:$B,"平均")</f>
        <v>120.38702450996668</v>
      </c>
      <c r="H14" s="79">
        <f>SUMIFS('0802 4度C'!$N:$N,'0802 4度C'!$A:$A,"新豐3線",'0802 4度C'!$B:$B,"平均")</f>
        <v>309.24853607718052</v>
      </c>
      <c r="I14" s="79">
        <f>SUMIFS('0802 4度C'!$N:$N,'0802 4度C'!$A:$A,"新豐1線",'0802 4度C'!$B:$B,"平均")</f>
        <v>111.19320534553113</v>
      </c>
      <c r="J14" s="80">
        <f>SUMIFS('0802 4度C'!$N:$N,'0802 4度C'!$A:$A,"新豐10線",'0802 4度C'!$B:$B,"平均")</f>
        <v>280.80516536157</v>
      </c>
      <c r="K14" s="81">
        <f>SUMIFS('0802 4度C'!$N:$N,'0802 4度C'!$A:$A,"新豐8線",'0802 4度C'!$B:$B,"平均")</f>
        <v>138.69662855488059</v>
      </c>
      <c r="L14" s="82">
        <f>SUMIFS('0802 4度C'!$N:$N,'0802 4度C'!$A:$A,"新豐9線",'0802 4度C'!$B:$B,"平均")</f>
        <v>116.85626889762332</v>
      </c>
      <c r="M14" s="80">
        <f>SUMIFS('0802 4度C'!$N:$N,'0802 4度C'!$A:$A,"新豐4線",'0802 4度C'!$B:$B,"平均")</f>
        <v>135.96099716754227</v>
      </c>
    </row>
    <row r="15" spans="2:17" ht="40.15" customHeight="1">
      <c r="B15" s="584"/>
      <c r="C15" s="83" t="s">
        <v>242</v>
      </c>
      <c r="D15" s="84">
        <f t="shared" ref="D15:M15" si="0">D14/D13</f>
        <v>0.96606586395489547</v>
      </c>
      <c r="E15" s="85">
        <f t="shared" si="0"/>
        <v>0.95540929017814458</v>
      </c>
      <c r="F15" s="85">
        <f t="shared" si="0"/>
        <v>0.95948177102299448</v>
      </c>
      <c r="G15" s="85">
        <f t="shared" si="0"/>
        <v>0.9630961960797334</v>
      </c>
      <c r="H15" s="85">
        <f t="shared" si="0"/>
        <v>0.95351631957130656</v>
      </c>
      <c r="I15" s="85">
        <f t="shared" si="0"/>
        <v>0.96182122623884425</v>
      </c>
      <c r="J15" s="86">
        <f t="shared" si="0"/>
        <v>0.95941764831869747</v>
      </c>
      <c r="K15" s="84">
        <f t="shared" si="0"/>
        <v>0.95674989142024114</v>
      </c>
      <c r="L15" s="85">
        <f t="shared" si="0"/>
        <v>0.95609674552600898</v>
      </c>
      <c r="M15" s="86">
        <f t="shared" si="0"/>
        <v>0.95739202172144355</v>
      </c>
    </row>
    <row r="16" spans="2:17" ht="17.25" customHeight="1">
      <c r="B16" s="585" t="s">
        <v>243</v>
      </c>
      <c r="C16" s="87" t="s">
        <v>244</v>
      </c>
      <c r="D16" s="88">
        <f>VLOOKUP("新豐6線",'0802 4度C'!$A:$T,19,0)</f>
        <v>0.70833333333333337</v>
      </c>
      <c r="E16" s="89">
        <f>VLOOKUP("新豐2線",'0802 4度C'!$A:$T,19,0)</f>
        <v>8.3333333333333329E-2</v>
      </c>
      <c r="F16" s="89">
        <f>VLOOKUP("新豐5線",'0802 4度C'!$A:$T,19,0)</f>
        <v>8.3333333333333329E-2</v>
      </c>
      <c r="G16" s="89">
        <f>VLOOKUP("新豐7線",'0802 4度C'!$A:$T,19,0)</f>
        <v>0.20833333333333334</v>
      </c>
      <c r="H16" s="89">
        <f>VLOOKUP("新豐3線",'0802 4度C'!$A:$T,19,0)</f>
        <v>0.20833333333333334</v>
      </c>
      <c r="I16" s="89">
        <f>VLOOKUP("新豐1線",'0802 4度C'!$A:$T,19,0)</f>
        <v>8.3333333333333329E-2</v>
      </c>
      <c r="J16" s="90">
        <f>VLOOKUP("新豐10線",'0802 4度C'!$A:$T,19,0)</f>
        <v>0.20833333333333334</v>
      </c>
      <c r="K16" s="91">
        <f>VLOOKUP("新豐8線",'0802 4度C'!$A:$T,19,0)</f>
        <v>8.3333333333333329E-2</v>
      </c>
      <c r="L16" s="92">
        <f>VLOOKUP("新豐9線",'0802 4度C'!$A:$T,19,0)</f>
        <v>8.3333333333333329E-2</v>
      </c>
      <c r="M16" s="93">
        <f>VLOOKUP("新豐4線",'0802 4度C'!$A:$T,19,0)</f>
        <v>8.3333333333333329E-2</v>
      </c>
    </row>
    <row r="17" spans="2:13" ht="17.25" customHeight="1">
      <c r="B17" s="586"/>
      <c r="C17" s="87" t="s">
        <v>245</v>
      </c>
      <c r="D17" s="91">
        <f>LOOKUP(2,1/(('0802 4度C'!$A:$A="新豐6線")*('0802 4度C'!$T:$T&lt;&gt;"")),'0802 4度C'!$T:$T)</f>
        <v>0.91666666666666663</v>
      </c>
      <c r="E17" s="89">
        <f>LOOKUP(2,1/(('0802 4度C'!$A:$A="新豐2線")*('0802 4度C'!$T:$T&lt;&gt;"")),'0802 4度C'!$T:$T)</f>
        <v>0.68888888888888877</v>
      </c>
      <c r="F17" s="89">
        <f>LOOKUP(2,1/(('0802 4度C'!$A:$A="新豐5線")*('0802 4度C'!$T:$T&lt;&gt;"")),'0802 4度C'!$T:$T)</f>
        <v>0.85347222222222219</v>
      </c>
      <c r="G17" s="89">
        <f>LOOKUP(2,1/(('0802 4度C'!$A:$A="新豐7線")*('0802 4度C'!$T:$T&lt;&gt;"")),'0802 4度C'!$T:$T)</f>
        <v>0.90486111111111112</v>
      </c>
      <c r="H17" s="89">
        <f>LOOKUP(2,1/(('0802 4度C'!$A:$A="新豐3線")*('0802 4度C'!$T:$T&lt;&gt;"")),'0802 4度C'!$T:$T)</f>
        <v>0.44027777777777777</v>
      </c>
      <c r="I17" s="89">
        <f>LOOKUP(2,1/(('0802 4度C'!$A:$A="新豐1線")*('0802 4度C'!$T:$T&lt;&gt;"")),'0802 4度C'!$T:$T)</f>
        <v>0.92152777777777783</v>
      </c>
      <c r="J17" s="90">
        <f>LOOKUP(2,1/(('0802 4度C'!$A:$A="新豐10線")*('0802 4度C'!$T:$T&lt;&gt;"")),'0802 4度C'!$T:$T)</f>
        <v>0.4548611111111111</v>
      </c>
      <c r="K17" s="88">
        <f>LOOKUP(2,1/(('0802 4度C'!$A:$A="新豐8線")*('0802 4度C'!$T:$T&lt;&gt;"")),'0802 4度C'!$T:$T)</f>
        <v>0.76874999999999993</v>
      </c>
      <c r="L17" s="89">
        <f>LOOKUP(2,1/(('0802 4度C'!$A:$A="新豐9線")*('0802 4度C'!$T:$T&lt;&gt;"")),'0802 4度C'!$T:$T)</f>
        <v>0.76458333333333328</v>
      </c>
      <c r="M17" s="90">
        <f>LOOKUP(2,1/(('0802 4度C'!$A:$A="新豐4線")*('0802 4度C'!$T:$T&lt;&gt;"")),'0802 4度C'!$T:$T)</f>
        <v>0.76180555555555529</v>
      </c>
    </row>
    <row r="18" spans="2:13" ht="17.25" customHeight="1">
      <c r="B18" s="564" t="s">
        <v>246</v>
      </c>
      <c r="C18" s="94" t="s">
        <v>247</v>
      </c>
      <c r="D18" s="95">
        <f>SUMIFS('0802 4度C'!$Y:$Y,'0802 4度C'!$A:$A,"新豐6線",'0802 4度C'!$B:$B,"平均")</f>
        <v>0</v>
      </c>
      <c r="E18" s="96">
        <f>SUMIFS('0802 4度C'!$Y:$Y,'0802 4度C'!$A:$A,"新豐2線",'0802 4度C'!$B:$B,"平均")</f>
        <v>0</v>
      </c>
      <c r="F18" s="96">
        <f>SUMIFS('0802 4度C'!$Y:$Y,'0802 4度C'!$A:$A,"新豐5線",'0802 4度C'!$B:$B,"平均")</f>
        <v>0</v>
      </c>
      <c r="G18" s="96">
        <f>SUMIFS('0802 4度C'!$Y:$Y,'0802 4度C'!$A:$A,"新豐7線",'0802 4度C'!$B:$B,"平均")</f>
        <v>0</v>
      </c>
      <c r="H18" s="96">
        <f>SUMIFS('0802 4度C'!$Y:$Y,'0802 4度C'!$A:$A,"新豐3線",'0802 4度C'!$B:$B,"平均")</f>
        <v>0</v>
      </c>
      <c r="I18" s="96">
        <f>SUMIFS('0802 4度C'!$Y:$Y,'0802 4度C'!$A:$A,"新豐1線",'0802 4度C'!$B:$B,"平均")</f>
        <v>0</v>
      </c>
      <c r="J18" s="97">
        <f>SUMIFS('0802 4度C'!$Y:$Y,'0802 4度C'!$A:$A,"新豐10線",'0802 4度C'!$B:$B,"平均")</f>
        <v>0</v>
      </c>
      <c r="K18" s="98">
        <f>SUMIFS('0802 4度C'!$Y:$Y,'0802 4度C'!$A:$A,"新豐8線",'0802 4度C'!$B:$B,"平均")</f>
        <v>0</v>
      </c>
      <c r="L18" s="96">
        <f>SUMIFS('0802 4度C'!$Y:$Y,'0802 4度C'!$A:$A,"新豐9線",'0802 4度C'!$B:$B,"平均")</f>
        <v>0</v>
      </c>
      <c r="M18" s="97">
        <f>SUMIFS('0802 4度C'!$Y:$Y,'0802 4度C'!$A:$A,"新豐4線",'0802 4度C'!$B:$B,"平均")</f>
        <v>0</v>
      </c>
    </row>
    <row r="19" spans="2:13" ht="17.25" customHeight="1">
      <c r="B19" s="565"/>
      <c r="C19" s="94" t="s">
        <v>248</v>
      </c>
      <c r="D19" s="95">
        <f>SUMIFS('0802 4度C'!$Z:$Z,'0802 4度C'!$A:$A,"新豐6線",'0802 4度C'!$B:$B,"平均")</f>
        <v>0</v>
      </c>
      <c r="E19" s="96">
        <f>SUMIFS('0802 4度C'!$Z:$Z,'0802 4度C'!$A:$A,"新豐2線",'0802 4度C'!$B:$B,"平均")</f>
        <v>0</v>
      </c>
      <c r="F19" s="96">
        <f>SUMIFS('0802 4度C'!$Z:$Z,'0802 4度C'!$A:$A,"新豐5線",'0802 4度C'!$B:$B,"平均")</f>
        <v>0</v>
      </c>
      <c r="G19" s="96">
        <f>SUMIFS('0802 4度C'!$Z:$Z,'0802 4度C'!$A:$A,"新豐7線",'0802 4度C'!$B:$B,"平均")</f>
        <v>0</v>
      </c>
      <c r="H19" s="96">
        <f>SUMIFS('0802 4度C'!$Z:$Z,'0802 4度C'!$A:$A,"新豐3線",'0802 4度C'!$B:$B,"平均")</f>
        <v>0</v>
      </c>
      <c r="I19" s="96">
        <f>SUMIFS('0802 4度C'!$Z:$Z,'0802 4度C'!$A:$A,"新豐1線",'0802 4度C'!$B:$B,"平均")</f>
        <v>0</v>
      </c>
      <c r="J19" s="97">
        <f>SUMIFS('0802 4度C'!$Z:$Z,'0802 4度C'!$A:$A,"新豐10線",'0802 4度C'!$B:$B,"平均")</f>
        <v>0</v>
      </c>
      <c r="K19" s="98">
        <f>SUMIFS('0802 4度C'!$Z:$Z,'0802 4度C'!$A:$A,"新豐8線",'0802 4度C'!$B:$B,"平均")</f>
        <v>0</v>
      </c>
      <c r="L19" s="96">
        <f>SUMIFS('0802 4度C'!$Z:$Z,'0802 4度C'!$A:$A,"新豐9線",'0802 4度C'!$B:$B,"平均")</f>
        <v>0</v>
      </c>
      <c r="M19" s="97">
        <f>SUMIFS('0802 4度C'!$Z:$Z,'0802 4度C'!$A:$A,"新豐4線",'0802 4度C'!$B:$B,"平均")</f>
        <v>0</v>
      </c>
    </row>
    <row r="20" spans="2:13" ht="17.25" customHeight="1">
      <c r="B20" s="564" t="s">
        <v>249</v>
      </c>
      <c r="C20" s="94" t="s">
        <v>247</v>
      </c>
      <c r="D20" s="95">
        <f>SUMIFS('0802 4度C'!$AC:$AC,'0802 4度C'!$A:$A,"新豐6線",'0802 4度C'!$B:$B,"平均")</f>
        <v>5</v>
      </c>
      <c r="E20" s="96">
        <f>SUMIFS('0802 4度C'!$AC:$AC,'0802 4度C'!$A:$A,"新豐2線",'0802 4度C'!$B:$B,"平均")</f>
        <v>6</v>
      </c>
      <c r="F20" s="96">
        <f>SUMIFS('0802 4度C'!$AC:$AC,'0802 4度C'!$A:$A,"新豐5線",'0802 4度C'!$B:$B,"平均")</f>
        <v>7</v>
      </c>
      <c r="G20" s="96">
        <f>SUMIFS('0802 4度C'!$AC:$AC,'0802 4度C'!$A:$A,"新豐7線",'0802 4度C'!$B:$B,"平均")</f>
        <v>7</v>
      </c>
      <c r="H20" s="96">
        <f>SUMIFS('0802 4度C'!$AC:$AC,'0802 4度C'!$A:$A,"新豐3線",'0802 4度C'!$B:$B,"平均")</f>
        <v>4</v>
      </c>
      <c r="I20" s="96">
        <f>SUMIFS('0802 4度C'!$AC:$AC,'0802 4度C'!$A:$A,"新豐1線",'0802 4度C'!$B:$B,"平均")</f>
        <v>10</v>
      </c>
      <c r="J20" s="97">
        <f>SUMIFS('0802 4度C'!$AC:$AC,'0802 4度C'!$A:$A,"新豐10線",'0802 4度C'!$B:$B,"平均")</f>
        <v>4</v>
      </c>
      <c r="K20" s="98">
        <f>SUMIFS('0802 4度C'!$AC:$AC,'0802 4度C'!$A:$A,"新豐8線",'0802 4度C'!$B:$B,"平均")</f>
        <v>9</v>
      </c>
      <c r="L20" s="96">
        <f>SUMIFS('0802 4度C'!$AC:$AC,'0802 4度C'!$A:$A,"新豐9線",'0802 4度C'!$B:$B,"平均")</f>
        <v>8</v>
      </c>
      <c r="M20" s="97">
        <f>SUMIFS('0802 4度C'!$AC:$AC,'0802 4度C'!$A:$A,"新豐4線",'0802 4度C'!$B:$B,"平均")</f>
        <v>10</v>
      </c>
    </row>
    <row r="21" spans="2:13" ht="17.25" customHeight="1">
      <c r="B21" s="565"/>
      <c r="C21" s="94" t="s">
        <v>250</v>
      </c>
      <c r="D21" s="95">
        <f>SUMIFS('0802 4度C'!$AD:$AD,'0802 4度C'!$A:$A,"新豐6線",'0802 4度C'!$B:$B,"平均")</f>
        <v>0</v>
      </c>
      <c r="E21" s="96">
        <f>SUMIFS('0802 4度C'!$AD:$AD,'0802 4度C'!$A:$A,"新豐2線",'0802 4度C'!$B:$B,"平均")</f>
        <v>0</v>
      </c>
      <c r="F21" s="96">
        <f>SUMIFS('0802 4度C'!$AD:$AD,'0802 4度C'!$A:$A,"新豐5線",'0802 4度C'!$B:$B,"平均")</f>
        <v>0</v>
      </c>
      <c r="G21" s="96">
        <f>SUMIFS('0802 4度C'!$AD:$AD,'0802 4度C'!$A:$A,"新豐7線",'0802 4度C'!$B:$B,"平均")</f>
        <v>0</v>
      </c>
      <c r="H21" s="96">
        <f>SUMIFS('0802 4度C'!$AD:$AD,'0802 4度C'!$A:$A,"新豐3線",'0802 4度C'!$B:$B,"平均")</f>
        <v>0</v>
      </c>
      <c r="I21" s="96">
        <f>SUMIFS('0802 4度C'!$AD:$AD,'0802 4度C'!$A:$A,"新豐1線",'0802 4度C'!$B:$B,"平均")</f>
        <v>0</v>
      </c>
      <c r="J21" s="97">
        <f>SUMIFS('0802 4度C'!$AD:$AD,'0802 4度C'!$A:$A,"新豐10線",'0802 4度C'!$B:$B,"平均")</f>
        <v>0</v>
      </c>
      <c r="K21" s="98">
        <f>SUMIFS('0802 4度C'!$AD:$AD,'0802 4度C'!$A:$A,"新豐8線",'0802 4度C'!$B:$B,"平均")</f>
        <v>0</v>
      </c>
      <c r="L21" s="96">
        <f>SUMIFS('0802 4度C'!$AD:$AD,'0802 4度C'!$A:$A,"新豐9線",'0802 4度C'!$B:$B,"平均")</f>
        <v>0</v>
      </c>
      <c r="M21" s="97">
        <f>SUMIFS('0802 4度C'!$AD:$AD,'0802 4度C'!$A:$A,"新豐4線",'0802 4度C'!$B:$B,"平均")</f>
        <v>0</v>
      </c>
    </row>
    <row r="22" spans="2:13" ht="17.25" customHeight="1">
      <c r="B22" s="566" t="s">
        <v>251</v>
      </c>
      <c r="C22" s="567"/>
      <c r="D22" s="99">
        <f>SUMIFS('0802 4度C'!$I:$I,'0802 4度C'!$A:$A,"新豐6線",'0802 4度C'!$B:$B,"平均")</f>
        <v>15.4</v>
      </c>
      <c r="E22" s="100">
        <f>SUMIFS('0802 4度C'!$I:$I,'0802 4度C'!$A:$A,"新豐2線",'0802 4度C'!$B:$B,"平均")</f>
        <v>17.666666666666668</v>
      </c>
      <c r="F22" s="100">
        <f>SUMIFS('0802 4度C'!$I:$I,'0802 4度C'!$A:$A,"新豐5線",'0802 4度C'!$B:$B,"平均")</f>
        <v>18.428571428571427</v>
      </c>
      <c r="G22" s="100">
        <f>SUMIFS('0802 4度C'!$I:$I,'0802 4度C'!$A:$A,"新豐7線",'0802 4度C'!$B:$B,"平均")</f>
        <v>16</v>
      </c>
      <c r="H22" s="100">
        <f>SUMIFS('0802 4度C'!$I:$I,'0802 4度C'!$A:$A,"新豐3線",'0802 4度C'!$B:$B,"平均")</f>
        <v>9.25</v>
      </c>
      <c r="I22" s="100">
        <f>SUMIFS('0802 4度C'!$I:$I,'0802 4度C'!$A:$A,"新豐1線",'0802 4度C'!$B:$B,"平均")</f>
        <v>17.3</v>
      </c>
      <c r="J22" s="101">
        <f>SUMIFS('0802 4度C'!$I:$I,'0802 4度C'!$A:$A,"新豐10線",'0802 4度C'!$B:$B,"平均")</f>
        <v>10.25</v>
      </c>
      <c r="K22" s="99">
        <f>SUMIFS('0802 4度C'!$I:$I,'0802 4度C'!$A:$A,"新豐8線",'0802 4度C'!$B:$B,"平均")</f>
        <v>16.555555555555557</v>
      </c>
      <c r="L22" s="100">
        <f>SUMIFS('0802 4度C'!$I:$I,'0802 4度C'!$A:$A,"新豐9線",'0802 4度C'!$B:$B,"平均")</f>
        <v>18</v>
      </c>
      <c r="M22" s="101">
        <f>SUMIFS('0802 4度C'!$I:$I,'0802 4度C'!$A:$A,"新豐4線",'0802 4度C'!$B:$B,"平均")</f>
        <v>16.899999999999999</v>
      </c>
    </row>
    <row r="23" spans="2:13" ht="17.25" customHeight="1">
      <c r="B23" s="566" t="s">
        <v>252</v>
      </c>
      <c r="C23" s="567"/>
      <c r="D23" s="102" t="s">
        <v>202</v>
      </c>
      <c r="E23" s="103" t="s">
        <v>203</v>
      </c>
      <c r="F23" s="103" t="s">
        <v>253</v>
      </c>
      <c r="G23" s="103" t="s">
        <v>254</v>
      </c>
      <c r="H23" s="103" t="s">
        <v>205</v>
      </c>
      <c r="I23" s="103" t="s">
        <v>202</v>
      </c>
      <c r="J23" s="104" t="s">
        <v>205</v>
      </c>
      <c r="K23" s="102" t="s">
        <v>255</v>
      </c>
      <c r="L23" s="103" t="s">
        <v>256</v>
      </c>
      <c r="M23" s="104" t="s">
        <v>256</v>
      </c>
    </row>
    <row r="24" spans="2:13" ht="17.25" customHeight="1">
      <c r="B24" s="566" t="s">
        <v>257</v>
      </c>
      <c r="C24" s="567"/>
      <c r="D24" s="102"/>
      <c r="E24" s="103"/>
      <c r="F24" s="103" t="s">
        <v>258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68" t="s">
        <v>259</v>
      </c>
      <c r="C25" s="569"/>
      <c r="D25" s="105"/>
      <c r="E25" s="106" t="s">
        <v>260</v>
      </c>
      <c r="F25" s="562" t="s">
        <v>261</v>
      </c>
      <c r="G25" s="563"/>
      <c r="H25" s="106" t="s">
        <v>262</v>
      </c>
      <c r="I25" s="106" t="s">
        <v>263</v>
      </c>
      <c r="J25" s="107" t="s">
        <v>264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239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85"/>
  <sheetViews>
    <sheetView topLeftCell="G1" zoomScale="80" zoomScaleNormal="80" workbookViewId="0">
      <pane ySplit="4" topLeftCell="A35" activePane="bottomLeft" state="frozen"/>
      <selection activeCell="G5" sqref="G5:H5"/>
      <selection pane="bottomLeft" activeCell="G5" sqref="G5:H5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9" customWidth="1"/>
    <col min="20" max="20" width="7.625" style="9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265</v>
      </c>
      <c r="B1" s="1"/>
      <c r="C1" s="2" t="s">
        <v>266</v>
      </c>
      <c r="D1" s="3">
        <f>SUM(F5:F84)</f>
        <v>206437</v>
      </c>
      <c r="E1" s="116" t="s">
        <v>267</v>
      </c>
      <c r="F1" s="1">
        <f>SUM(G5:G84)</f>
        <v>7189068.7300000014</v>
      </c>
      <c r="G1" s="1" t="s">
        <v>268</v>
      </c>
      <c r="H1" s="5">
        <f>L10+L17+L57+L68+L25+L73+L43+L52+L33+L84</f>
        <v>155.75079365079367</v>
      </c>
      <c r="I1" s="676" t="s">
        <v>269</v>
      </c>
      <c r="J1" s="676"/>
      <c r="K1" s="676"/>
      <c r="L1" s="676" t="s">
        <v>270</v>
      </c>
      <c r="M1" s="676"/>
      <c r="N1" s="676"/>
      <c r="O1" s="676" t="s">
        <v>271</v>
      </c>
      <c r="P1" s="676"/>
      <c r="Q1" s="676"/>
      <c r="R1" s="676"/>
      <c r="S1" s="676" t="s">
        <v>272</v>
      </c>
      <c r="T1" s="676"/>
      <c r="U1" s="676"/>
      <c r="V1" s="676"/>
      <c r="W1" s="676"/>
      <c r="X1" s="676"/>
      <c r="Y1" s="6" t="s">
        <v>273</v>
      </c>
      <c r="Z1" s="7" t="s">
        <v>274</v>
      </c>
      <c r="AA1" s="677" t="s">
        <v>275</v>
      </c>
      <c r="AB1" s="677"/>
      <c r="AC1" s="8" t="s">
        <v>273</v>
      </c>
      <c r="AD1" s="7" t="s">
        <v>276</v>
      </c>
      <c r="AE1" s="676" t="s">
        <v>277</v>
      </c>
      <c r="AF1" s="678"/>
      <c r="AG1" s="678"/>
    </row>
    <row r="2" spans="1:33" ht="26.25" customHeight="1">
      <c r="A2" s="35">
        <v>46236</v>
      </c>
      <c r="B2" s="36" t="s">
        <v>278</v>
      </c>
      <c r="C2" s="2" t="s">
        <v>279</v>
      </c>
      <c r="D2" s="10">
        <f>AVERAGE(N10,N17,N57,N68,N25,N73,N33,N43,N52,N84)</f>
        <v>150.89847000771519</v>
      </c>
      <c r="E2" s="11" t="s">
        <v>14</v>
      </c>
      <c r="F2" s="12">
        <f>F1/D1</f>
        <v>34.824516583751951</v>
      </c>
      <c r="G2" s="1" t="s">
        <v>280</v>
      </c>
      <c r="H2" s="121">
        <f>COUNT(H5:H84)</f>
        <v>17</v>
      </c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14">
        <f>SUM(Y10+Y17+Y25+Y33+Y43+Y52+Y57+Y68+Y73+Y84)</f>
        <v>0</v>
      </c>
      <c r="Z2" s="14">
        <f>SUM(Z10+Z17+Z25+Z33+Z43+Z52+Z57+Z68+Z73+Z84)</f>
        <v>0</v>
      </c>
      <c r="AA2" s="677"/>
      <c r="AB2" s="677"/>
      <c r="AC2" s="14">
        <f>SUM(AC10+AC17+AC25+AC33+AC43+AC52+AC57+AC68+AC73+AC84)</f>
        <v>70</v>
      </c>
      <c r="AD2" s="14">
        <f>SUM(AD10+AD17+AD25+AD33+AD43+AD52+AD57+AD68+AD73+AD84)</f>
        <v>0</v>
      </c>
      <c r="AE2" s="678"/>
      <c r="AF2" s="678"/>
      <c r="AG2" s="678"/>
    </row>
    <row r="3" spans="1:33" ht="40.5" customHeight="1">
      <c r="A3" s="632" t="s">
        <v>281</v>
      </c>
      <c r="B3" s="632" t="s">
        <v>282</v>
      </c>
      <c r="C3" s="632" t="s">
        <v>283</v>
      </c>
      <c r="D3" s="632"/>
      <c r="E3" s="674" t="s">
        <v>284</v>
      </c>
      <c r="F3" s="632" t="s">
        <v>285</v>
      </c>
      <c r="G3" s="674" t="s">
        <v>286</v>
      </c>
      <c r="H3" s="667" t="s">
        <v>287</v>
      </c>
      <c r="I3" s="665" t="s">
        <v>288</v>
      </c>
      <c r="J3" s="662" t="s">
        <v>289</v>
      </c>
      <c r="K3" s="672" t="s">
        <v>279</v>
      </c>
      <c r="L3" s="665" t="s">
        <v>288</v>
      </c>
      <c r="M3" s="662" t="s">
        <v>289</v>
      </c>
      <c r="N3" s="672" t="s">
        <v>279</v>
      </c>
      <c r="O3" s="665" t="s">
        <v>288</v>
      </c>
      <c r="P3" s="672" t="s">
        <v>279</v>
      </c>
      <c r="Q3" s="663" t="s">
        <v>290</v>
      </c>
      <c r="R3" s="641" t="s">
        <v>291</v>
      </c>
      <c r="S3" s="632" t="s">
        <v>29</v>
      </c>
      <c r="T3" s="632"/>
      <c r="U3" s="667" t="s">
        <v>30</v>
      </c>
      <c r="V3" s="667" t="s">
        <v>292</v>
      </c>
      <c r="W3" s="632" t="s">
        <v>293</v>
      </c>
      <c r="X3" s="632"/>
      <c r="Y3" s="668" t="s">
        <v>294</v>
      </c>
      <c r="Z3" s="631"/>
      <c r="AA3" s="669" t="s">
        <v>295</v>
      </c>
      <c r="AB3" s="670"/>
      <c r="AC3" s="668" t="s">
        <v>296</v>
      </c>
      <c r="AD3" s="631"/>
      <c r="AE3" s="662" t="s">
        <v>289</v>
      </c>
      <c r="AF3" s="663" t="s">
        <v>290</v>
      </c>
      <c r="AG3" s="641" t="s">
        <v>291</v>
      </c>
    </row>
    <row r="4" spans="1:33" ht="15.75" customHeight="1">
      <c r="A4" s="632"/>
      <c r="B4" s="632"/>
      <c r="C4" s="632"/>
      <c r="D4" s="632"/>
      <c r="E4" s="675"/>
      <c r="F4" s="632"/>
      <c r="G4" s="675"/>
      <c r="H4" s="667"/>
      <c r="I4" s="665"/>
      <c r="J4" s="662"/>
      <c r="K4" s="672"/>
      <c r="L4" s="665"/>
      <c r="M4" s="662"/>
      <c r="N4" s="672"/>
      <c r="O4" s="665"/>
      <c r="P4" s="672"/>
      <c r="Q4" s="663"/>
      <c r="R4" s="641"/>
      <c r="S4" s="116" t="s">
        <v>39</v>
      </c>
      <c r="T4" s="116" t="s">
        <v>40</v>
      </c>
      <c r="U4" s="667"/>
      <c r="V4" s="667"/>
      <c r="W4" s="116" t="s">
        <v>297</v>
      </c>
      <c r="X4" s="116" t="s">
        <v>298</v>
      </c>
      <c r="Y4" s="110" t="s">
        <v>299</v>
      </c>
      <c r="Z4" s="110" t="s">
        <v>300</v>
      </c>
      <c r="AA4" s="671"/>
      <c r="AB4" s="670"/>
      <c r="AC4" s="110" t="s">
        <v>301</v>
      </c>
      <c r="AD4" s="110" t="s">
        <v>302</v>
      </c>
      <c r="AE4" s="662"/>
      <c r="AF4" s="663"/>
      <c r="AG4" s="641"/>
    </row>
    <row r="5" spans="1:33">
      <c r="A5" s="664" t="s">
        <v>303</v>
      </c>
      <c r="B5" s="42" t="s">
        <v>92</v>
      </c>
      <c r="C5" s="666" t="s">
        <v>93</v>
      </c>
      <c r="D5" s="666"/>
      <c r="E5" s="42">
        <v>50.92</v>
      </c>
      <c r="F5" s="120">
        <v>1200</v>
      </c>
      <c r="G5" s="116">
        <f t="shared" ref="G5:G9" si="0">E5*F5</f>
        <v>61104</v>
      </c>
      <c r="H5" s="37">
        <v>2</v>
      </c>
      <c r="I5" s="118">
        <v>15</v>
      </c>
      <c r="J5" s="39">
        <v>2000</v>
      </c>
      <c r="K5" s="17">
        <f t="shared" ref="K5:K68" si="1">J5/I5</f>
        <v>133.33333333333334</v>
      </c>
      <c r="L5" s="118">
        <v>15</v>
      </c>
      <c r="M5" s="18">
        <f t="shared" ref="M5:M9" si="2">F5/V5*60</f>
        <v>1945.9459459459445</v>
      </c>
      <c r="N5" s="17">
        <f t="shared" ref="N5:N68" si="3">M5/L5</f>
        <v>129.72972972972963</v>
      </c>
      <c r="O5" s="19">
        <f t="shared" ref="O5:O68" si="4">L5-I5</f>
        <v>0</v>
      </c>
      <c r="P5" s="20">
        <f t="shared" ref="P5:P68" si="5">N5-K5</f>
        <v>-3.603603603603716</v>
      </c>
      <c r="Q5" s="115">
        <f t="shared" ref="Q5:Q68" si="6">N5/K5</f>
        <v>0.97297297297297214</v>
      </c>
      <c r="R5" s="637">
        <f>Q10</f>
        <v>0.96606586395489547</v>
      </c>
      <c r="S5" s="40">
        <v>0.70833333333333337</v>
      </c>
      <c r="T5" s="40">
        <v>0.73402777777777783</v>
      </c>
      <c r="U5" s="116"/>
      <c r="V5" s="119">
        <f t="shared" ref="V5:V9" si="7">(T5-S5)*24*60</f>
        <v>37.000000000000028</v>
      </c>
      <c r="W5" s="23"/>
      <c r="X5" s="23"/>
      <c r="Y5" s="24"/>
      <c r="Z5" s="24"/>
      <c r="AA5" s="632"/>
      <c r="AB5" s="632"/>
      <c r="AC5" s="135">
        <v>5</v>
      </c>
      <c r="AD5" s="25"/>
      <c r="AE5" s="19">
        <f t="shared" ref="AE5:AE67" si="8">M5-J5</f>
        <v>-54.054054054055541</v>
      </c>
      <c r="AF5" s="115">
        <f t="shared" ref="AF5:AF68" si="9">M5/J5</f>
        <v>0.97297297297297225</v>
      </c>
      <c r="AG5" s="637">
        <f>AF10</f>
        <v>0.96606586395489535</v>
      </c>
    </row>
    <row r="6" spans="1:33">
      <c r="A6" s="665" t="s">
        <v>304</v>
      </c>
      <c r="B6" s="42" t="s">
        <v>92</v>
      </c>
      <c r="C6" s="666" t="s">
        <v>94</v>
      </c>
      <c r="D6" s="666"/>
      <c r="E6" s="42">
        <v>50.98</v>
      </c>
      <c r="F6" s="120">
        <v>1200</v>
      </c>
      <c r="G6" s="116">
        <f t="shared" si="0"/>
        <v>61175.999999999993</v>
      </c>
      <c r="H6" s="37">
        <v>2</v>
      </c>
      <c r="I6" s="118">
        <v>16</v>
      </c>
      <c r="J6" s="39">
        <v>2000</v>
      </c>
      <c r="K6" s="17">
        <f t="shared" si="1"/>
        <v>125</v>
      </c>
      <c r="L6" s="118">
        <v>16</v>
      </c>
      <c r="M6" s="18">
        <f t="shared" si="2"/>
        <v>1945.9459459459445</v>
      </c>
      <c r="N6" s="17">
        <f t="shared" si="3"/>
        <v>121.62162162162153</v>
      </c>
      <c r="O6" s="19">
        <f t="shared" si="4"/>
        <v>0</v>
      </c>
      <c r="P6" s="20">
        <f t="shared" si="5"/>
        <v>-3.3783783783784713</v>
      </c>
      <c r="Q6" s="115">
        <f t="shared" si="6"/>
        <v>0.97297297297297225</v>
      </c>
      <c r="R6" s="637"/>
      <c r="S6" s="40">
        <v>0.73819444444444449</v>
      </c>
      <c r="T6" s="40">
        <v>0.76388888888888895</v>
      </c>
      <c r="U6" s="116">
        <f t="shared" ref="U6:U9" si="10">IF(S6=TIME(17,0,0),"",(S6-T5)*24*60)</f>
        <v>5.9999999999999787</v>
      </c>
      <c r="V6" s="119">
        <f t="shared" si="7"/>
        <v>37.000000000000028</v>
      </c>
      <c r="W6" s="23"/>
      <c r="X6" s="23"/>
      <c r="Y6" s="23"/>
      <c r="Z6" s="23"/>
      <c r="AA6" s="632"/>
      <c r="AB6" s="632"/>
      <c r="AC6" s="135"/>
      <c r="AD6" s="25"/>
      <c r="AE6" s="19">
        <f t="shared" si="8"/>
        <v>-54.054054054055541</v>
      </c>
      <c r="AF6" s="115">
        <f t="shared" si="9"/>
        <v>0.97297297297297225</v>
      </c>
      <c r="AG6" s="637"/>
    </row>
    <row r="7" spans="1:33">
      <c r="A7" s="665" t="s">
        <v>304</v>
      </c>
      <c r="B7" s="42" t="s">
        <v>92</v>
      </c>
      <c r="C7" s="660" t="s">
        <v>109</v>
      </c>
      <c r="D7" s="661"/>
      <c r="E7" s="42">
        <v>50.49</v>
      </c>
      <c r="F7" s="120">
        <v>2140</v>
      </c>
      <c r="G7" s="116">
        <f t="shared" si="0"/>
        <v>108048.6</v>
      </c>
      <c r="H7" s="37" t="s">
        <v>91</v>
      </c>
      <c r="I7" s="118">
        <v>15</v>
      </c>
      <c r="J7" s="39">
        <v>2000</v>
      </c>
      <c r="K7" s="17">
        <f t="shared" si="1"/>
        <v>133.33333333333334</v>
      </c>
      <c r="L7" s="118">
        <v>15</v>
      </c>
      <c r="M7" s="18">
        <f t="shared" si="2"/>
        <v>1916.4179104477637</v>
      </c>
      <c r="N7" s="17">
        <f t="shared" si="3"/>
        <v>127.76119402985091</v>
      </c>
      <c r="O7" s="19">
        <f t="shared" si="4"/>
        <v>0</v>
      </c>
      <c r="P7" s="20">
        <f t="shared" si="5"/>
        <v>-5.5721393034824303</v>
      </c>
      <c r="Q7" s="115">
        <f t="shared" si="6"/>
        <v>0.95820895522388183</v>
      </c>
      <c r="R7" s="637"/>
      <c r="S7" s="40">
        <v>0.76736111111111116</v>
      </c>
      <c r="T7" s="40">
        <v>0.81388888888888888</v>
      </c>
      <c r="U7" s="116">
        <f t="shared" si="10"/>
        <v>4.9999999999999822</v>
      </c>
      <c r="V7" s="119">
        <f t="shared" si="7"/>
        <v>66.999999999999915</v>
      </c>
      <c r="W7" s="23">
        <f>T7</f>
        <v>0.81388888888888888</v>
      </c>
      <c r="X7" s="23">
        <f>S8</f>
        <v>0.85347222222222219</v>
      </c>
      <c r="Y7" s="26"/>
      <c r="Z7" s="26"/>
      <c r="AA7" s="627"/>
      <c r="AB7" s="628"/>
      <c r="AC7" s="135"/>
      <c r="AD7" s="27"/>
      <c r="AE7" s="19">
        <f t="shared" si="8"/>
        <v>-83.582089552236312</v>
      </c>
      <c r="AF7" s="115">
        <f t="shared" si="9"/>
        <v>0.95820895522388183</v>
      </c>
      <c r="AG7" s="637"/>
    </row>
    <row r="8" spans="1:33">
      <c r="A8" s="665" t="s">
        <v>304</v>
      </c>
      <c r="B8" s="42" t="s">
        <v>92</v>
      </c>
      <c r="C8" s="660" t="s">
        <v>94</v>
      </c>
      <c r="D8" s="661"/>
      <c r="E8" s="42">
        <v>50.98</v>
      </c>
      <c r="F8" s="120">
        <v>1387</v>
      </c>
      <c r="G8" s="116">
        <f t="shared" si="0"/>
        <v>70709.259999999995</v>
      </c>
      <c r="H8" s="37" t="s">
        <v>91</v>
      </c>
      <c r="I8" s="118">
        <v>16</v>
      </c>
      <c r="J8" s="39">
        <v>2000</v>
      </c>
      <c r="K8" s="17">
        <f t="shared" si="1"/>
        <v>125</v>
      </c>
      <c r="L8" s="118">
        <v>16</v>
      </c>
      <c r="M8" s="18">
        <f t="shared" si="2"/>
        <v>1935.3488372093018</v>
      </c>
      <c r="N8" s="17">
        <f t="shared" si="3"/>
        <v>120.95930232558136</v>
      </c>
      <c r="O8" s="19">
        <f t="shared" si="4"/>
        <v>0</v>
      </c>
      <c r="P8" s="20">
        <f t="shared" si="5"/>
        <v>-4.040697674418638</v>
      </c>
      <c r="Q8" s="115">
        <f t="shared" si="6"/>
        <v>0.96767441860465087</v>
      </c>
      <c r="R8" s="637"/>
      <c r="S8" s="40">
        <v>0.85347222222222219</v>
      </c>
      <c r="T8" s="40">
        <v>0.8833333333333333</v>
      </c>
      <c r="U8" s="116">
        <f t="shared" si="10"/>
        <v>56.999999999999957</v>
      </c>
      <c r="V8" s="119">
        <f t="shared" si="7"/>
        <v>43.000000000000007</v>
      </c>
      <c r="W8" s="28"/>
      <c r="X8" s="28"/>
      <c r="Y8" s="136"/>
      <c r="Z8" s="136"/>
      <c r="AA8" s="627"/>
      <c r="AB8" s="628"/>
      <c r="AC8" s="135"/>
      <c r="AD8" s="27"/>
      <c r="AE8" s="19">
        <f t="shared" si="8"/>
        <v>-64.651162790698208</v>
      </c>
      <c r="AF8" s="115">
        <f t="shared" si="9"/>
        <v>0.96767441860465087</v>
      </c>
      <c r="AG8" s="637"/>
    </row>
    <row r="9" spans="1:33">
      <c r="A9" s="665" t="s">
        <v>304</v>
      </c>
      <c r="B9" s="42" t="s">
        <v>92</v>
      </c>
      <c r="C9" s="660" t="s">
        <v>93</v>
      </c>
      <c r="D9" s="661"/>
      <c r="E9" s="42">
        <v>50.92</v>
      </c>
      <c r="F9" s="120">
        <v>1278</v>
      </c>
      <c r="G9" s="116">
        <f t="shared" si="0"/>
        <v>65075.76</v>
      </c>
      <c r="H9" s="37" t="s">
        <v>91</v>
      </c>
      <c r="I9" s="118">
        <v>15</v>
      </c>
      <c r="J9" s="39">
        <v>2000</v>
      </c>
      <c r="K9" s="17">
        <f t="shared" si="1"/>
        <v>133.33333333333334</v>
      </c>
      <c r="L9" s="118">
        <v>15</v>
      </c>
      <c r="M9" s="18">
        <f t="shared" si="2"/>
        <v>1916.9999999999993</v>
      </c>
      <c r="N9" s="17">
        <f t="shared" si="3"/>
        <v>127.79999999999995</v>
      </c>
      <c r="O9" s="19">
        <f t="shared" si="4"/>
        <v>0</v>
      </c>
      <c r="P9" s="20">
        <f t="shared" si="5"/>
        <v>-5.5333333333333883</v>
      </c>
      <c r="Q9" s="115">
        <f t="shared" si="6"/>
        <v>0.95849999999999957</v>
      </c>
      <c r="R9" s="637"/>
      <c r="S9" s="40">
        <v>0.88888888888888884</v>
      </c>
      <c r="T9" s="40">
        <v>0.91666666666666663</v>
      </c>
      <c r="U9" s="116">
        <f t="shared" si="10"/>
        <v>7.9999999999999716</v>
      </c>
      <c r="V9" s="119">
        <f t="shared" si="7"/>
        <v>40.000000000000014</v>
      </c>
      <c r="W9" s="23"/>
      <c r="X9" s="23"/>
      <c r="Y9" s="26"/>
      <c r="Z9" s="26"/>
      <c r="AA9" s="627"/>
      <c r="AB9" s="628"/>
      <c r="AC9" s="135"/>
      <c r="AD9" s="27"/>
      <c r="AE9" s="19">
        <f t="shared" si="8"/>
        <v>-83.000000000000682</v>
      </c>
      <c r="AF9" s="115">
        <f t="shared" si="9"/>
        <v>0.95849999999999969</v>
      </c>
      <c r="AG9" s="637"/>
    </row>
    <row r="10" spans="1:33">
      <c r="A10" s="665" t="s">
        <v>304</v>
      </c>
      <c r="B10" s="42" t="s">
        <v>305</v>
      </c>
      <c r="C10" s="638"/>
      <c r="D10" s="638"/>
      <c r="E10" s="117"/>
      <c r="F10" s="44"/>
      <c r="G10" s="17"/>
      <c r="H10" s="120"/>
      <c r="I10" s="29">
        <v>15.4</v>
      </c>
      <c r="J10" s="39">
        <v>2000</v>
      </c>
      <c r="K10" s="17">
        <f t="shared" si="1"/>
        <v>129.87012987012986</v>
      </c>
      <c r="L10" s="29">
        <v>15.4</v>
      </c>
      <c r="M10" s="18">
        <f>AVERAGE(M5:M9)</f>
        <v>1932.1317279097907</v>
      </c>
      <c r="N10" s="17">
        <f t="shared" si="3"/>
        <v>125.46309921492147</v>
      </c>
      <c r="O10" s="19">
        <f t="shared" si="4"/>
        <v>0</v>
      </c>
      <c r="P10" s="20">
        <f t="shared" si="5"/>
        <v>-4.4070306552083878</v>
      </c>
      <c r="Q10" s="115">
        <f t="shared" si="6"/>
        <v>0.96606586395489547</v>
      </c>
      <c r="R10" s="637"/>
      <c r="S10" s="40"/>
      <c r="T10" s="40"/>
      <c r="U10" s="116"/>
      <c r="V10" s="119"/>
      <c r="W10" s="17"/>
      <c r="X10" s="17"/>
      <c r="Y10" s="30">
        <f>SUM(Y5:Y9)</f>
        <v>0</v>
      </c>
      <c r="Z10" s="30">
        <f>SUM(Z5:Z9)</f>
        <v>0</v>
      </c>
      <c r="AA10" s="631"/>
      <c r="AB10" s="631"/>
      <c r="AC10" s="30">
        <v>5</v>
      </c>
      <c r="AD10" s="30">
        <f>SUM(AD5:AD9)</f>
        <v>0</v>
      </c>
      <c r="AE10" s="19">
        <f t="shared" si="8"/>
        <v>-67.868272090209302</v>
      </c>
      <c r="AF10" s="115">
        <f t="shared" si="9"/>
        <v>0.96606586395489535</v>
      </c>
      <c r="AG10" s="637"/>
    </row>
    <row r="11" spans="1:33" ht="15.75" customHeight="1">
      <c r="A11" s="659" t="s">
        <v>306</v>
      </c>
      <c r="B11" s="42" t="s">
        <v>96</v>
      </c>
      <c r="C11" s="660" t="s">
        <v>97</v>
      </c>
      <c r="D11" s="661"/>
      <c r="E11" s="42">
        <v>39.799999999999997</v>
      </c>
      <c r="F11" s="120">
        <v>4100</v>
      </c>
      <c r="G11" s="116">
        <f t="shared" ref="G11:G16" si="11">E11*F11</f>
        <v>163180</v>
      </c>
      <c r="H11" s="37">
        <v>2</v>
      </c>
      <c r="I11" s="118">
        <v>17</v>
      </c>
      <c r="J11" s="39">
        <v>1500</v>
      </c>
      <c r="K11" s="17">
        <f t="shared" si="1"/>
        <v>88.235294117647058</v>
      </c>
      <c r="L11" s="118">
        <v>17</v>
      </c>
      <c r="M11" s="18">
        <f t="shared" ref="M11:M16" si="12">F11/V11*60</f>
        <v>1430.2325581395351</v>
      </c>
      <c r="N11" s="17">
        <f t="shared" si="3"/>
        <v>84.131326949384416</v>
      </c>
      <c r="O11" s="19">
        <f t="shared" si="4"/>
        <v>0</v>
      </c>
      <c r="P11" s="20">
        <f t="shared" si="5"/>
        <v>-4.103967168262642</v>
      </c>
      <c r="Q11" s="115">
        <f t="shared" si="6"/>
        <v>0.9534883720930234</v>
      </c>
      <c r="R11" s="637">
        <f>Q17</f>
        <v>0.95540929017814458</v>
      </c>
      <c r="S11" s="40">
        <v>8.3333333333333329E-2</v>
      </c>
      <c r="T11" s="40">
        <v>0.20277777777777778</v>
      </c>
      <c r="U11" s="116"/>
      <c r="V11" s="119">
        <f t="shared" ref="V11:V16" si="13">(T11-S11)*24*60</f>
        <v>172</v>
      </c>
      <c r="W11" s="23">
        <f>T11</f>
        <v>0.20277777777777778</v>
      </c>
      <c r="X11" s="23">
        <f>S12</f>
        <v>0.22222222222222224</v>
      </c>
      <c r="Y11" s="23"/>
      <c r="Z11" s="23"/>
      <c r="AA11" s="632"/>
      <c r="AB11" s="632"/>
      <c r="AC11" s="135">
        <v>6</v>
      </c>
      <c r="AD11" s="25"/>
      <c r="AE11" s="19">
        <f t="shared" si="8"/>
        <v>-69.767441860464942</v>
      </c>
      <c r="AF11" s="115">
        <f t="shared" si="9"/>
        <v>0.9534883720930234</v>
      </c>
      <c r="AG11" s="637">
        <f>AF17</f>
        <v>0.95540929017814458</v>
      </c>
    </row>
    <row r="12" spans="1:33" ht="15.75" customHeight="1">
      <c r="A12" s="659" t="s">
        <v>306</v>
      </c>
      <c r="B12" s="42" t="s">
        <v>96</v>
      </c>
      <c r="C12" s="660" t="s">
        <v>98</v>
      </c>
      <c r="D12" s="661"/>
      <c r="E12" s="42">
        <v>39.46</v>
      </c>
      <c r="F12" s="120">
        <v>3063</v>
      </c>
      <c r="G12" s="116">
        <f t="shared" si="11"/>
        <v>120865.98</v>
      </c>
      <c r="H12" s="37" t="s">
        <v>91</v>
      </c>
      <c r="I12" s="118">
        <v>15</v>
      </c>
      <c r="J12" s="39">
        <v>1500</v>
      </c>
      <c r="K12" s="17">
        <f t="shared" si="1"/>
        <v>100</v>
      </c>
      <c r="L12" s="118">
        <v>15</v>
      </c>
      <c r="M12" s="18">
        <f t="shared" si="12"/>
        <v>1435.7812500000002</v>
      </c>
      <c r="N12" s="17">
        <f t="shared" si="3"/>
        <v>95.718750000000014</v>
      </c>
      <c r="O12" s="19">
        <f t="shared" si="4"/>
        <v>0</v>
      </c>
      <c r="P12" s="20">
        <f t="shared" si="5"/>
        <v>-4.2812499999999858</v>
      </c>
      <c r="Q12" s="115">
        <f t="shared" si="6"/>
        <v>0.95718750000000019</v>
      </c>
      <c r="R12" s="637"/>
      <c r="S12" s="40">
        <v>0.22222222222222224</v>
      </c>
      <c r="T12" s="40">
        <v>0.31111111111111112</v>
      </c>
      <c r="U12" s="116">
        <f t="shared" ref="U12:U16" si="14">IF(S12=TIME(17,0,0),"",(S12-T11)*24*60)</f>
        <v>28.000000000000021</v>
      </c>
      <c r="V12" s="119">
        <f t="shared" si="13"/>
        <v>127.99999999999997</v>
      </c>
      <c r="W12" s="23"/>
      <c r="X12" s="23"/>
      <c r="Y12" s="23"/>
      <c r="Z12" s="23"/>
      <c r="AA12" s="632"/>
      <c r="AB12" s="632"/>
      <c r="AC12" s="135"/>
      <c r="AD12" s="25"/>
      <c r="AE12" s="19">
        <f t="shared" si="8"/>
        <v>-64.218749999999773</v>
      </c>
      <c r="AF12" s="115">
        <f t="shared" si="9"/>
        <v>0.95718750000000019</v>
      </c>
      <c r="AG12" s="637"/>
    </row>
    <row r="13" spans="1:33" ht="15.75" customHeight="1">
      <c r="A13" s="659" t="s">
        <v>306</v>
      </c>
      <c r="B13" s="42" t="s">
        <v>96</v>
      </c>
      <c r="C13" s="660" t="s">
        <v>99</v>
      </c>
      <c r="D13" s="661"/>
      <c r="E13" s="42">
        <v>39.520000000000003</v>
      </c>
      <c r="F13" s="120">
        <v>2512</v>
      </c>
      <c r="G13" s="116">
        <f t="shared" si="11"/>
        <v>99274.240000000005</v>
      </c>
      <c r="H13" s="37" t="s">
        <v>91</v>
      </c>
      <c r="I13" s="118">
        <v>19</v>
      </c>
      <c r="J13" s="39">
        <v>1500</v>
      </c>
      <c r="K13" s="17">
        <f t="shared" si="1"/>
        <v>78.94736842105263</v>
      </c>
      <c r="L13" s="118">
        <v>19</v>
      </c>
      <c r="M13" s="18">
        <f t="shared" si="12"/>
        <v>1435.4285714285711</v>
      </c>
      <c r="N13" s="17">
        <f t="shared" si="3"/>
        <v>75.548872180451113</v>
      </c>
      <c r="O13" s="19">
        <f t="shared" si="4"/>
        <v>0</v>
      </c>
      <c r="P13" s="20">
        <f t="shared" si="5"/>
        <v>-3.3984962406015171</v>
      </c>
      <c r="Q13" s="115">
        <f t="shared" si="6"/>
        <v>0.95695238095238078</v>
      </c>
      <c r="R13" s="637"/>
      <c r="S13" s="40">
        <v>0.31458333333333333</v>
      </c>
      <c r="T13" s="40">
        <v>0.38750000000000001</v>
      </c>
      <c r="U13" s="116">
        <f t="shared" si="14"/>
        <v>4.9999999999999822</v>
      </c>
      <c r="V13" s="119">
        <f t="shared" si="13"/>
        <v>105.00000000000003</v>
      </c>
      <c r="W13" s="23"/>
      <c r="X13" s="23"/>
      <c r="Y13" s="23"/>
      <c r="Z13" s="23"/>
      <c r="AA13" s="632"/>
      <c r="AB13" s="632"/>
      <c r="AC13" s="135"/>
      <c r="AD13" s="25"/>
      <c r="AE13" s="19">
        <f t="shared" si="8"/>
        <v>-64.571428571428896</v>
      </c>
      <c r="AF13" s="115">
        <f t="shared" si="9"/>
        <v>0.95695238095238078</v>
      </c>
      <c r="AG13" s="637"/>
    </row>
    <row r="14" spans="1:33" ht="15.75" customHeight="1">
      <c r="A14" s="659" t="s">
        <v>306</v>
      </c>
      <c r="B14" s="42" t="s">
        <v>96</v>
      </c>
      <c r="C14" s="660" t="s">
        <v>100</v>
      </c>
      <c r="D14" s="661"/>
      <c r="E14" s="42">
        <v>39.619999999999997</v>
      </c>
      <c r="F14" s="120">
        <v>2900</v>
      </c>
      <c r="G14" s="116">
        <f t="shared" si="11"/>
        <v>114897.99999999999</v>
      </c>
      <c r="H14" s="37">
        <v>2</v>
      </c>
      <c r="I14" s="118">
        <v>19</v>
      </c>
      <c r="J14" s="39">
        <v>1500</v>
      </c>
      <c r="K14" s="17">
        <f t="shared" si="1"/>
        <v>78.94736842105263</v>
      </c>
      <c r="L14" s="118">
        <v>19</v>
      </c>
      <c r="M14" s="18">
        <f t="shared" si="12"/>
        <v>1426.2295081967218</v>
      </c>
      <c r="N14" s="17">
        <f t="shared" si="3"/>
        <v>75.064710957722198</v>
      </c>
      <c r="O14" s="19">
        <f t="shared" si="4"/>
        <v>0</v>
      </c>
      <c r="P14" s="20">
        <f t="shared" si="5"/>
        <v>-3.8826574633304318</v>
      </c>
      <c r="Q14" s="115">
        <f t="shared" si="6"/>
        <v>0.95081967213114782</v>
      </c>
      <c r="R14" s="637"/>
      <c r="S14" s="40">
        <v>0.39305555555555555</v>
      </c>
      <c r="T14" s="40">
        <v>0.47777777777777775</v>
      </c>
      <c r="U14" s="116">
        <f t="shared" si="14"/>
        <v>7.9999999999999716</v>
      </c>
      <c r="V14" s="119">
        <f t="shared" si="13"/>
        <v>121.99999999999997</v>
      </c>
      <c r="W14" s="23">
        <f>T14</f>
        <v>0.47777777777777775</v>
      </c>
      <c r="X14" s="23">
        <f>S15</f>
        <v>0.51874999999999993</v>
      </c>
      <c r="Y14" s="23"/>
      <c r="Z14" s="23"/>
      <c r="AA14" s="627"/>
      <c r="AB14" s="628"/>
      <c r="AC14" s="135"/>
      <c r="AD14" s="25"/>
      <c r="AE14" s="19">
        <f t="shared" si="8"/>
        <v>-73.770491803278219</v>
      </c>
      <c r="AF14" s="115">
        <f t="shared" si="9"/>
        <v>0.95081967213114782</v>
      </c>
      <c r="AG14" s="637"/>
    </row>
    <row r="15" spans="1:33" ht="15.75" customHeight="1">
      <c r="A15" s="659" t="s">
        <v>307</v>
      </c>
      <c r="B15" s="42" t="s">
        <v>96</v>
      </c>
      <c r="C15" s="660" t="s">
        <v>100</v>
      </c>
      <c r="D15" s="661"/>
      <c r="E15" s="42">
        <v>39.619999999999997</v>
      </c>
      <c r="F15" s="120">
        <v>2354</v>
      </c>
      <c r="G15" s="116">
        <f t="shared" si="11"/>
        <v>93265.48</v>
      </c>
      <c r="H15" s="37" t="s">
        <v>91</v>
      </c>
      <c r="I15" s="118">
        <v>19</v>
      </c>
      <c r="J15" s="39">
        <v>1500</v>
      </c>
      <c r="K15" s="17">
        <f t="shared" si="1"/>
        <v>78.94736842105263</v>
      </c>
      <c r="L15" s="118">
        <v>19</v>
      </c>
      <c r="M15" s="18">
        <f t="shared" si="12"/>
        <v>1441.2244897959188</v>
      </c>
      <c r="N15" s="17">
        <f t="shared" si="3"/>
        <v>75.853920515574671</v>
      </c>
      <c r="O15" s="19">
        <f t="shared" si="4"/>
        <v>0</v>
      </c>
      <c r="P15" s="20">
        <f t="shared" si="5"/>
        <v>-3.0934479054779587</v>
      </c>
      <c r="Q15" s="115">
        <f t="shared" si="6"/>
        <v>0.96081632653061255</v>
      </c>
      <c r="R15" s="637"/>
      <c r="S15" s="40">
        <v>0.51874999999999993</v>
      </c>
      <c r="T15" s="40">
        <v>0.58680555555555547</v>
      </c>
      <c r="U15" s="116">
        <f t="shared" si="14"/>
        <v>58.99999999999995</v>
      </c>
      <c r="V15" s="119">
        <f t="shared" si="13"/>
        <v>97.999999999999972</v>
      </c>
      <c r="W15" s="23"/>
      <c r="X15" s="23"/>
      <c r="Y15" s="26"/>
      <c r="Z15" s="26"/>
      <c r="AA15" s="627"/>
      <c r="AB15" s="628"/>
      <c r="AC15" s="135"/>
      <c r="AD15" s="25"/>
      <c r="AE15" s="19">
        <f t="shared" si="8"/>
        <v>-58.775510204081229</v>
      </c>
      <c r="AF15" s="115">
        <f t="shared" si="9"/>
        <v>0.96081632653061255</v>
      </c>
      <c r="AG15" s="637"/>
    </row>
    <row r="16" spans="1:33" ht="15.75" customHeight="1">
      <c r="A16" s="659" t="s">
        <v>307</v>
      </c>
      <c r="B16" s="42" t="s">
        <v>96</v>
      </c>
      <c r="C16" s="660" t="s">
        <v>97</v>
      </c>
      <c r="D16" s="661"/>
      <c r="E16" s="42">
        <v>39.799999999999997</v>
      </c>
      <c r="F16" s="120">
        <v>3360</v>
      </c>
      <c r="G16" s="116">
        <f t="shared" si="11"/>
        <v>133728</v>
      </c>
      <c r="H16" s="37" t="s">
        <v>91</v>
      </c>
      <c r="I16" s="118">
        <v>17</v>
      </c>
      <c r="J16" s="39">
        <v>1500</v>
      </c>
      <c r="K16" s="17">
        <f t="shared" si="1"/>
        <v>88.235294117647058</v>
      </c>
      <c r="L16" s="118">
        <v>17</v>
      </c>
      <c r="M16" s="18">
        <f t="shared" si="12"/>
        <v>1429.7872340425536</v>
      </c>
      <c r="N16" s="17">
        <f t="shared" si="3"/>
        <v>84.105131414267859</v>
      </c>
      <c r="O16" s="19">
        <f t="shared" si="4"/>
        <v>0</v>
      </c>
      <c r="P16" s="20">
        <f t="shared" si="5"/>
        <v>-4.1301627033791988</v>
      </c>
      <c r="Q16" s="115">
        <f t="shared" si="6"/>
        <v>0.95319148936170239</v>
      </c>
      <c r="R16" s="637"/>
      <c r="S16" s="40">
        <v>0.59097222222222212</v>
      </c>
      <c r="T16" s="40">
        <v>0.68888888888888877</v>
      </c>
      <c r="U16" s="116">
        <f t="shared" si="14"/>
        <v>5.9999999999999787</v>
      </c>
      <c r="V16" s="119">
        <f t="shared" si="13"/>
        <v>140.99999999999997</v>
      </c>
      <c r="W16" s="23"/>
      <c r="X16" s="23"/>
      <c r="Y16" s="26"/>
      <c r="Z16" s="26"/>
      <c r="AA16" s="627"/>
      <c r="AB16" s="628"/>
      <c r="AC16" s="135"/>
      <c r="AD16" s="25"/>
      <c r="AE16" s="19">
        <f t="shared" si="8"/>
        <v>-70.212765957446436</v>
      </c>
      <c r="AF16" s="115">
        <f t="shared" si="9"/>
        <v>0.95319148936170239</v>
      </c>
      <c r="AG16" s="637"/>
    </row>
    <row r="17" spans="1:33" ht="16.5" customHeight="1">
      <c r="A17" s="659" t="s">
        <v>307</v>
      </c>
      <c r="B17" s="42" t="s">
        <v>305</v>
      </c>
      <c r="C17" s="638"/>
      <c r="D17" s="638"/>
      <c r="E17" s="117"/>
      <c r="F17" s="39"/>
      <c r="G17" s="18"/>
      <c r="H17" s="120"/>
      <c r="I17" s="29">
        <v>17.666666666666668</v>
      </c>
      <c r="J17" s="39">
        <v>1500</v>
      </c>
      <c r="K17" s="17">
        <f t="shared" si="1"/>
        <v>84.905660377358487</v>
      </c>
      <c r="L17" s="29">
        <v>17.666666666666668</v>
      </c>
      <c r="M17" s="18">
        <f>AVERAGE(M11:M16)</f>
        <v>1433.1139352672169</v>
      </c>
      <c r="N17" s="17">
        <f t="shared" si="3"/>
        <v>81.119656713238683</v>
      </c>
      <c r="O17" s="19">
        <f t="shared" si="4"/>
        <v>0</v>
      </c>
      <c r="P17" s="20">
        <f t="shared" si="5"/>
        <v>-3.7860036641198036</v>
      </c>
      <c r="Q17" s="115">
        <f t="shared" si="6"/>
        <v>0.95540929017814458</v>
      </c>
      <c r="R17" s="637"/>
      <c r="S17" s="40"/>
      <c r="T17" s="40"/>
      <c r="U17" s="17"/>
      <c r="V17" s="119"/>
      <c r="W17" s="17"/>
      <c r="X17" s="17"/>
      <c r="Y17" s="30">
        <f>SUM(Y11:Y16)</f>
        <v>0</v>
      </c>
      <c r="Z17" s="30">
        <f>SUM(Z11:Z16)</f>
        <v>0</v>
      </c>
      <c r="AA17" s="631"/>
      <c r="AB17" s="631"/>
      <c r="AC17" s="30">
        <v>6</v>
      </c>
      <c r="AD17" s="30">
        <f>SUM(AD11:AD16)</f>
        <v>0</v>
      </c>
      <c r="AE17" s="19">
        <f t="shared" si="8"/>
        <v>-66.886064732783097</v>
      </c>
      <c r="AF17" s="115">
        <f t="shared" si="9"/>
        <v>0.95540929017814458</v>
      </c>
      <c r="AG17" s="637"/>
    </row>
    <row r="18" spans="1:33" ht="16.5" customHeight="1">
      <c r="A18" s="657" t="s">
        <v>308</v>
      </c>
      <c r="B18" s="120" t="s">
        <v>101</v>
      </c>
      <c r="C18" s="653" t="s">
        <v>102</v>
      </c>
      <c r="D18" s="653"/>
      <c r="E18" s="42">
        <v>31.11</v>
      </c>
      <c r="F18" s="120">
        <v>3829</v>
      </c>
      <c r="G18" s="116">
        <f t="shared" ref="G18:G24" si="15">E18*F18</f>
        <v>119120.19</v>
      </c>
      <c r="H18" s="37" t="s">
        <v>91</v>
      </c>
      <c r="I18" s="118">
        <v>14</v>
      </c>
      <c r="J18" s="39">
        <v>2000</v>
      </c>
      <c r="K18" s="17">
        <f t="shared" si="1"/>
        <v>142.85714285714286</v>
      </c>
      <c r="L18" s="118">
        <v>14</v>
      </c>
      <c r="M18" s="18">
        <f t="shared" ref="M18:M24" si="16">F18/V18*60</f>
        <v>1914.5</v>
      </c>
      <c r="N18" s="17">
        <f t="shared" si="3"/>
        <v>136.75</v>
      </c>
      <c r="O18" s="19">
        <f t="shared" si="4"/>
        <v>0</v>
      </c>
      <c r="P18" s="20">
        <f t="shared" si="5"/>
        <v>-6.1071428571428612</v>
      </c>
      <c r="Q18" s="115">
        <f t="shared" si="6"/>
        <v>0.95724999999999993</v>
      </c>
      <c r="R18" s="637">
        <f>Q25</f>
        <v>0.95948177102299448</v>
      </c>
      <c r="S18" s="40">
        <v>8.3333333333333329E-2</v>
      </c>
      <c r="T18" s="40">
        <v>0.16666666666666666</v>
      </c>
      <c r="U18" s="116"/>
      <c r="V18" s="119">
        <f t="shared" ref="V18:V24" si="17">(T18-S18)*24*60</f>
        <v>120</v>
      </c>
      <c r="W18" s="23">
        <f>T18</f>
        <v>0.16666666666666666</v>
      </c>
      <c r="X18" s="23">
        <f>S19</f>
        <v>0.18611111111111109</v>
      </c>
      <c r="Y18" s="28"/>
      <c r="Z18" s="28"/>
      <c r="AA18" s="632"/>
      <c r="AB18" s="632"/>
      <c r="AC18" s="135">
        <v>7</v>
      </c>
      <c r="AD18" s="25"/>
      <c r="AE18" s="19">
        <f t="shared" si="8"/>
        <v>-85.5</v>
      </c>
      <c r="AF18" s="115">
        <f t="shared" si="9"/>
        <v>0.95725000000000005</v>
      </c>
      <c r="AG18" s="637">
        <f>AF25</f>
        <v>0.95948177102299459</v>
      </c>
    </row>
    <row r="19" spans="1:33" ht="16.5" customHeight="1">
      <c r="A19" s="658" t="s">
        <v>308</v>
      </c>
      <c r="B19" s="120" t="s">
        <v>103</v>
      </c>
      <c r="C19" s="653" t="s">
        <v>104</v>
      </c>
      <c r="D19" s="653"/>
      <c r="E19" s="42">
        <v>38.619999999999997</v>
      </c>
      <c r="F19" s="120">
        <v>2295</v>
      </c>
      <c r="G19" s="116">
        <f t="shared" si="15"/>
        <v>88632.9</v>
      </c>
      <c r="H19" s="37" t="s">
        <v>91</v>
      </c>
      <c r="I19" s="118">
        <v>24</v>
      </c>
      <c r="J19" s="39">
        <v>1500</v>
      </c>
      <c r="K19" s="17">
        <f t="shared" si="1"/>
        <v>62.5</v>
      </c>
      <c r="L19" s="118">
        <v>24</v>
      </c>
      <c r="M19" s="18">
        <f t="shared" si="16"/>
        <v>1434.3749999999998</v>
      </c>
      <c r="N19" s="17">
        <f t="shared" si="3"/>
        <v>59.765624999999993</v>
      </c>
      <c r="O19" s="19">
        <f t="shared" si="4"/>
        <v>0</v>
      </c>
      <c r="P19" s="20">
        <f t="shared" si="5"/>
        <v>-2.7343750000000071</v>
      </c>
      <c r="Q19" s="115">
        <f t="shared" si="6"/>
        <v>0.95624999999999993</v>
      </c>
      <c r="R19" s="637"/>
      <c r="S19" s="40">
        <v>0.18611111111111109</v>
      </c>
      <c r="T19" s="40">
        <v>0.25277777777777777</v>
      </c>
      <c r="U19" s="116">
        <f t="shared" ref="U19:U24" si="18">IF(S19=TIME(17,0,0),"",(S19-T18)*24*60)</f>
        <v>27.999999999999979</v>
      </c>
      <c r="V19" s="119">
        <f t="shared" si="17"/>
        <v>96.000000000000014</v>
      </c>
      <c r="W19" s="23"/>
      <c r="X19" s="23"/>
      <c r="Y19" s="23"/>
      <c r="Z19" s="23"/>
      <c r="AA19" s="632"/>
      <c r="AB19" s="632"/>
      <c r="AC19" s="135"/>
      <c r="AD19" s="25"/>
      <c r="AE19" s="19">
        <f t="shared" si="8"/>
        <v>-65.625000000000227</v>
      </c>
      <c r="AF19" s="115">
        <f t="shared" si="9"/>
        <v>0.95624999999999982</v>
      </c>
      <c r="AG19" s="637"/>
    </row>
    <row r="20" spans="1:33" ht="16.5" customHeight="1">
      <c r="A20" s="658" t="s">
        <v>308</v>
      </c>
      <c r="B20" s="120" t="s">
        <v>103</v>
      </c>
      <c r="C20" s="653" t="s">
        <v>105</v>
      </c>
      <c r="D20" s="653"/>
      <c r="E20" s="42">
        <v>41</v>
      </c>
      <c r="F20" s="120">
        <v>1898</v>
      </c>
      <c r="G20" s="116">
        <f t="shared" si="15"/>
        <v>77818</v>
      </c>
      <c r="H20" s="37" t="s">
        <v>91</v>
      </c>
      <c r="I20" s="118">
        <v>26</v>
      </c>
      <c r="J20" s="39">
        <v>1500</v>
      </c>
      <c r="K20" s="17">
        <f t="shared" si="1"/>
        <v>57.692307692307693</v>
      </c>
      <c r="L20" s="118">
        <v>26</v>
      </c>
      <c r="M20" s="18">
        <f t="shared" si="16"/>
        <v>1441.5189873417712</v>
      </c>
      <c r="N20" s="17">
        <f t="shared" si="3"/>
        <v>55.443037974683506</v>
      </c>
      <c r="O20" s="19">
        <f t="shared" si="4"/>
        <v>0</v>
      </c>
      <c r="P20" s="20">
        <f t="shared" si="5"/>
        <v>-2.2492697176241876</v>
      </c>
      <c r="Q20" s="115">
        <f t="shared" si="6"/>
        <v>0.96101265822784743</v>
      </c>
      <c r="R20" s="637"/>
      <c r="S20" s="40">
        <v>0.25694444444444442</v>
      </c>
      <c r="T20" s="40">
        <v>0.31180555555555556</v>
      </c>
      <c r="U20" s="116">
        <f t="shared" si="18"/>
        <v>5.9999999999999787</v>
      </c>
      <c r="V20" s="119">
        <f t="shared" si="17"/>
        <v>79.000000000000043</v>
      </c>
      <c r="W20" s="23"/>
      <c r="X20" s="23"/>
      <c r="Y20" s="23"/>
      <c r="Z20" s="23"/>
      <c r="AA20" s="632"/>
      <c r="AB20" s="632"/>
      <c r="AC20" s="135"/>
      <c r="AD20" s="25"/>
      <c r="AE20" s="19">
        <f t="shared" si="8"/>
        <v>-58.481012658228792</v>
      </c>
      <c r="AF20" s="115">
        <f t="shared" si="9"/>
        <v>0.96101265822784743</v>
      </c>
      <c r="AG20" s="637"/>
    </row>
    <row r="21" spans="1:33" ht="16.5" customHeight="1">
      <c r="A21" s="658" t="s">
        <v>308</v>
      </c>
      <c r="B21" s="120" t="s">
        <v>92</v>
      </c>
      <c r="C21" s="653" t="s">
        <v>106</v>
      </c>
      <c r="D21" s="653"/>
      <c r="E21" s="42">
        <v>37.03</v>
      </c>
      <c r="F21" s="120">
        <v>3372</v>
      </c>
      <c r="G21" s="116">
        <f t="shared" si="15"/>
        <v>124865.16</v>
      </c>
      <c r="H21" s="37" t="s">
        <v>91</v>
      </c>
      <c r="I21" s="118">
        <v>13</v>
      </c>
      <c r="J21" s="39">
        <v>1500</v>
      </c>
      <c r="K21" s="17">
        <f t="shared" si="1"/>
        <v>115.38461538461539</v>
      </c>
      <c r="L21" s="118">
        <v>13</v>
      </c>
      <c r="M21" s="18">
        <f t="shared" si="16"/>
        <v>1434.8936170212769</v>
      </c>
      <c r="N21" s="17">
        <f t="shared" si="3"/>
        <v>110.37643207855976</v>
      </c>
      <c r="O21" s="19">
        <f t="shared" si="4"/>
        <v>0</v>
      </c>
      <c r="P21" s="20">
        <f t="shared" si="5"/>
        <v>-5.0081833060556278</v>
      </c>
      <c r="Q21" s="115">
        <f t="shared" si="6"/>
        <v>0.95659574468085118</v>
      </c>
      <c r="R21" s="637"/>
      <c r="S21" s="40">
        <v>0.31666666666666665</v>
      </c>
      <c r="T21" s="40">
        <v>0.4145833333333333</v>
      </c>
      <c r="U21" s="116">
        <f t="shared" si="18"/>
        <v>6.9999999999999751</v>
      </c>
      <c r="V21" s="119">
        <f t="shared" si="17"/>
        <v>140.99999999999997</v>
      </c>
      <c r="W21" s="23"/>
      <c r="X21" s="23"/>
      <c r="Y21" s="23"/>
      <c r="Z21" s="23"/>
      <c r="AA21" s="632"/>
      <c r="AB21" s="632"/>
      <c r="AC21" s="135"/>
      <c r="AD21" s="25"/>
      <c r="AE21" s="19">
        <f t="shared" si="8"/>
        <v>-65.106382978723104</v>
      </c>
      <c r="AF21" s="115">
        <f t="shared" si="9"/>
        <v>0.95659574468085129</v>
      </c>
      <c r="AG21" s="637"/>
    </row>
    <row r="22" spans="1:33" ht="16.5" customHeight="1">
      <c r="A22" s="658" t="s">
        <v>308</v>
      </c>
      <c r="B22" s="120" t="s">
        <v>92</v>
      </c>
      <c r="C22" s="653" t="s">
        <v>108</v>
      </c>
      <c r="D22" s="653"/>
      <c r="E22" s="42">
        <v>54.5</v>
      </c>
      <c r="F22" s="120">
        <v>2082</v>
      </c>
      <c r="G22" s="116">
        <f t="shared" si="15"/>
        <v>113469</v>
      </c>
      <c r="H22" s="37" t="s">
        <v>91</v>
      </c>
      <c r="I22" s="118">
        <v>20</v>
      </c>
      <c r="J22" s="39">
        <v>1500</v>
      </c>
      <c r="K22" s="17">
        <f t="shared" si="1"/>
        <v>75</v>
      </c>
      <c r="L22" s="118">
        <v>20</v>
      </c>
      <c r="M22" s="18">
        <f t="shared" si="16"/>
        <v>1435.862068965517</v>
      </c>
      <c r="N22" s="17">
        <f t="shared" si="3"/>
        <v>71.793103448275843</v>
      </c>
      <c r="O22" s="19">
        <f t="shared" si="4"/>
        <v>0</v>
      </c>
      <c r="P22" s="20">
        <f t="shared" si="5"/>
        <v>-3.2068965517241566</v>
      </c>
      <c r="Q22" s="115">
        <f t="shared" si="6"/>
        <v>0.95724137931034459</v>
      </c>
      <c r="R22" s="637"/>
      <c r="S22" s="40">
        <v>0.70833333333333337</v>
      </c>
      <c r="T22" s="40">
        <v>0.76875000000000004</v>
      </c>
      <c r="U22" s="116" t="str">
        <f t="shared" si="18"/>
        <v/>
      </c>
      <c r="V22" s="119">
        <f t="shared" si="17"/>
        <v>87.000000000000014</v>
      </c>
      <c r="W22" s="23"/>
      <c r="X22" s="23"/>
      <c r="Y22" s="23"/>
      <c r="Z22" s="23"/>
      <c r="AA22" s="632"/>
      <c r="AB22" s="632"/>
      <c r="AC22" s="135"/>
      <c r="AD22" s="25"/>
      <c r="AE22" s="19">
        <f t="shared" si="8"/>
        <v>-64.137931034483017</v>
      </c>
      <c r="AF22" s="115">
        <f t="shared" si="9"/>
        <v>0.9572413793103447</v>
      </c>
      <c r="AG22" s="637"/>
    </row>
    <row r="23" spans="1:33" ht="16.5" customHeight="1">
      <c r="A23" s="658" t="s">
        <v>308</v>
      </c>
      <c r="B23" s="120" t="s">
        <v>92</v>
      </c>
      <c r="C23" s="45" t="s">
        <v>107</v>
      </c>
      <c r="D23" s="46"/>
      <c r="E23" s="42">
        <v>50.67</v>
      </c>
      <c r="F23" s="120">
        <v>1836</v>
      </c>
      <c r="G23" s="116">
        <f t="shared" si="15"/>
        <v>93030.12000000001</v>
      </c>
      <c r="H23" s="37" t="s">
        <v>91</v>
      </c>
      <c r="I23" s="118">
        <v>17</v>
      </c>
      <c r="J23" s="39">
        <v>2000</v>
      </c>
      <c r="K23" s="17">
        <f t="shared" si="1"/>
        <v>117.64705882352941</v>
      </c>
      <c r="L23" s="118">
        <v>17</v>
      </c>
      <c r="M23" s="18">
        <f t="shared" si="16"/>
        <v>1932.6315789473701</v>
      </c>
      <c r="N23" s="17">
        <f t="shared" si="3"/>
        <v>113.68421052631589</v>
      </c>
      <c r="O23" s="19">
        <f t="shared" si="4"/>
        <v>0</v>
      </c>
      <c r="P23" s="20">
        <f t="shared" si="5"/>
        <v>-3.9628482972135117</v>
      </c>
      <c r="Q23" s="115">
        <f t="shared" si="6"/>
        <v>0.96631578947368513</v>
      </c>
      <c r="R23" s="637"/>
      <c r="S23" s="40">
        <v>0.77430555555555558</v>
      </c>
      <c r="T23" s="40">
        <v>0.81388888888888888</v>
      </c>
      <c r="U23" s="116">
        <f t="shared" si="18"/>
        <v>7.9999999999999716</v>
      </c>
      <c r="V23" s="119">
        <f t="shared" si="17"/>
        <v>56.999999999999957</v>
      </c>
      <c r="W23" s="23"/>
      <c r="X23" s="23"/>
      <c r="Y23" s="26"/>
      <c r="Z23" s="26"/>
      <c r="AA23" s="111"/>
      <c r="AB23" s="112"/>
      <c r="AC23" s="135"/>
      <c r="AD23" s="25"/>
      <c r="AE23" s="19">
        <f t="shared" si="8"/>
        <v>-67.368421052629856</v>
      </c>
      <c r="AF23" s="115">
        <f t="shared" si="9"/>
        <v>0.96631578947368513</v>
      </c>
      <c r="AG23" s="637"/>
    </row>
    <row r="24" spans="1:33" ht="16.5" customHeight="1">
      <c r="A24" s="658" t="s">
        <v>308</v>
      </c>
      <c r="B24" s="120" t="s">
        <v>92</v>
      </c>
      <c r="C24" s="45" t="s">
        <v>95</v>
      </c>
      <c r="D24" s="46"/>
      <c r="E24" s="42">
        <v>50.67</v>
      </c>
      <c r="F24" s="120">
        <v>1568</v>
      </c>
      <c r="G24" s="116">
        <f t="shared" si="15"/>
        <v>79450.559999999998</v>
      </c>
      <c r="H24" s="37" t="s">
        <v>91</v>
      </c>
      <c r="I24" s="118">
        <v>15</v>
      </c>
      <c r="J24" s="39">
        <v>2000</v>
      </c>
      <c r="K24" s="17">
        <f t="shared" si="1"/>
        <v>133.33333333333334</v>
      </c>
      <c r="L24" s="118">
        <v>15</v>
      </c>
      <c r="M24" s="18">
        <f t="shared" si="16"/>
        <v>1920.0000000000005</v>
      </c>
      <c r="N24" s="17">
        <f t="shared" si="3"/>
        <v>128.00000000000003</v>
      </c>
      <c r="O24" s="19">
        <f t="shared" si="4"/>
        <v>0</v>
      </c>
      <c r="P24" s="20">
        <f t="shared" si="5"/>
        <v>-5.3333333333333144</v>
      </c>
      <c r="Q24" s="115">
        <f t="shared" si="6"/>
        <v>0.96000000000000019</v>
      </c>
      <c r="R24" s="637"/>
      <c r="S24" s="40">
        <v>0.81944444444444442</v>
      </c>
      <c r="T24" s="40">
        <v>0.85347222222222219</v>
      </c>
      <c r="U24" s="116">
        <f t="shared" si="18"/>
        <v>7.9999999999999716</v>
      </c>
      <c r="V24" s="119">
        <f t="shared" si="17"/>
        <v>48.999999999999986</v>
      </c>
      <c r="W24" s="23"/>
      <c r="X24" s="23"/>
      <c r="Y24" s="26"/>
      <c r="Z24" s="26"/>
      <c r="AA24" s="111"/>
      <c r="AB24" s="112"/>
      <c r="AC24" s="135"/>
      <c r="AD24" s="25"/>
      <c r="AE24" s="19">
        <f t="shared" si="8"/>
        <v>-79.999999999999545</v>
      </c>
      <c r="AF24" s="115">
        <f t="shared" si="9"/>
        <v>0.96000000000000019</v>
      </c>
      <c r="AG24" s="637"/>
    </row>
    <row r="25" spans="1:33" ht="16.5" customHeight="1">
      <c r="A25" s="658" t="s">
        <v>308</v>
      </c>
      <c r="B25" s="42" t="s">
        <v>305</v>
      </c>
      <c r="C25" s="638"/>
      <c r="D25" s="638"/>
      <c r="E25" s="117"/>
      <c r="F25" s="44"/>
      <c r="G25" s="17"/>
      <c r="H25" s="120"/>
      <c r="I25" s="29">
        <v>18.428571428571427</v>
      </c>
      <c r="J25" s="39">
        <v>1714.2857142857142</v>
      </c>
      <c r="K25" s="17">
        <f t="shared" si="1"/>
        <v>93.023255813953497</v>
      </c>
      <c r="L25" s="29">
        <v>18.428571428571427</v>
      </c>
      <c r="M25" s="18">
        <f>AVERAGE(M18:M24)</f>
        <v>1644.8258931822763</v>
      </c>
      <c r="N25" s="17">
        <f t="shared" si="3"/>
        <v>89.254118234697174</v>
      </c>
      <c r="O25" s="19">
        <f t="shared" si="4"/>
        <v>0</v>
      </c>
      <c r="P25" s="20">
        <f t="shared" si="5"/>
        <v>-3.7691375792563235</v>
      </c>
      <c r="Q25" s="115">
        <f t="shared" si="6"/>
        <v>0.95948177102299448</v>
      </c>
      <c r="R25" s="637"/>
      <c r="S25" s="40"/>
      <c r="T25" s="40"/>
      <c r="U25" s="116"/>
      <c r="V25" s="119"/>
      <c r="W25" s="17"/>
      <c r="X25" s="17"/>
      <c r="Y25" s="30">
        <f>SUM(Y18:Y24)</f>
        <v>0</v>
      </c>
      <c r="Z25" s="30">
        <f>SUM(Z18:Z24)</f>
        <v>0</v>
      </c>
      <c r="AA25" s="631"/>
      <c r="AB25" s="631"/>
      <c r="AC25" s="30">
        <v>7</v>
      </c>
      <c r="AD25" s="30">
        <f>SUM(AD18:AD24)</f>
        <v>0</v>
      </c>
      <c r="AE25" s="19">
        <f t="shared" si="8"/>
        <v>-69.459821103437889</v>
      </c>
      <c r="AF25" s="115">
        <f t="shared" si="9"/>
        <v>0.95948177102299459</v>
      </c>
      <c r="AG25" s="637"/>
    </row>
    <row r="26" spans="1:33" ht="15.75" customHeight="1">
      <c r="A26" s="655" t="s">
        <v>309</v>
      </c>
      <c r="B26" s="42" t="s">
        <v>92</v>
      </c>
      <c r="C26" s="653" t="s">
        <v>110</v>
      </c>
      <c r="D26" s="653"/>
      <c r="E26" s="42">
        <v>50.67</v>
      </c>
      <c r="F26" s="120">
        <v>1964</v>
      </c>
      <c r="G26" s="116">
        <f t="shared" ref="G26:G32" si="19">E26*F26</f>
        <v>99515.88</v>
      </c>
      <c r="H26" s="37" t="s">
        <v>91</v>
      </c>
      <c r="I26" s="118">
        <v>17</v>
      </c>
      <c r="J26" s="39">
        <v>2000</v>
      </c>
      <c r="K26" s="17">
        <f t="shared" si="1"/>
        <v>117.64705882352941</v>
      </c>
      <c r="L26" s="118">
        <v>17</v>
      </c>
      <c r="M26" s="18">
        <f t="shared" ref="M26:M32" si="20">F26/V26*60</f>
        <v>1931.8032786885249</v>
      </c>
      <c r="N26" s="17">
        <f t="shared" si="3"/>
        <v>113.63548698167793</v>
      </c>
      <c r="O26" s="19">
        <f t="shared" si="4"/>
        <v>0</v>
      </c>
      <c r="P26" s="20">
        <f t="shared" si="5"/>
        <v>-4.0115718418514774</v>
      </c>
      <c r="Q26" s="115">
        <f t="shared" si="6"/>
        <v>0.96590163934426243</v>
      </c>
      <c r="R26" s="637">
        <f>Q33</f>
        <v>0.9630961960797334</v>
      </c>
      <c r="S26" s="40">
        <v>0.20833333333333334</v>
      </c>
      <c r="T26" s="40">
        <v>0.25069444444444444</v>
      </c>
      <c r="U26" s="116"/>
      <c r="V26" s="119">
        <f t="shared" ref="V26:V32" si="21">(T26-S26)*24*60</f>
        <v>60.999999999999986</v>
      </c>
      <c r="W26" s="23"/>
      <c r="X26" s="23"/>
      <c r="Y26" s="28"/>
      <c r="Z26" s="28"/>
      <c r="AA26" s="632"/>
      <c r="AB26" s="632"/>
      <c r="AC26" s="135">
        <v>7</v>
      </c>
      <c r="AD26" s="25"/>
      <c r="AE26" s="19">
        <f t="shared" si="8"/>
        <v>-68.19672131147513</v>
      </c>
      <c r="AF26" s="115">
        <f t="shared" si="9"/>
        <v>0.96590163934426243</v>
      </c>
      <c r="AG26" s="637">
        <f>AF33</f>
        <v>0.9630961960797334</v>
      </c>
    </row>
    <row r="27" spans="1:33" ht="15.75" customHeight="1">
      <c r="A27" s="656" t="s">
        <v>309</v>
      </c>
      <c r="B27" s="42" t="s">
        <v>92</v>
      </c>
      <c r="C27" s="653" t="s">
        <v>111</v>
      </c>
      <c r="D27" s="653"/>
      <c r="E27" s="42">
        <v>57.73</v>
      </c>
      <c r="F27" s="120">
        <v>2748</v>
      </c>
      <c r="G27" s="116">
        <f t="shared" si="19"/>
        <v>158642.03999999998</v>
      </c>
      <c r="H27" s="37" t="s">
        <v>91</v>
      </c>
      <c r="I27" s="118">
        <v>14</v>
      </c>
      <c r="J27" s="39">
        <v>2000</v>
      </c>
      <c r="K27" s="17">
        <f t="shared" si="1"/>
        <v>142.85714285714286</v>
      </c>
      <c r="L27" s="118">
        <v>14</v>
      </c>
      <c r="M27" s="18">
        <f t="shared" si="20"/>
        <v>1917.2093023255811</v>
      </c>
      <c r="N27" s="17">
        <f t="shared" si="3"/>
        <v>136.94352159468437</v>
      </c>
      <c r="O27" s="19">
        <f t="shared" si="4"/>
        <v>0</v>
      </c>
      <c r="P27" s="20">
        <f t="shared" si="5"/>
        <v>-5.9136212624584914</v>
      </c>
      <c r="Q27" s="115">
        <f t="shared" si="6"/>
        <v>0.95860465116279059</v>
      </c>
      <c r="R27" s="637"/>
      <c r="S27" s="40">
        <v>0.25624999999999998</v>
      </c>
      <c r="T27" s="40">
        <v>0.31597222222222221</v>
      </c>
      <c r="U27" s="116">
        <f t="shared" ref="U27:U32" si="22">IF(S27=TIME(17,0,0),"",(S27-T26)*24*60)</f>
        <v>7.9999999999999716</v>
      </c>
      <c r="V27" s="119">
        <f t="shared" si="21"/>
        <v>86.000000000000014</v>
      </c>
      <c r="W27" s="23"/>
      <c r="X27" s="116"/>
      <c r="Y27" s="116"/>
      <c r="Z27" s="116"/>
      <c r="AA27" s="632"/>
      <c r="AB27" s="632"/>
      <c r="AC27" s="135"/>
      <c r="AD27" s="25"/>
      <c r="AE27" s="19">
        <f t="shared" si="8"/>
        <v>-82.79069767441888</v>
      </c>
      <c r="AF27" s="115">
        <f t="shared" si="9"/>
        <v>0.95860465116279059</v>
      </c>
      <c r="AG27" s="637"/>
    </row>
    <row r="28" spans="1:33" ht="15.75" customHeight="1">
      <c r="A28" s="656" t="s">
        <v>309</v>
      </c>
      <c r="B28" s="42" t="s">
        <v>92</v>
      </c>
      <c r="C28" s="653" t="s">
        <v>112</v>
      </c>
      <c r="D28" s="653"/>
      <c r="E28" s="42">
        <v>53.27</v>
      </c>
      <c r="F28" s="120">
        <v>1643</v>
      </c>
      <c r="G28" s="116">
        <f t="shared" si="19"/>
        <v>87522.61</v>
      </c>
      <c r="H28" s="37" t="s">
        <v>91</v>
      </c>
      <c r="I28" s="118">
        <v>16</v>
      </c>
      <c r="J28" s="39">
        <v>2000</v>
      </c>
      <c r="K28" s="17">
        <f t="shared" si="1"/>
        <v>125</v>
      </c>
      <c r="L28" s="118">
        <v>16</v>
      </c>
      <c r="M28" s="18">
        <f t="shared" si="20"/>
        <v>1932.9411764705892</v>
      </c>
      <c r="N28" s="17">
        <f t="shared" si="3"/>
        <v>120.80882352941182</v>
      </c>
      <c r="O28" s="19">
        <f t="shared" si="4"/>
        <v>0</v>
      </c>
      <c r="P28" s="20">
        <f t="shared" si="5"/>
        <v>-4.1911764705881751</v>
      </c>
      <c r="Q28" s="115">
        <f t="shared" si="6"/>
        <v>0.96647058823529464</v>
      </c>
      <c r="R28" s="637"/>
      <c r="S28" s="40">
        <v>0.32013888888888886</v>
      </c>
      <c r="T28" s="40">
        <v>0.35555555555555551</v>
      </c>
      <c r="U28" s="116">
        <f t="shared" si="22"/>
        <v>5.9999999999999787</v>
      </c>
      <c r="V28" s="119">
        <f t="shared" si="21"/>
        <v>50.999999999999979</v>
      </c>
      <c r="W28" s="23"/>
      <c r="X28" s="116"/>
      <c r="Y28" s="116"/>
      <c r="Z28" s="116"/>
      <c r="AA28" s="632"/>
      <c r="AB28" s="632"/>
      <c r="AC28" s="135"/>
      <c r="AD28" s="25"/>
      <c r="AE28" s="19">
        <f t="shared" si="8"/>
        <v>-67.058823529410802</v>
      </c>
      <c r="AF28" s="115">
        <f t="shared" si="9"/>
        <v>0.96647058823529464</v>
      </c>
      <c r="AG28" s="637"/>
    </row>
    <row r="29" spans="1:33" ht="15.75" customHeight="1">
      <c r="A29" s="656" t="s">
        <v>309</v>
      </c>
      <c r="B29" s="42" t="s">
        <v>92</v>
      </c>
      <c r="C29" s="653" t="s">
        <v>113</v>
      </c>
      <c r="D29" s="653"/>
      <c r="E29" s="42">
        <v>56.43</v>
      </c>
      <c r="F29" s="120">
        <v>1710</v>
      </c>
      <c r="G29" s="116">
        <f t="shared" si="19"/>
        <v>96495.3</v>
      </c>
      <c r="H29" s="37" t="s">
        <v>91</v>
      </c>
      <c r="I29" s="118">
        <v>13</v>
      </c>
      <c r="J29" s="39">
        <v>2000</v>
      </c>
      <c r="K29" s="17">
        <f t="shared" si="1"/>
        <v>153.84615384615384</v>
      </c>
      <c r="L29" s="118">
        <v>13</v>
      </c>
      <c r="M29" s="18">
        <f t="shared" si="20"/>
        <v>1935.8490566037747</v>
      </c>
      <c r="N29" s="17">
        <f t="shared" si="3"/>
        <v>148.91146589259805</v>
      </c>
      <c r="O29" s="19">
        <f t="shared" si="4"/>
        <v>0</v>
      </c>
      <c r="P29" s="20">
        <f t="shared" si="5"/>
        <v>-4.9346879535557946</v>
      </c>
      <c r="Q29" s="115">
        <f t="shared" si="6"/>
        <v>0.96792452830188735</v>
      </c>
      <c r="R29" s="637"/>
      <c r="S29" s="40">
        <v>0.70833333333333337</v>
      </c>
      <c r="T29" s="40">
        <v>0.74513888888888891</v>
      </c>
      <c r="U29" s="116" t="str">
        <f t="shared" si="22"/>
        <v/>
      </c>
      <c r="V29" s="119">
        <f t="shared" si="21"/>
        <v>52.999999999999972</v>
      </c>
      <c r="W29" s="23"/>
      <c r="X29" s="116"/>
      <c r="Y29" s="116"/>
      <c r="Z29" s="116"/>
      <c r="AA29" s="632"/>
      <c r="AB29" s="632"/>
      <c r="AC29" s="135"/>
      <c r="AD29" s="25"/>
      <c r="AE29" s="19">
        <f t="shared" si="8"/>
        <v>-64.15094339622533</v>
      </c>
      <c r="AF29" s="115">
        <f t="shared" si="9"/>
        <v>0.96792452830188735</v>
      </c>
      <c r="AG29" s="637"/>
    </row>
    <row r="30" spans="1:33" ht="15.75" customHeight="1">
      <c r="A30" s="656" t="s">
        <v>309</v>
      </c>
      <c r="B30" s="42" t="s">
        <v>92</v>
      </c>
      <c r="C30" s="653" t="s">
        <v>114</v>
      </c>
      <c r="D30" s="653"/>
      <c r="E30" s="42">
        <v>54.09</v>
      </c>
      <c r="F30" s="120">
        <v>1000</v>
      </c>
      <c r="G30" s="116">
        <f t="shared" si="19"/>
        <v>54090</v>
      </c>
      <c r="H30" s="37">
        <v>2</v>
      </c>
      <c r="I30" s="118">
        <v>18</v>
      </c>
      <c r="J30" s="39">
        <v>2000</v>
      </c>
      <c r="K30" s="17">
        <f t="shared" si="1"/>
        <v>111.11111111111111</v>
      </c>
      <c r="L30" s="118">
        <v>18</v>
      </c>
      <c r="M30" s="18">
        <f t="shared" si="20"/>
        <v>1935.483870967739</v>
      </c>
      <c r="N30" s="17">
        <f t="shared" si="3"/>
        <v>107.52688172042994</v>
      </c>
      <c r="O30" s="19">
        <f t="shared" si="4"/>
        <v>0</v>
      </c>
      <c r="P30" s="20">
        <f t="shared" si="5"/>
        <v>-3.5842293906811733</v>
      </c>
      <c r="Q30" s="115">
        <f t="shared" si="6"/>
        <v>0.96774193548386944</v>
      </c>
      <c r="R30" s="637"/>
      <c r="S30" s="40">
        <v>0.75069444444444444</v>
      </c>
      <c r="T30" s="40">
        <v>0.77222222222222225</v>
      </c>
      <c r="U30" s="116">
        <f t="shared" si="22"/>
        <v>7.9999999999999716</v>
      </c>
      <c r="V30" s="119">
        <f t="shared" si="21"/>
        <v>31.00000000000005</v>
      </c>
      <c r="W30" s="23"/>
      <c r="X30" s="23"/>
      <c r="Y30" s="116"/>
      <c r="Z30" s="116"/>
      <c r="AA30" s="632"/>
      <c r="AB30" s="632"/>
      <c r="AC30" s="135"/>
      <c r="AD30" s="25"/>
      <c r="AE30" s="19">
        <f t="shared" si="8"/>
        <v>-64.516129032261006</v>
      </c>
      <c r="AF30" s="115">
        <f t="shared" si="9"/>
        <v>0.96774193548386944</v>
      </c>
      <c r="AG30" s="637"/>
    </row>
    <row r="31" spans="1:33" ht="15.75" customHeight="1">
      <c r="A31" s="656" t="s">
        <v>309</v>
      </c>
      <c r="B31" s="42" t="s">
        <v>92</v>
      </c>
      <c r="C31" s="653" t="s">
        <v>115</v>
      </c>
      <c r="D31" s="653"/>
      <c r="E31" s="42">
        <v>57.3</v>
      </c>
      <c r="F31" s="120">
        <v>2353</v>
      </c>
      <c r="G31" s="116">
        <f t="shared" si="19"/>
        <v>134826.9</v>
      </c>
      <c r="H31" s="37" t="s">
        <v>91</v>
      </c>
      <c r="I31" s="118">
        <v>16</v>
      </c>
      <c r="J31" s="39">
        <v>2000</v>
      </c>
      <c r="K31" s="17">
        <f t="shared" si="1"/>
        <v>125</v>
      </c>
      <c r="L31" s="118">
        <v>16</v>
      </c>
      <c r="M31" s="18">
        <f t="shared" si="20"/>
        <v>1907.8378378378363</v>
      </c>
      <c r="N31" s="17">
        <f t="shared" si="3"/>
        <v>119.23986486486477</v>
      </c>
      <c r="O31" s="19">
        <f t="shared" si="4"/>
        <v>0</v>
      </c>
      <c r="P31" s="20">
        <f t="shared" si="5"/>
        <v>-5.7601351351352292</v>
      </c>
      <c r="Q31" s="115">
        <f t="shared" si="6"/>
        <v>0.95391891891891811</v>
      </c>
      <c r="R31" s="637"/>
      <c r="S31" s="40">
        <v>0.77638888888888891</v>
      </c>
      <c r="T31" s="40">
        <v>0.82777777777777783</v>
      </c>
      <c r="U31" s="116">
        <f t="shared" si="22"/>
        <v>5.9999999999999787</v>
      </c>
      <c r="V31" s="119">
        <f t="shared" si="21"/>
        <v>74.000000000000057</v>
      </c>
      <c r="W31" s="23">
        <f>T31</f>
        <v>0.82777777777777783</v>
      </c>
      <c r="X31" s="23">
        <f>S32</f>
        <v>0.86736111111111114</v>
      </c>
      <c r="Y31" s="28"/>
      <c r="Z31" s="28"/>
      <c r="AA31" s="632"/>
      <c r="AB31" s="632"/>
      <c r="AC31" s="135"/>
      <c r="AD31" s="25"/>
      <c r="AE31" s="19">
        <f t="shared" si="8"/>
        <v>-92.162162162163668</v>
      </c>
      <c r="AF31" s="115">
        <f t="shared" si="9"/>
        <v>0.95391891891891811</v>
      </c>
      <c r="AG31" s="637"/>
    </row>
    <row r="32" spans="1:33" ht="15.75" customHeight="1">
      <c r="A32" s="656" t="s">
        <v>309</v>
      </c>
      <c r="B32" s="42" t="s">
        <v>92</v>
      </c>
      <c r="C32" s="679" t="s">
        <v>114</v>
      </c>
      <c r="D32" s="680"/>
      <c r="E32" s="42">
        <v>54.09</v>
      </c>
      <c r="F32" s="120">
        <v>1730</v>
      </c>
      <c r="G32" s="116">
        <f t="shared" si="19"/>
        <v>93575.700000000012</v>
      </c>
      <c r="H32" s="37" t="s">
        <v>91</v>
      </c>
      <c r="I32" s="118">
        <v>18</v>
      </c>
      <c r="J32" s="39">
        <v>2000</v>
      </c>
      <c r="K32" s="17">
        <f t="shared" si="1"/>
        <v>111.11111111111111</v>
      </c>
      <c r="L32" s="118">
        <v>18</v>
      </c>
      <c r="M32" s="18">
        <f t="shared" si="20"/>
        <v>1922.2222222222231</v>
      </c>
      <c r="N32" s="17">
        <f t="shared" si="3"/>
        <v>106.79012345679017</v>
      </c>
      <c r="O32" s="19">
        <f t="shared" si="4"/>
        <v>0</v>
      </c>
      <c r="P32" s="20">
        <f t="shared" si="5"/>
        <v>-4.3209876543209447</v>
      </c>
      <c r="Q32" s="115">
        <f t="shared" si="6"/>
        <v>0.96111111111111147</v>
      </c>
      <c r="R32" s="637"/>
      <c r="S32" s="40">
        <v>0.86736111111111114</v>
      </c>
      <c r="T32" s="40">
        <v>0.90486111111111112</v>
      </c>
      <c r="U32" s="116">
        <f t="shared" si="22"/>
        <v>56.999999999999957</v>
      </c>
      <c r="V32" s="119">
        <f t="shared" si="21"/>
        <v>53.999999999999972</v>
      </c>
      <c r="W32" s="23"/>
      <c r="X32" s="28"/>
      <c r="Y32" s="136"/>
      <c r="Z32" s="136"/>
      <c r="AA32" s="627"/>
      <c r="AB32" s="628"/>
      <c r="AC32" s="135"/>
      <c r="AD32" s="25"/>
      <c r="AE32" s="19">
        <f t="shared" si="8"/>
        <v>-77.777777777776919</v>
      </c>
      <c r="AF32" s="115">
        <f t="shared" si="9"/>
        <v>0.96111111111111158</v>
      </c>
      <c r="AG32" s="637"/>
    </row>
    <row r="33" spans="1:33" ht="15.75" customHeight="1">
      <c r="A33" s="656" t="s">
        <v>309</v>
      </c>
      <c r="B33" s="42" t="s">
        <v>305</v>
      </c>
      <c r="C33" s="638"/>
      <c r="D33" s="638"/>
      <c r="E33" s="117"/>
      <c r="F33" s="120"/>
      <c r="G33" s="116"/>
      <c r="H33" s="120"/>
      <c r="I33" s="29">
        <v>16</v>
      </c>
      <c r="J33" s="39">
        <v>2000</v>
      </c>
      <c r="K33" s="17">
        <f t="shared" si="1"/>
        <v>125</v>
      </c>
      <c r="L33" s="29">
        <v>16</v>
      </c>
      <c r="M33" s="18">
        <f>AVERAGE(M26:M32)</f>
        <v>1926.1923921594669</v>
      </c>
      <c r="N33" s="17">
        <f t="shared" si="3"/>
        <v>120.38702450996668</v>
      </c>
      <c r="O33" s="19">
        <f t="shared" si="4"/>
        <v>0</v>
      </c>
      <c r="P33" s="20">
        <f t="shared" si="5"/>
        <v>-4.6129754900333211</v>
      </c>
      <c r="Q33" s="115">
        <f t="shared" si="6"/>
        <v>0.9630961960797334</v>
      </c>
      <c r="R33" s="637"/>
      <c r="S33" s="40"/>
      <c r="T33" s="40"/>
      <c r="U33" s="17"/>
      <c r="V33" s="119"/>
      <c r="W33" s="17"/>
      <c r="X33" s="17"/>
      <c r="Y33" s="30">
        <f>SUM(Y26:Y32)</f>
        <v>0</v>
      </c>
      <c r="Z33" s="30">
        <f>SUM(Z26:Z32)</f>
        <v>0</v>
      </c>
      <c r="AA33" s="631"/>
      <c r="AB33" s="631"/>
      <c r="AC33" s="30">
        <v>7</v>
      </c>
      <c r="AD33" s="30">
        <f>SUM(AD26:AD32)</f>
        <v>0</v>
      </c>
      <c r="AE33" s="19">
        <f t="shared" si="8"/>
        <v>-73.807607840533137</v>
      </c>
      <c r="AF33" s="115">
        <f t="shared" si="9"/>
        <v>0.9630961960797334</v>
      </c>
      <c r="AG33" s="637"/>
    </row>
    <row r="34" spans="1:33" ht="15.75" customHeight="1">
      <c r="A34" s="654" t="s">
        <v>310</v>
      </c>
      <c r="B34" s="42" t="s">
        <v>116</v>
      </c>
      <c r="C34" s="653" t="s">
        <v>117</v>
      </c>
      <c r="D34" s="653"/>
      <c r="E34" s="42">
        <v>31.29</v>
      </c>
      <c r="F34" s="120">
        <v>5800</v>
      </c>
      <c r="G34" s="116">
        <f t="shared" ref="G34:G42" si="23">E34*F34</f>
        <v>181482</v>
      </c>
      <c r="H34" s="37">
        <v>2</v>
      </c>
      <c r="I34" s="118">
        <v>18</v>
      </c>
      <c r="J34" s="39">
        <v>2400</v>
      </c>
      <c r="K34" s="17">
        <f t="shared" si="1"/>
        <v>133.33333333333334</v>
      </c>
      <c r="L34" s="118">
        <v>18</v>
      </c>
      <c r="M34" s="18">
        <f t="shared" ref="M34:M42" si="24">F34/V34*60</f>
        <v>2289.4736842105262</v>
      </c>
      <c r="N34" s="17">
        <f t="shared" si="3"/>
        <v>127.19298245614034</v>
      </c>
      <c r="O34" s="19">
        <f t="shared" si="4"/>
        <v>0</v>
      </c>
      <c r="P34" s="20">
        <f t="shared" si="5"/>
        <v>-6.1403508771930007</v>
      </c>
      <c r="Q34" s="115">
        <f t="shared" si="6"/>
        <v>0.95394736842105254</v>
      </c>
      <c r="R34" s="637">
        <f>Q43</f>
        <v>0.95674989142024114</v>
      </c>
      <c r="S34" s="40">
        <v>8.3333333333333329E-2</v>
      </c>
      <c r="T34" s="40">
        <v>0.18888888888888888</v>
      </c>
      <c r="U34" s="116"/>
      <c r="V34" s="119">
        <f t="shared" ref="V34:V42" si="25">(T34-S34)*24*60</f>
        <v>152</v>
      </c>
      <c r="W34" s="23">
        <f>T34</f>
        <v>0.18888888888888888</v>
      </c>
      <c r="X34" s="23">
        <f>S35</f>
        <v>0.20902777777777778</v>
      </c>
      <c r="Y34" s="23"/>
      <c r="Z34" s="23"/>
      <c r="AA34" s="632"/>
      <c r="AB34" s="632"/>
      <c r="AC34" s="135">
        <v>9</v>
      </c>
      <c r="AD34" s="25"/>
      <c r="AE34" s="19">
        <f t="shared" si="8"/>
        <v>-110.52631578947376</v>
      </c>
      <c r="AF34" s="115">
        <f t="shared" si="9"/>
        <v>0.95394736842105265</v>
      </c>
      <c r="AG34" s="637">
        <f>AF43</f>
        <v>0.95674989142024114</v>
      </c>
    </row>
    <row r="35" spans="1:33" ht="15.75" customHeight="1">
      <c r="A35" s="654" t="s">
        <v>310</v>
      </c>
      <c r="B35" s="42" t="s">
        <v>116</v>
      </c>
      <c r="C35" s="653" t="s">
        <v>118</v>
      </c>
      <c r="D35" s="653"/>
      <c r="E35" s="42">
        <v>26.37</v>
      </c>
      <c r="F35" s="120">
        <v>4200</v>
      </c>
      <c r="G35" s="116">
        <f t="shared" si="23"/>
        <v>110754</v>
      </c>
      <c r="H35" s="37">
        <v>2</v>
      </c>
      <c r="I35" s="118">
        <v>18</v>
      </c>
      <c r="J35" s="39">
        <v>2400</v>
      </c>
      <c r="K35" s="17">
        <f t="shared" si="1"/>
        <v>133.33333333333334</v>
      </c>
      <c r="L35" s="118">
        <v>18</v>
      </c>
      <c r="M35" s="18">
        <f t="shared" si="24"/>
        <v>2290.9090909090914</v>
      </c>
      <c r="N35" s="17">
        <f t="shared" si="3"/>
        <v>127.27272727272731</v>
      </c>
      <c r="O35" s="19">
        <f t="shared" si="4"/>
        <v>0</v>
      </c>
      <c r="P35" s="20">
        <f t="shared" si="5"/>
        <v>-6.0606060606060339</v>
      </c>
      <c r="Q35" s="115">
        <f t="shared" si="6"/>
        <v>0.9545454545454547</v>
      </c>
      <c r="R35" s="637"/>
      <c r="S35" s="40">
        <v>0.20902777777777778</v>
      </c>
      <c r="T35" s="40">
        <v>0.28541666666666665</v>
      </c>
      <c r="U35" s="116">
        <f t="shared" ref="U35:U42" si="26">(S35-T34)*24*60</f>
        <v>29.000000000000018</v>
      </c>
      <c r="V35" s="119">
        <f t="shared" si="25"/>
        <v>109.99999999999997</v>
      </c>
      <c r="W35" s="23"/>
      <c r="X35" s="23"/>
      <c r="Y35" s="23"/>
      <c r="Z35" s="23"/>
      <c r="AA35" s="632"/>
      <c r="AB35" s="632"/>
      <c r="AC35" s="135"/>
      <c r="AD35" s="25"/>
      <c r="AE35" s="19">
        <f t="shared" si="8"/>
        <v>-109.09090909090855</v>
      </c>
      <c r="AF35" s="115">
        <f t="shared" si="9"/>
        <v>0.95454545454545481</v>
      </c>
      <c r="AG35" s="637"/>
    </row>
    <row r="36" spans="1:33" ht="15.75" customHeight="1">
      <c r="A36" s="654" t="s">
        <v>310</v>
      </c>
      <c r="B36" s="42" t="s">
        <v>116</v>
      </c>
      <c r="C36" s="653" t="s">
        <v>124</v>
      </c>
      <c r="D36" s="653"/>
      <c r="E36" s="42">
        <v>24.43</v>
      </c>
      <c r="F36" s="120">
        <v>5800</v>
      </c>
      <c r="G36" s="116">
        <f t="shared" si="23"/>
        <v>141694</v>
      </c>
      <c r="H36" s="37">
        <v>2</v>
      </c>
      <c r="I36" s="118">
        <v>14</v>
      </c>
      <c r="J36" s="39">
        <v>2400</v>
      </c>
      <c r="K36" s="17">
        <f t="shared" si="1"/>
        <v>171.42857142857142</v>
      </c>
      <c r="L36" s="118">
        <v>14</v>
      </c>
      <c r="M36" s="18">
        <f t="shared" si="24"/>
        <v>2289.4736842105258</v>
      </c>
      <c r="N36" s="17">
        <f t="shared" si="3"/>
        <v>163.53383458646613</v>
      </c>
      <c r="O36" s="19">
        <f t="shared" si="4"/>
        <v>0</v>
      </c>
      <c r="P36" s="20">
        <f t="shared" si="5"/>
        <v>-7.8947368421052886</v>
      </c>
      <c r="Q36" s="115">
        <f t="shared" si="6"/>
        <v>0.95394736842105243</v>
      </c>
      <c r="R36" s="637"/>
      <c r="S36" s="40">
        <v>0.29027777777777775</v>
      </c>
      <c r="T36" s="40">
        <v>0.39583333333333331</v>
      </c>
      <c r="U36" s="116">
        <f t="shared" si="26"/>
        <v>6.9999999999999751</v>
      </c>
      <c r="V36" s="119">
        <f t="shared" si="25"/>
        <v>152.00000000000003</v>
      </c>
      <c r="W36" s="23"/>
      <c r="X36" s="23"/>
      <c r="Y36" s="23"/>
      <c r="Z36" s="23"/>
      <c r="AA36" s="632"/>
      <c r="AB36" s="632"/>
      <c r="AC36" s="135"/>
      <c r="AD36" s="25"/>
      <c r="AE36" s="19">
        <f t="shared" si="8"/>
        <v>-110.52631578947421</v>
      </c>
      <c r="AF36" s="115">
        <f t="shared" si="9"/>
        <v>0.95394736842105243</v>
      </c>
      <c r="AG36" s="637"/>
    </row>
    <row r="37" spans="1:33" ht="15.75" customHeight="1">
      <c r="A37" s="654" t="s">
        <v>310</v>
      </c>
      <c r="B37" s="42" t="s">
        <v>116</v>
      </c>
      <c r="C37" s="653" t="s">
        <v>147</v>
      </c>
      <c r="D37" s="653"/>
      <c r="E37" s="42">
        <v>25.98</v>
      </c>
      <c r="F37" s="120">
        <v>3283</v>
      </c>
      <c r="G37" s="116">
        <f t="shared" si="23"/>
        <v>85292.34</v>
      </c>
      <c r="H37" s="37" t="s">
        <v>91</v>
      </c>
      <c r="I37" s="118">
        <v>17</v>
      </c>
      <c r="J37" s="39">
        <v>2400</v>
      </c>
      <c r="K37" s="17">
        <f t="shared" si="1"/>
        <v>141.1764705882353</v>
      </c>
      <c r="L37" s="118">
        <v>17</v>
      </c>
      <c r="M37" s="18">
        <f t="shared" si="24"/>
        <v>2290.4651162790697</v>
      </c>
      <c r="N37" s="17">
        <f t="shared" si="3"/>
        <v>134.73324213406292</v>
      </c>
      <c r="O37" s="19">
        <f t="shared" si="4"/>
        <v>0</v>
      </c>
      <c r="P37" s="20">
        <f t="shared" si="5"/>
        <v>-6.4432284541723845</v>
      </c>
      <c r="Q37" s="115">
        <f t="shared" si="6"/>
        <v>0.95436046511627892</v>
      </c>
      <c r="R37" s="637"/>
      <c r="S37" s="40">
        <v>0.39930555555555552</v>
      </c>
      <c r="T37" s="40">
        <v>0.45902777777777776</v>
      </c>
      <c r="U37" s="116">
        <f t="shared" si="26"/>
        <v>4.9999999999999822</v>
      </c>
      <c r="V37" s="119">
        <f t="shared" si="25"/>
        <v>86.000000000000014</v>
      </c>
      <c r="W37" s="23"/>
      <c r="X37" s="23"/>
      <c r="Y37" s="23"/>
      <c r="Z37" s="23"/>
      <c r="AA37" s="632"/>
      <c r="AB37" s="632"/>
      <c r="AC37" s="135"/>
      <c r="AD37" s="25"/>
      <c r="AE37" s="19">
        <f t="shared" si="8"/>
        <v>-109.53488372093034</v>
      </c>
      <c r="AF37" s="115">
        <f t="shared" si="9"/>
        <v>0.95436046511627903</v>
      </c>
      <c r="AG37" s="637"/>
    </row>
    <row r="38" spans="1:33" ht="15.75" customHeight="1">
      <c r="A38" s="654" t="s">
        <v>310</v>
      </c>
      <c r="B38" s="42" t="s">
        <v>116</v>
      </c>
      <c r="C38" s="653" t="s">
        <v>122</v>
      </c>
      <c r="D38" s="653"/>
      <c r="E38" s="42">
        <v>20.21</v>
      </c>
      <c r="F38" s="120">
        <v>2457</v>
      </c>
      <c r="G38" s="116">
        <f t="shared" si="23"/>
        <v>49655.97</v>
      </c>
      <c r="H38" s="37" t="s">
        <v>91</v>
      </c>
      <c r="I38" s="118">
        <v>18</v>
      </c>
      <c r="J38" s="39">
        <v>2400</v>
      </c>
      <c r="K38" s="17">
        <f t="shared" si="1"/>
        <v>133.33333333333334</v>
      </c>
      <c r="L38" s="118">
        <v>18</v>
      </c>
      <c r="M38" s="18">
        <f t="shared" si="24"/>
        <v>2303.4374999999995</v>
      </c>
      <c r="N38" s="17">
        <f t="shared" si="3"/>
        <v>127.96874999999997</v>
      </c>
      <c r="O38" s="19">
        <f t="shared" si="4"/>
        <v>0</v>
      </c>
      <c r="P38" s="20">
        <f t="shared" si="5"/>
        <v>-5.3645833333333712</v>
      </c>
      <c r="Q38" s="115">
        <f t="shared" si="6"/>
        <v>0.95976562499999973</v>
      </c>
      <c r="R38" s="637"/>
      <c r="S38" s="40">
        <v>0.46249999999999997</v>
      </c>
      <c r="T38" s="40">
        <v>0.50694444444444442</v>
      </c>
      <c r="U38" s="116">
        <f t="shared" si="26"/>
        <v>4.9999999999999822</v>
      </c>
      <c r="V38" s="119">
        <f t="shared" si="25"/>
        <v>64.000000000000014</v>
      </c>
      <c r="W38" s="23">
        <f>T38</f>
        <v>0.50694444444444442</v>
      </c>
      <c r="X38" s="23">
        <f>S39</f>
        <v>0.54652777777777772</v>
      </c>
      <c r="Y38" s="23"/>
      <c r="Z38" s="23"/>
      <c r="AA38" s="632"/>
      <c r="AB38" s="632"/>
      <c r="AC38" s="135"/>
      <c r="AD38" s="25"/>
      <c r="AE38" s="19">
        <f t="shared" si="8"/>
        <v>-96.562500000000455</v>
      </c>
      <c r="AF38" s="115">
        <f t="shared" si="9"/>
        <v>0.95976562499999984</v>
      </c>
      <c r="AG38" s="637"/>
    </row>
    <row r="39" spans="1:33" ht="15.75" customHeight="1">
      <c r="A39" s="654" t="s">
        <v>310</v>
      </c>
      <c r="B39" s="42" t="s">
        <v>116</v>
      </c>
      <c r="C39" s="653" t="s">
        <v>121</v>
      </c>
      <c r="D39" s="653"/>
      <c r="E39" s="42">
        <v>25.99</v>
      </c>
      <c r="F39" s="120">
        <v>1949</v>
      </c>
      <c r="G39" s="116">
        <f t="shared" si="23"/>
        <v>50654.509999999995</v>
      </c>
      <c r="H39" s="37" t="s">
        <v>91</v>
      </c>
      <c r="I39" s="118">
        <v>14</v>
      </c>
      <c r="J39" s="39">
        <v>2400</v>
      </c>
      <c r="K39" s="17">
        <f t="shared" si="1"/>
        <v>171.42857142857142</v>
      </c>
      <c r="L39" s="118">
        <v>14</v>
      </c>
      <c r="M39" s="18">
        <f t="shared" si="24"/>
        <v>2292.9411764705892</v>
      </c>
      <c r="N39" s="17">
        <f t="shared" si="3"/>
        <v>163.78151260504208</v>
      </c>
      <c r="O39" s="19">
        <f t="shared" si="4"/>
        <v>0</v>
      </c>
      <c r="P39" s="20">
        <f t="shared" si="5"/>
        <v>-7.6470588235293349</v>
      </c>
      <c r="Q39" s="115">
        <f t="shared" si="6"/>
        <v>0.95539215686274559</v>
      </c>
      <c r="R39" s="637"/>
      <c r="S39" s="40">
        <v>0.54652777777777772</v>
      </c>
      <c r="T39" s="40">
        <v>0.58194444444444438</v>
      </c>
      <c r="U39" s="116">
        <f t="shared" si="26"/>
        <v>56.999999999999957</v>
      </c>
      <c r="V39" s="119">
        <f t="shared" si="25"/>
        <v>50.999999999999979</v>
      </c>
      <c r="W39" s="23"/>
      <c r="X39" s="23"/>
      <c r="Y39" s="23"/>
      <c r="Z39" s="23"/>
      <c r="AA39" s="632"/>
      <c r="AB39" s="632"/>
      <c r="AC39" s="135"/>
      <c r="AD39" s="25"/>
      <c r="AE39" s="19">
        <f t="shared" si="8"/>
        <v>-107.0588235294108</v>
      </c>
      <c r="AF39" s="115">
        <f t="shared" si="9"/>
        <v>0.95539215686274548</v>
      </c>
      <c r="AG39" s="637"/>
    </row>
    <row r="40" spans="1:33" ht="15.75" customHeight="1">
      <c r="A40" s="654" t="s">
        <v>310</v>
      </c>
      <c r="B40" s="42" t="s">
        <v>116</v>
      </c>
      <c r="C40" s="653" t="s">
        <v>118</v>
      </c>
      <c r="D40" s="653"/>
      <c r="E40" s="42">
        <v>26.37</v>
      </c>
      <c r="F40" s="120">
        <v>2962</v>
      </c>
      <c r="G40" s="116">
        <f t="shared" si="23"/>
        <v>78107.94</v>
      </c>
      <c r="H40" s="37" t="s">
        <v>91</v>
      </c>
      <c r="I40" s="118">
        <v>18</v>
      </c>
      <c r="J40" s="39">
        <v>2400</v>
      </c>
      <c r="K40" s="17">
        <f t="shared" si="1"/>
        <v>133.33333333333334</v>
      </c>
      <c r="L40" s="118">
        <v>18</v>
      </c>
      <c r="M40" s="18">
        <f t="shared" si="24"/>
        <v>2308.0519480519465</v>
      </c>
      <c r="N40" s="17">
        <f t="shared" si="3"/>
        <v>128.22510822510813</v>
      </c>
      <c r="O40" s="19">
        <f t="shared" si="4"/>
        <v>0</v>
      </c>
      <c r="P40" s="20">
        <f t="shared" si="5"/>
        <v>-5.1082251082252128</v>
      </c>
      <c r="Q40" s="115">
        <f t="shared" si="6"/>
        <v>0.96168831168831093</v>
      </c>
      <c r="R40" s="637"/>
      <c r="S40" s="40">
        <v>0.58611111111111103</v>
      </c>
      <c r="T40" s="40">
        <v>0.63958333333333328</v>
      </c>
      <c r="U40" s="116">
        <f t="shared" si="26"/>
        <v>5.9999999999999787</v>
      </c>
      <c r="V40" s="119">
        <f t="shared" si="25"/>
        <v>77.000000000000043</v>
      </c>
      <c r="W40" s="23"/>
      <c r="X40" s="23"/>
      <c r="Y40" s="23"/>
      <c r="Z40" s="23"/>
      <c r="AA40" s="632"/>
      <c r="AB40" s="632"/>
      <c r="AC40" s="135"/>
      <c r="AD40" s="25"/>
      <c r="AE40" s="19">
        <f t="shared" si="8"/>
        <v>-91.948051948053489</v>
      </c>
      <c r="AF40" s="115">
        <f t="shared" si="9"/>
        <v>0.96168831168831104</v>
      </c>
      <c r="AG40" s="637"/>
    </row>
    <row r="41" spans="1:33" ht="15.75" customHeight="1">
      <c r="A41" s="654" t="s">
        <v>310</v>
      </c>
      <c r="B41" s="42" t="s">
        <v>116</v>
      </c>
      <c r="C41" s="45" t="s">
        <v>124</v>
      </c>
      <c r="D41" s="46"/>
      <c r="E41" s="42">
        <v>24.43</v>
      </c>
      <c r="F41" s="120">
        <v>2118</v>
      </c>
      <c r="G41" s="116">
        <f t="shared" si="23"/>
        <v>51742.74</v>
      </c>
      <c r="H41" s="37" t="s">
        <v>91</v>
      </c>
      <c r="I41" s="118">
        <v>14</v>
      </c>
      <c r="J41" s="39">
        <v>2400</v>
      </c>
      <c r="K41" s="17">
        <f t="shared" si="1"/>
        <v>171.42857142857142</v>
      </c>
      <c r="L41" s="118">
        <v>14</v>
      </c>
      <c r="M41" s="18">
        <f t="shared" si="24"/>
        <v>2310.5454545454563</v>
      </c>
      <c r="N41" s="17">
        <f t="shared" si="3"/>
        <v>165.03896103896116</v>
      </c>
      <c r="O41" s="19">
        <f t="shared" si="4"/>
        <v>0</v>
      </c>
      <c r="P41" s="20">
        <f t="shared" si="5"/>
        <v>-6.3896103896102545</v>
      </c>
      <c r="Q41" s="115">
        <f t="shared" si="6"/>
        <v>0.96272727272727354</v>
      </c>
      <c r="R41" s="637"/>
      <c r="S41" s="40">
        <v>0.64374999999999993</v>
      </c>
      <c r="T41" s="40">
        <v>0.68194444444444435</v>
      </c>
      <c r="U41" s="116">
        <f t="shared" si="26"/>
        <v>5.9999999999999787</v>
      </c>
      <c r="V41" s="119">
        <f t="shared" si="25"/>
        <v>54.999999999999964</v>
      </c>
      <c r="W41" s="23"/>
      <c r="X41" s="23"/>
      <c r="Y41" s="23"/>
      <c r="Z41" s="23"/>
      <c r="AA41" s="111"/>
      <c r="AB41" s="112"/>
      <c r="AC41" s="135"/>
      <c r="AD41" s="25"/>
      <c r="AE41" s="19">
        <f t="shared" si="8"/>
        <v>-89.454545454543677</v>
      </c>
      <c r="AF41" s="115">
        <f t="shared" si="9"/>
        <v>0.96272727272727343</v>
      </c>
      <c r="AG41" s="637"/>
    </row>
    <row r="42" spans="1:33" ht="15.75" customHeight="1">
      <c r="A42" s="654" t="s">
        <v>310</v>
      </c>
      <c r="B42" s="42" t="s">
        <v>116</v>
      </c>
      <c r="C42" s="679" t="s">
        <v>117</v>
      </c>
      <c r="D42" s="680"/>
      <c r="E42" s="42">
        <v>31.29</v>
      </c>
      <c r="F42" s="120">
        <v>4581</v>
      </c>
      <c r="G42" s="116">
        <f t="shared" si="23"/>
        <v>143339.49</v>
      </c>
      <c r="H42" s="37" t="s">
        <v>91</v>
      </c>
      <c r="I42" s="118">
        <v>18</v>
      </c>
      <c r="J42" s="39">
        <v>2400</v>
      </c>
      <c r="K42" s="17">
        <f t="shared" si="1"/>
        <v>133.33333333333334</v>
      </c>
      <c r="L42" s="118">
        <v>18</v>
      </c>
      <c r="M42" s="18">
        <f t="shared" si="24"/>
        <v>2290.4999999999991</v>
      </c>
      <c r="N42" s="17">
        <f t="shared" si="3"/>
        <v>127.24999999999994</v>
      </c>
      <c r="O42" s="19">
        <f t="shared" si="4"/>
        <v>0</v>
      </c>
      <c r="P42" s="20">
        <f t="shared" si="5"/>
        <v>-6.0833333333333997</v>
      </c>
      <c r="Q42" s="115">
        <f t="shared" si="6"/>
        <v>0.95437499999999953</v>
      </c>
      <c r="R42" s="637"/>
      <c r="S42" s="40">
        <v>0.68541666666666656</v>
      </c>
      <c r="T42" s="40">
        <v>0.76874999999999993</v>
      </c>
      <c r="U42" s="116">
        <f t="shared" si="26"/>
        <v>4.9999999999999822</v>
      </c>
      <c r="V42" s="119">
        <f t="shared" si="25"/>
        <v>120.00000000000006</v>
      </c>
      <c r="W42" s="23"/>
      <c r="X42" s="23"/>
      <c r="Y42" s="26"/>
      <c r="Z42" s="26"/>
      <c r="AA42" s="111"/>
      <c r="AB42" s="112"/>
      <c r="AC42" s="135"/>
      <c r="AD42" s="25"/>
      <c r="AE42" s="19">
        <f t="shared" si="8"/>
        <v>-109.50000000000091</v>
      </c>
      <c r="AF42" s="115">
        <f t="shared" si="9"/>
        <v>0.95437499999999964</v>
      </c>
      <c r="AG42" s="637"/>
    </row>
    <row r="43" spans="1:33" ht="15.75" customHeight="1">
      <c r="A43" s="654" t="s">
        <v>310</v>
      </c>
      <c r="B43" s="42" t="s">
        <v>305</v>
      </c>
      <c r="C43" s="638"/>
      <c r="D43" s="638"/>
      <c r="E43" s="117"/>
      <c r="F43" s="120"/>
      <c r="G43" s="116"/>
      <c r="H43" s="120"/>
      <c r="I43" s="29">
        <v>16.555555555555557</v>
      </c>
      <c r="J43" s="39">
        <v>2400</v>
      </c>
      <c r="K43" s="17">
        <f t="shared" si="1"/>
        <v>144.96644295302013</v>
      </c>
      <c r="L43" s="29">
        <v>16.555555555555557</v>
      </c>
      <c r="M43" s="18">
        <f>AVERAGE(M34:M42)</f>
        <v>2296.1997394085788</v>
      </c>
      <c r="N43" s="17">
        <f t="shared" si="3"/>
        <v>138.69662855488059</v>
      </c>
      <c r="O43" s="19">
        <f t="shared" si="4"/>
        <v>0</v>
      </c>
      <c r="P43" s="20">
        <f t="shared" si="5"/>
        <v>-6.2698143981395447</v>
      </c>
      <c r="Q43" s="115">
        <f t="shared" si="6"/>
        <v>0.95674989142024114</v>
      </c>
      <c r="R43" s="637"/>
      <c r="S43" s="40"/>
      <c r="T43" s="40"/>
      <c r="U43" s="116"/>
      <c r="V43" s="119"/>
      <c r="W43" s="116"/>
      <c r="X43" s="116"/>
      <c r="Y43" s="30">
        <f>SUM(Y34:Y42)</f>
        <v>0</v>
      </c>
      <c r="Z43" s="30">
        <f>SUM(Z34:Z42)</f>
        <v>0</v>
      </c>
      <c r="AA43" s="631"/>
      <c r="AB43" s="631"/>
      <c r="AC43" s="30">
        <v>9</v>
      </c>
      <c r="AD43" s="30">
        <f>SUM(AD34:AD42)</f>
        <v>0</v>
      </c>
      <c r="AE43" s="19">
        <f t="shared" si="8"/>
        <v>-103.80026059142119</v>
      </c>
      <c r="AF43" s="115">
        <f t="shared" si="9"/>
        <v>0.95674989142024114</v>
      </c>
      <c r="AG43" s="637"/>
    </row>
    <row r="44" spans="1:33" ht="15.75" customHeight="1">
      <c r="A44" s="651" t="s">
        <v>311</v>
      </c>
      <c r="B44" s="42" t="s">
        <v>116</v>
      </c>
      <c r="C44" s="633" t="s">
        <v>123</v>
      </c>
      <c r="D44" s="633"/>
      <c r="E44" s="42">
        <v>26.18</v>
      </c>
      <c r="F44" s="120">
        <v>3800</v>
      </c>
      <c r="G44" s="116">
        <f t="shared" ref="G44:G51" si="27">E44*F44</f>
        <v>99484</v>
      </c>
      <c r="H44" s="37">
        <v>2</v>
      </c>
      <c r="I44" s="118">
        <v>20</v>
      </c>
      <c r="J44" s="39">
        <v>2400</v>
      </c>
      <c r="K44" s="17">
        <f t="shared" si="1"/>
        <v>120</v>
      </c>
      <c r="L44" s="118">
        <v>20</v>
      </c>
      <c r="M44" s="18">
        <f t="shared" ref="M44:M51" si="28">F44/V44*60</f>
        <v>2303.030303030303</v>
      </c>
      <c r="N44" s="17">
        <f t="shared" si="3"/>
        <v>115.15151515151516</v>
      </c>
      <c r="O44" s="19">
        <f t="shared" si="4"/>
        <v>0</v>
      </c>
      <c r="P44" s="20">
        <f t="shared" si="5"/>
        <v>-4.8484848484848442</v>
      </c>
      <c r="Q44" s="115">
        <f t="shared" si="6"/>
        <v>0.95959595959595967</v>
      </c>
      <c r="R44" s="637">
        <f>Q52</f>
        <v>0.95609674552600898</v>
      </c>
      <c r="S44" s="40">
        <v>8.3333333333333329E-2</v>
      </c>
      <c r="T44" s="40">
        <v>0.15208333333333332</v>
      </c>
      <c r="U44" s="116"/>
      <c r="V44" s="119">
        <f t="shared" ref="V44:V51" si="29">(T44-S44)*24*60</f>
        <v>99</v>
      </c>
      <c r="W44" s="28">
        <f>T44</f>
        <v>0.15208333333333332</v>
      </c>
      <c r="X44" s="28">
        <f>S45</f>
        <v>0.17152777777777778</v>
      </c>
      <c r="Y44" s="28"/>
      <c r="Z44" s="28"/>
      <c r="AA44" s="632"/>
      <c r="AB44" s="632"/>
      <c r="AC44" s="135">
        <v>8</v>
      </c>
      <c r="AD44" s="25"/>
      <c r="AE44" s="19">
        <f t="shared" si="8"/>
        <v>-96.969696969696997</v>
      </c>
      <c r="AF44" s="115">
        <f t="shared" si="9"/>
        <v>0.95959595959595956</v>
      </c>
      <c r="AG44" s="637">
        <f>AF52</f>
        <v>0.95609674552600898</v>
      </c>
    </row>
    <row r="45" spans="1:33" ht="15.75" customHeight="1">
      <c r="A45" s="651" t="s">
        <v>311</v>
      </c>
      <c r="B45" s="42" t="s">
        <v>116</v>
      </c>
      <c r="C45" s="633" t="s">
        <v>125</v>
      </c>
      <c r="D45" s="633"/>
      <c r="E45" s="42">
        <v>25.98</v>
      </c>
      <c r="F45" s="120">
        <v>3892</v>
      </c>
      <c r="G45" s="116">
        <f t="shared" si="27"/>
        <v>101114.16</v>
      </c>
      <c r="H45" s="37" t="s">
        <v>91</v>
      </c>
      <c r="I45" s="118">
        <v>20</v>
      </c>
      <c r="J45" s="39">
        <v>2400</v>
      </c>
      <c r="K45" s="17">
        <f t="shared" si="1"/>
        <v>120</v>
      </c>
      <c r="L45" s="118">
        <v>20</v>
      </c>
      <c r="M45" s="18">
        <f t="shared" si="28"/>
        <v>2289.4117647058824</v>
      </c>
      <c r="N45" s="17">
        <f t="shared" si="3"/>
        <v>114.47058823529412</v>
      </c>
      <c r="O45" s="19">
        <f t="shared" si="4"/>
        <v>0</v>
      </c>
      <c r="P45" s="20">
        <f t="shared" si="5"/>
        <v>-5.529411764705884</v>
      </c>
      <c r="Q45" s="115">
        <f t="shared" si="6"/>
        <v>0.95392156862745092</v>
      </c>
      <c r="R45" s="637"/>
      <c r="S45" s="40">
        <v>0.17152777777777778</v>
      </c>
      <c r="T45" s="40">
        <v>0.24236111111111111</v>
      </c>
      <c r="U45" s="116">
        <f t="shared" ref="U45:U51" si="30">(S45-T44)*24*60</f>
        <v>28.000000000000021</v>
      </c>
      <c r="V45" s="119">
        <f t="shared" si="29"/>
        <v>102</v>
      </c>
      <c r="W45" s="116"/>
      <c r="X45" s="116"/>
      <c r="Y45" s="116"/>
      <c r="Z45" s="116"/>
      <c r="AA45" s="632"/>
      <c r="AB45" s="632"/>
      <c r="AC45" s="135"/>
      <c r="AD45" s="25"/>
      <c r="AE45" s="19">
        <f t="shared" si="8"/>
        <v>-110.58823529411757</v>
      </c>
      <c r="AF45" s="115">
        <f t="shared" si="9"/>
        <v>0.95392156862745103</v>
      </c>
      <c r="AG45" s="637"/>
    </row>
    <row r="46" spans="1:33">
      <c r="A46" s="652" t="s">
        <v>311</v>
      </c>
      <c r="B46" s="42" t="s">
        <v>116</v>
      </c>
      <c r="C46" s="633" t="s">
        <v>119</v>
      </c>
      <c r="D46" s="633"/>
      <c r="E46" s="42">
        <v>26.18</v>
      </c>
      <c r="F46" s="120">
        <v>5200</v>
      </c>
      <c r="G46" s="116">
        <f t="shared" si="27"/>
        <v>136136</v>
      </c>
      <c r="H46" s="37">
        <v>2</v>
      </c>
      <c r="I46" s="118">
        <v>18</v>
      </c>
      <c r="J46" s="39">
        <v>2400</v>
      </c>
      <c r="K46" s="17">
        <f t="shared" si="1"/>
        <v>133.33333333333334</v>
      </c>
      <c r="L46" s="118">
        <v>18</v>
      </c>
      <c r="M46" s="18">
        <f t="shared" si="28"/>
        <v>2294.1176470588234</v>
      </c>
      <c r="N46" s="17">
        <f t="shared" si="3"/>
        <v>127.45098039215685</v>
      </c>
      <c r="O46" s="19">
        <f t="shared" si="4"/>
        <v>0</v>
      </c>
      <c r="P46" s="20">
        <f t="shared" si="5"/>
        <v>-5.8823529411764923</v>
      </c>
      <c r="Q46" s="115">
        <f t="shared" si="6"/>
        <v>0.95588235294117629</v>
      </c>
      <c r="R46" s="637"/>
      <c r="S46" s="40">
        <v>0.24652777777777779</v>
      </c>
      <c r="T46" s="40">
        <v>0.34097222222222223</v>
      </c>
      <c r="U46" s="116">
        <f t="shared" si="30"/>
        <v>6.0000000000000187</v>
      </c>
      <c r="V46" s="119">
        <f t="shared" si="29"/>
        <v>136</v>
      </c>
      <c r="W46" s="116"/>
      <c r="X46" s="116"/>
      <c r="Y46" s="116"/>
      <c r="Z46" s="116"/>
      <c r="AA46" s="632"/>
      <c r="AB46" s="632"/>
      <c r="AC46" s="135"/>
      <c r="AD46" s="25"/>
      <c r="AE46" s="19">
        <f t="shared" si="8"/>
        <v>-105.88235294117658</v>
      </c>
      <c r="AF46" s="115">
        <f t="shared" si="9"/>
        <v>0.95588235294117641</v>
      </c>
      <c r="AG46" s="637"/>
    </row>
    <row r="47" spans="1:33">
      <c r="A47" s="652" t="s">
        <v>311</v>
      </c>
      <c r="B47" s="42" t="s">
        <v>116</v>
      </c>
      <c r="C47" s="633" t="s">
        <v>121</v>
      </c>
      <c r="D47" s="633"/>
      <c r="E47" s="42">
        <v>25.99</v>
      </c>
      <c r="F47" s="120">
        <v>2400</v>
      </c>
      <c r="G47" s="116">
        <f t="shared" si="27"/>
        <v>62375.999999999993</v>
      </c>
      <c r="H47" s="37">
        <v>2</v>
      </c>
      <c r="I47" s="118">
        <v>14</v>
      </c>
      <c r="J47" s="39">
        <v>2400</v>
      </c>
      <c r="K47" s="17">
        <f t="shared" si="1"/>
        <v>171.42857142857142</v>
      </c>
      <c r="L47" s="118">
        <v>14</v>
      </c>
      <c r="M47" s="18">
        <f t="shared" si="28"/>
        <v>2285.7142857142853</v>
      </c>
      <c r="N47" s="17">
        <f t="shared" si="3"/>
        <v>163.26530612244895</v>
      </c>
      <c r="O47" s="19">
        <f t="shared" si="4"/>
        <v>0</v>
      </c>
      <c r="P47" s="20">
        <f t="shared" si="5"/>
        <v>-8.1632653061224687</v>
      </c>
      <c r="Q47" s="115">
        <f t="shared" si="6"/>
        <v>0.95238095238095222</v>
      </c>
      <c r="R47" s="637"/>
      <c r="S47" s="40">
        <v>0.34444444444444444</v>
      </c>
      <c r="T47" s="40">
        <v>0.38819444444444445</v>
      </c>
      <c r="U47" s="116">
        <f t="shared" si="30"/>
        <v>4.9999999999999822</v>
      </c>
      <c r="V47" s="119">
        <f t="shared" si="29"/>
        <v>63.000000000000014</v>
      </c>
      <c r="W47" s="23"/>
      <c r="X47" s="23"/>
      <c r="Y47" s="23"/>
      <c r="Z47" s="23"/>
      <c r="AA47" s="632"/>
      <c r="AB47" s="632"/>
      <c r="AC47" s="135"/>
      <c r="AD47" s="25"/>
      <c r="AE47" s="19">
        <f t="shared" si="8"/>
        <v>-114.28571428571468</v>
      </c>
      <c r="AF47" s="115">
        <f t="shared" si="9"/>
        <v>0.95238095238095222</v>
      </c>
      <c r="AG47" s="637"/>
    </row>
    <row r="48" spans="1:33">
      <c r="A48" s="652" t="s">
        <v>311</v>
      </c>
      <c r="B48" s="42" t="s">
        <v>116</v>
      </c>
      <c r="C48" s="633" t="s">
        <v>126</v>
      </c>
      <c r="D48" s="633"/>
      <c r="E48" s="42">
        <v>34.1</v>
      </c>
      <c r="F48" s="120">
        <v>4000</v>
      </c>
      <c r="G48" s="116">
        <f t="shared" si="27"/>
        <v>136400</v>
      </c>
      <c r="H48" s="37">
        <v>2</v>
      </c>
      <c r="I48" s="118">
        <v>17</v>
      </c>
      <c r="J48" s="39">
        <v>1600</v>
      </c>
      <c r="K48" s="17">
        <f t="shared" si="1"/>
        <v>94.117647058823536</v>
      </c>
      <c r="L48" s="118">
        <v>17</v>
      </c>
      <c r="M48" s="18">
        <f t="shared" si="28"/>
        <v>1528.6624203821657</v>
      </c>
      <c r="N48" s="17">
        <f t="shared" si="3"/>
        <v>89.92131884600974</v>
      </c>
      <c r="O48" s="19">
        <f t="shared" si="4"/>
        <v>0</v>
      </c>
      <c r="P48" s="20">
        <f t="shared" si="5"/>
        <v>-4.1963282128137962</v>
      </c>
      <c r="Q48" s="115">
        <f t="shared" si="6"/>
        <v>0.9554140127388534</v>
      </c>
      <c r="R48" s="637"/>
      <c r="S48" s="40">
        <v>0.39166666666666666</v>
      </c>
      <c r="T48" s="40">
        <v>0.50069444444444444</v>
      </c>
      <c r="U48" s="116">
        <f t="shared" si="30"/>
        <v>4.9999999999999822</v>
      </c>
      <c r="V48" s="119">
        <f t="shared" si="29"/>
        <v>157</v>
      </c>
      <c r="W48" s="23">
        <f>T48</f>
        <v>0.50069444444444444</v>
      </c>
      <c r="X48" s="23">
        <f>S49</f>
        <v>0.54236111111111107</v>
      </c>
      <c r="Y48" s="23"/>
      <c r="Z48" s="23"/>
      <c r="AA48" s="632"/>
      <c r="AB48" s="632"/>
      <c r="AC48" s="135"/>
      <c r="AD48" s="25"/>
      <c r="AE48" s="19">
        <f t="shared" si="8"/>
        <v>-71.337579617834308</v>
      </c>
      <c r="AF48" s="115">
        <f t="shared" si="9"/>
        <v>0.95541401273885351</v>
      </c>
      <c r="AG48" s="637"/>
    </row>
    <row r="49" spans="1:33">
      <c r="A49" s="652" t="s">
        <v>311</v>
      </c>
      <c r="B49" s="42" t="s">
        <v>116</v>
      </c>
      <c r="C49" s="633" t="s">
        <v>126</v>
      </c>
      <c r="D49" s="633"/>
      <c r="E49" s="42">
        <v>34.1</v>
      </c>
      <c r="F49" s="120">
        <v>3214</v>
      </c>
      <c r="G49" s="116">
        <f t="shared" si="27"/>
        <v>109597.40000000001</v>
      </c>
      <c r="H49" s="37" t="s">
        <v>91</v>
      </c>
      <c r="I49" s="118">
        <v>17</v>
      </c>
      <c r="J49" s="39">
        <v>1600</v>
      </c>
      <c r="K49" s="17">
        <f t="shared" si="1"/>
        <v>94.117647058823536</v>
      </c>
      <c r="L49" s="118">
        <v>17</v>
      </c>
      <c r="M49" s="18">
        <f t="shared" si="28"/>
        <v>1530.4761904761901</v>
      </c>
      <c r="N49" s="17">
        <f t="shared" si="3"/>
        <v>90.028011204481771</v>
      </c>
      <c r="O49" s="19">
        <f t="shared" si="4"/>
        <v>0</v>
      </c>
      <c r="P49" s="20">
        <f t="shared" si="5"/>
        <v>-4.0896358543417648</v>
      </c>
      <c r="Q49" s="115">
        <f t="shared" si="6"/>
        <v>0.95654761904761876</v>
      </c>
      <c r="R49" s="637"/>
      <c r="S49" s="40">
        <v>0.54236111111111107</v>
      </c>
      <c r="T49" s="40">
        <v>0.62986111111111109</v>
      </c>
      <c r="U49" s="116">
        <f t="shared" si="30"/>
        <v>59.999999999999943</v>
      </c>
      <c r="V49" s="119">
        <f t="shared" si="29"/>
        <v>126.00000000000003</v>
      </c>
      <c r="W49" s="23"/>
      <c r="X49" s="23"/>
      <c r="Y49" s="23"/>
      <c r="Z49" s="23"/>
      <c r="AA49" s="632"/>
      <c r="AB49" s="632"/>
      <c r="AC49" s="135"/>
      <c r="AD49" s="25"/>
      <c r="AE49" s="19">
        <f t="shared" si="8"/>
        <v>-69.523809523809859</v>
      </c>
      <c r="AF49" s="115">
        <f t="shared" si="9"/>
        <v>0.95654761904761887</v>
      </c>
      <c r="AG49" s="637"/>
    </row>
    <row r="50" spans="1:33">
      <c r="A50" s="652" t="s">
        <v>311</v>
      </c>
      <c r="B50" s="42" t="s">
        <v>116</v>
      </c>
      <c r="C50" s="633" t="s">
        <v>123</v>
      </c>
      <c r="D50" s="633"/>
      <c r="E50" s="42">
        <v>26.18</v>
      </c>
      <c r="F50" s="120">
        <v>3001</v>
      </c>
      <c r="G50" s="116">
        <f t="shared" si="27"/>
        <v>78566.179999999993</v>
      </c>
      <c r="H50" s="37" t="s">
        <v>91</v>
      </c>
      <c r="I50" s="118">
        <v>20</v>
      </c>
      <c r="J50" s="39">
        <v>2400</v>
      </c>
      <c r="K50" s="17">
        <f t="shared" si="1"/>
        <v>120</v>
      </c>
      <c r="L50" s="118">
        <v>20</v>
      </c>
      <c r="M50" s="18">
        <f t="shared" si="28"/>
        <v>2308.4615384615372</v>
      </c>
      <c r="N50" s="17">
        <f t="shared" si="3"/>
        <v>115.42307692307686</v>
      </c>
      <c r="O50" s="19">
        <f t="shared" si="4"/>
        <v>0</v>
      </c>
      <c r="P50" s="20">
        <f t="shared" si="5"/>
        <v>-4.576923076923137</v>
      </c>
      <c r="Q50" s="115">
        <f t="shared" si="6"/>
        <v>0.96185897435897383</v>
      </c>
      <c r="R50" s="637"/>
      <c r="S50" s="40">
        <v>0.63402777777777775</v>
      </c>
      <c r="T50" s="40">
        <v>0.68819444444444444</v>
      </c>
      <c r="U50" s="116">
        <f t="shared" si="30"/>
        <v>5.9999999999999787</v>
      </c>
      <c r="V50" s="119">
        <f t="shared" si="29"/>
        <v>78.000000000000043</v>
      </c>
      <c r="W50" s="23"/>
      <c r="X50" s="23"/>
      <c r="Y50" s="26"/>
      <c r="Z50" s="26"/>
      <c r="AA50" s="627"/>
      <c r="AB50" s="628"/>
      <c r="AC50" s="135"/>
      <c r="AD50" s="25"/>
      <c r="AE50" s="19">
        <f t="shared" si="8"/>
        <v>-91.538461538462798</v>
      </c>
      <c r="AF50" s="115">
        <f t="shared" si="9"/>
        <v>0.96185897435897383</v>
      </c>
      <c r="AG50" s="637"/>
    </row>
    <row r="51" spans="1:33">
      <c r="A51" s="652" t="s">
        <v>311</v>
      </c>
      <c r="B51" s="42" t="s">
        <v>116</v>
      </c>
      <c r="C51" s="633" t="s">
        <v>119</v>
      </c>
      <c r="D51" s="633"/>
      <c r="E51" s="42">
        <v>26.18</v>
      </c>
      <c r="F51" s="120">
        <v>4003</v>
      </c>
      <c r="G51" s="116">
        <f t="shared" si="27"/>
        <v>104798.54</v>
      </c>
      <c r="H51" s="37" t="s">
        <v>91</v>
      </c>
      <c r="I51" s="118">
        <v>18</v>
      </c>
      <c r="J51" s="39">
        <v>2400</v>
      </c>
      <c r="K51" s="17">
        <f t="shared" si="1"/>
        <v>133.33333333333334</v>
      </c>
      <c r="L51" s="118">
        <v>18</v>
      </c>
      <c r="M51" s="18">
        <f t="shared" si="28"/>
        <v>2287.4285714285725</v>
      </c>
      <c r="N51" s="17">
        <f t="shared" si="3"/>
        <v>127.07936507936513</v>
      </c>
      <c r="O51" s="19">
        <f t="shared" si="4"/>
        <v>0</v>
      </c>
      <c r="P51" s="20">
        <f t="shared" si="5"/>
        <v>-6.2539682539682104</v>
      </c>
      <c r="Q51" s="115">
        <f t="shared" si="6"/>
        <v>0.95309523809523844</v>
      </c>
      <c r="R51" s="637"/>
      <c r="S51" s="40">
        <v>0.69166666666666665</v>
      </c>
      <c r="T51" s="40">
        <v>0.76458333333333328</v>
      </c>
      <c r="U51" s="116">
        <f t="shared" si="30"/>
        <v>4.9999999999999822</v>
      </c>
      <c r="V51" s="119">
        <f t="shared" si="29"/>
        <v>104.99999999999994</v>
      </c>
      <c r="W51" s="23"/>
      <c r="X51" s="23"/>
      <c r="Y51" s="26"/>
      <c r="Z51" s="26"/>
      <c r="AA51" s="627"/>
      <c r="AB51" s="628"/>
      <c r="AC51" s="135"/>
      <c r="AD51" s="25"/>
      <c r="AE51" s="19">
        <f t="shared" si="8"/>
        <v>-112.57142857142753</v>
      </c>
      <c r="AF51" s="115">
        <f t="shared" si="9"/>
        <v>0.95309523809523855</v>
      </c>
      <c r="AG51" s="637"/>
    </row>
    <row r="52" spans="1:33">
      <c r="A52" s="652" t="s">
        <v>311</v>
      </c>
      <c r="B52" s="44" t="s">
        <v>305</v>
      </c>
      <c r="C52" s="638"/>
      <c r="D52" s="638"/>
      <c r="E52" s="117"/>
      <c r="F52" s="44"/>
      <c r="G52" s="17"/>
      <c r="H52" s="120"/>
      <c r="I52" s="29">
        <v>18</v>
      </c>
      <c r="J52" s="39">
        <v>2200</v>
      </c>
      <c r="K52" s="17">
        <f t="shared" si="1"/>
        <v>122.22222222222223</v>
      </c>
      <c r="L52" s="29">
        <v>18</v>
      </c>
      <c r="M52" s="18">
        <f>AVERAGE(M44:M51)</f>
        <v>2103.4128401572198</v>
      </c>
      <c r="N52" s="17">
        <f t="shared" si="3"/>
        <v>116.85626889762332</v>
      </c>
      <c r="O52" s="19">
        <f t="shared" si="4"/>
        <v>0</v>
      </c>
      <c r="P52" s="20">
        <f t="shared" si="5"/>
        <v>-5.3659533245989053</v>
      </c>
      <c r="Q52" s="115">
        <f t="shared" si="6"/>
        <v>0.95609674552600898</v>
      </c>
      <c r="R52" s="637"/>
      <c r="S52" s="40"/>
      <c r="T52" s="40"/>
      <c r="U52" s="17"/>
      <c r="V52" s="119"/>
      <c r="W52" s="17"/>
      <c r="X52" s="17"/>
      <c r="Y52" s="30">
        <f>SUM(Y44:Y51)</f>
        <v>0</v>
      </c>
      <c r="Z52" s="30">
        <f>SUM(Z44:Z51)</f>
        <v>0</v>
      </c>
      <c r="AA52" s="631"/>
      <c r="AB52" s="631"/>
      <c r="AC52" s="30">
        <v>8</v>
      </c>
      <c r="AD52" s="30">
        <f>SUM(AD44:AD51)</f>
        <v>0</v>
      </c>
      <c r="AE52" s="19">
        <f t="shared" si="8"/>
        <v>-96.587159842780238</v>
      </c>
      <c r="AF52" s="115">
        <f t="shared" si="9"/>
        <v>0.95609674552600898</v>
      </c>
      <c r="AG52" s="637"/>
    </row>
    <row r="53" spans="1:33" ht="15.75" customHeight="1">
      <c r="A53" s="648" t="s">
        <v>312</v>
      </c>
      <c r="B53" s="42" t="s">
        <v>127</v>
      </c>
      <c r="C53" s="625" t="s">
        <v>128</v>
      </c>
      <c r="D53" s="626"/>
      <c r="E53" s="42">
        <v>21.13</v>
      </c>
      <c r="F53" s="120">
        <v>6292</v>
      </c>
      <c r="G53" s="116">
        <f t="shared" ref="G53:G56" si="31">E53*F53</f>
        <v>132949.96</v>
      </c>
      <c r="H53" s="37" t="s">
        <v>91</v>
      </c>
      <c r="I53" s="118">
        <v>10</v>
      </c>
      <c r="J53" s="39">
        <v>3000</v>
      </c>
      <c r="K53" s="17">
        <f t="shared" si="1"/>
        <v>300</v>
      </c>
      <c r="L53" s="118">
        <v>10</v>
      </c>
      <c r="M53" s="18">
        <f t="shared" ref="M53:M56" si="32">F53/V53*60</f>
        <v>2859.9999999999986</v>
      </c>
      <c r="N53" s="18">
        <f t="shared" si="3"/>
        <v>285.99999999999989</v>
      </c>
      <c r="O53" s="19">
        <f t="shared" si="4"/>
        <v>0</v>
      </c>
      <c r="P53" s="20">
        <f t="shared" si="5"/>
        <v>-14.000000000000114</v>
      </c>
      <c r="Q53" s="115">
        <f t="shared" si="6"/>
        <v>0.95333333333333292</v>
      </c>
      <c r="R53" s="643">
        <f>Q57</f>
        <v>0.95351631957130656</v>
      </c>
      <c r="S53" s="40">
        <v>0.20833333333333334</v>
      </c>
      <c r="T53" s="40">
        <v>0.30000000000000004</v>
      </c>
      <c r="U53" s="28"/>
      <c r="V53" s="119">
        <f t="shared" ref="V53:V56" si="33">(T53-S53)*24*60</f>
        <v>132.00000000000006</v>
      </c>
      <c r="W53" s="23"/>
      <c r="X53" s="23"/>
      <c r="Y53" s="26"/>
      <c r="Z53" s="26"/>
      <c r="AA53" s="627"/>
      <c r="AB53" s="628"/>
      <c r="AC53" s="135">
        <v>4</v>
      </c>
      <c r="AD53" s="25"/>
      <c r="AE53" s="19">
        <f t="shared" si="8"/>
        <v>-140.00000000000136</v>
      </c>
      <c r="AF53" s="115">
        <f t="shared" si="9"/>
        <v>0.95333333333333292</v>
      </c>
      <c r="AG53" s="643">
        <f>AF57</f>
        <v>0.95351631957130656</v>
      </c>
    </row>
    <row r="54" spans="1:33" ht="15.75" customHeight="1">
      <c r="A54" s="649" t="s">
        <v>312</v>
      </c>
      <c r="B54" s="42" t="s">
        <v>127</v>
      </c>
      <c r="C54" s="625" t="s">
        <v>129</v>
      </c>
      <c r="D54" s="626"/>
      <c r="E54" s="42">
        <v>27.17</v>
      </c>
      <c r="F54" s="120">
        <v>5681</v>
      </c>
      <c r="G54" s="116">
        <f t="shared" si="31"/>
        <v>154352.77000000002</v>
      </c>
      <c r="H54" s="37" t="s">
        <v>91</v>
      </c>
      <c r="I54" s="118">
        <v>10</v>
      </c>
      <c r="J54" s="39">
        <v>3000</v>
      </c>
      <c r="K54" s="17">
        <f t="shared" si="1"/>
        <v>300</v>
      </c>
      <c r="L54" s="118">
        <v>10</v>
      </c>
      <c r="M54" s="18">
        <f t="shared" si="32"/>
        <v>2864.3697478991603</v>
      </c>
      <c r="N54" s="18">
        <f t="shared" si="3"/>
        <v>286.43697478991601</v>
      </c>
      <c r="O54" s="19">
        <f t="shared" si="4"/>
        <v>0</v>
      </c>
      <c r="P54" s="20">
        <f t="shared" si="5"/>
        <v>-13.563025210083993</v>
      </c>
      <c r="Q54" s="115">
        <f t="shared" si="6"/>
        <v>0.95478991596638674</v>
      </c>
      <c r="R54" s="644"/>
      <c r="S54" s="40">
        <v>0.30347222222222225</v>
      </c>
      <c r="T54" s="40">
        <v>0.38611111111111113</v>
      </c>
      <c r="U54" s="116">
        <f t="shared" ref="U54:U56" si="34">(S54-T53)*24*60</f>
        <v>4.9999999999999822</v>
      </c>
      <c r="V54" s="119">
        <f t="shared" si="33"/>
        <v>118.99999999999997</v>
      </c>
      <c r="W54" s="23"/>
      <c r="X54" s="23"/>
      <c r="Y54" s="26"/>
      <c r="Z54" s="26"/>
      <c r="AA54" s="627"/>
      <c r="AB54" s="628"/>
      <c r="AC54" s="135"/>
      <c r="AD54" s="25"/>
      <c r="AE54" s="19">
        <f t="shared" si="8"/>
        <v>-135.6302521008397</v>
      </c>
      <c r="AF54" s="115">
        <f t="shared" si="9"/>
        <v>0.95478991596638674</v>
      </c>
      <c r="AG54" s="644"/>
    </row>
    <row r="55" spans="1:33" ht="15.75" customHeight="1">
      <c r="A55" s="649" t="s">
        <v>312</v>
      </c>
      <c r="B55" s="42" t="s">
        <v>127</v>
      </c>
      <c r="C55" s="625" t="s">
        <v>130</v>
      </c>
      <c r="D55" s="626"/>
      <c r="E55" s="42">
        <v>35.869999999999997</v>
      </c>
      <c r="F55" s="120">
        <v>2191</v>
      </c>
      <c r="G55" s="116">
        <f t="shared" si="31"/>
        <v>78591.17</v>
      </c>
      <c r="H55" s="37" t="s">
        <v>91</v>
      </c>
      <c r="I55" s="118">
        <v>9</v>
      </c>
      <c r="J55" s="39">
        <v>3000</v>
      </c>
      <c r="K55" s="17">
        <f t="shared" si="1"/>
        <v>333.33333333333331</v>
      </c>
      <c r="L55" s="118">
        <v>9</v>
      </c>
      <c r="M55" s="18">
        <f t="shared" si="32"/>
        <v>2857.8260869565215</v>
      </c>
      <c r="N55" s="18">
        <f t="shared" si="3"/>
        <v>317.53623188405794</v>
      </c>
      <c r="O55" s="19">
        <f t="shared" si="4"/>
        <v>0</v>
      </c>
      <c r="P55" s="20">
        <f t="shared" si="5"/>
        <v>-15.797101449275374</v>
      </c>
      <c r="Q55" s="115">
        <f t="shared" si="6"/>
        <v>0.95260869565217388</v>
      </c>
      <c r="R55" s="644"/>
      <c r="S55" s="40">
        <v>0.39166666666666666</v>
      </c>
      <c r="T55" s="40">
        <v>0.4236111111111111</v>
      </c>
      <c r="U55" s="116">
        <f t="shared" si="34"/>
        <v>7.9999999999999716</v>
      </c>
      <c r="V55" s="119">
        <f t="shared" si="33"/>
        <v>46</v>
      </c>
      <c r="W55" s="23"/>
      <c r="X55" s="23"/>
      <c r="Y55" s="26"/>
      <c r="Z55" s="26"/>
      <c r="AA55" s="627"/>
      <c r="AB55" s="628"/>
      <c r="AC55" s="135"/>
      <c r="AD55" s="25"/>
      <c r="AE55" s="19">
        <f t="shared" si="8"/>
        <v>-142.17391304347848</v>
      </c>
      <c r="AF55" s="115">
        <f t="shared" si="9"/>
        <v>0.95260869565217388</v>
      </c>
      <c r="AG55" s="644"/>
    </row>
    <row r="56" spans="1:33" ht="15.75" customHeight="1">
      <c r="A56" s="649" t="s">
        <v>312</v>
      </c>
      <c r="B56" s="42" t="s">
        <v>127</v>
      </c>
      <c r="C56" s="625" t="s">
        <v>131</v>
      </c>
      <c r="D56" s="626"/>
      <c r="E56" s="42">
        <v>34.35</v>
      </c>
      <c r="F56" s="120">
        <v>858</v>
      </c>
      <c r="G56" s="116">
        <f t="shared" si="31"/>
        <v>29472.300000000003</v>
      </c>
      <c r="H56" s="37" t="s">
        <v>91</v>
      </c>
      <c r="I56" s="118">
        <v>8</v>
      </c>
      <c r="J56" s="39">
        <v>3000</v>
      </c>
      <c r="K56" s="17">
        <f t="shared" si="1"/>
        <v>375</v>
      </c>
      <c r="L56" s="118">
        <v>8</v>
      </c>
      <c r="M56" s="18">
        <f t="shared" si="32"/>
        <v>2859.9999999999977</v>
      </c>
      <c r="N56" s="18">
        <f t="shared" si="3"/>
        <v>357.49999999999972</v>
      </c>
      <c r="O56" s="19">
        <f t="shared" si="4"/>
        <v>0</v>
      </c>
      <c r="P56" s="20">
        <f t="shared" si="5"/>
        <v>-17.500000000000284</v>
      </c>
      <c r="Q56" s="115">
        <f t="shared" si="6"/>
        <v>0.95333333333333259</v>
      </c>
      <c r="R56" s="644"/>
      <c r="S56" s="40">
        <v>0.42777777777777776</v>
      </c>
      <c r="T56" s="40">
        <v>0.44027777777777777</v>
      </c>
      <c r="U56" s="116">
        <f t="shared" si="34"/>
        <v>5.9999999999999787</v>
      </c>
      <c r="V56" s="119">
        <f t="shared" si="33"/>
        <v>18.000000000000014</v>
      </c>
      <c r="W56" s="23"/>
      <c r="X56" s="23"/>
      <c r="Y56" s="26"/>
      <c r="Z56" s="26"/>
      <c r="AA56" s="627"/>
      <c r="AB56" s="628"/>
      <c r="AC56" s="135"/>
      <c r="AD56" s="25"/>
      <c r="AE56" s="19">
        <f t="shared" si="8"/>
        <v>-140.00000000000227</v>
      </c>
      <c r="AF56" s="115">
        <f t="shared" si="9"/>
        <v>0.95333333333333259</v>
      </c>
      <c r="AG56" s="644"/>
    </row>
    <row r="57" spans="1:33" ht="15.75" customHeight="1">
      <c r="A57" s="650" t="s">
        <v>312</v>
      </c>
      <c r="B57" s="42" t="s">
        <v>305</v>
      </c>
      <c r="C57" s="629"/>
      <c r="D57" s="630"/>
      <c r="E57" s="109"/>
      <c r="F57" s="120"/>
      <c r="G57" s="116"/>
      <c r="H57" s="120"/>
      <c r="I57" s="29">
        <v>9.25</v>
      </c>
      <c r="J57" s="39">
        <v>3000</v>
      </c>
      <c r="K57" s="17">
        <f t="shared" si="1"/>
        <v>324.32432432432432</v>
      </c>
      <c r="L57" s="29">
        <v>9.25</v>
      </c>
      <c r="M57" s="18">
        <f>AVERAGE(M53:M56)</f>
        <v>2860.5489587139195</v>
      </c>
      <c r="N57" s="17">
        <f t="shared" si="3"/>
        <v>309.24853607718052</v>
      </c>
      <c r="O57" s="19">
        <f t="shared" si="4"/>
        <v>0</v>
      </c>
      <c r="P57" s="20">
        <f t="shared" si="5"/>
        <v>-15.075788247143805</v>
      </c>
      <c r="Q57" s="115">
        <f t="shared" si="6"/>
        <v>0.95351631957130656</v>
      </c>
      <c r="R57" s="645"/>
      <c r="S57" s="40"/>
      <c r="T57" s="40"/>
      <c r="U57" s="116"/>
      <c r="V57" s="119"/>
      <c r="W57" s="23"/>
      <c r="X57" s="23"/>
      <c r="Y57" s="30">
        <f>SUM(Y53:Y56)</f>
        <v>0</v>
      </c>
      <c r="Z57" s="30">
        <f>SUM(Z53:Z56)</f>
        <v>0</v>
      </c>
      <c r="AA57" s="646"/>
      <c r="AB57" s="647"/>
      <c r="AC57" s="30">
        <v>4</v>
      </c>
      <c r="AD57" s="30">
        <f>SUM(AD53:AD56)</f>
        <v>0</v>
      </c>
      <c r="AE57" s="19">
        <f t="shared" si="8"/>
        <v>-139.45104128608045</v>
      </c>
      <c r="AF57" s="115">
        <f t="shared" si="9"/>
        <v>0.95351631957130656</v>
      </c>
      <c r="AG57" s="645"/>
    </row>
    <row r="58" spans="1:33" ht="15.75" customHeight="1">
      <c r="A58" s="641" t="s">
        <v>313</v>
      </c>
      <c r="B58" s="42" t="s">
        <v>92</v>
      </c>
      <c r="C58" s="633" t="s">
        <v>133</v>
      </c>
      <c r="D58" s="633"/>
      <c r="E58" s="42">
        <v>59.04</v>
      </c>
      <c r="F58" s="48">
        <v>1671</v>
      </c>
      <c r="G58" s="116">
        <f t="shared" ref="G58:G67" si="35">E58*F58</f>
        <v>98655.84</v>
      </c>
      <c r="H58" s="37" t="s">
        <v>91</v>
      </c>
      <c r="I58" s="118">
        <v>19</v>
      </c>
      <c r="J58" s="39">
        <v>2000</v>
      </c>
      <c r="K58" s="17">
        <f t="shared" si="1"/>
        <v>105.26315789473684</v>
      </c>
      <c r="L58" s="118">
        <v>19</v>
      </c>
      <c r="M58" s="18">
        <f t="shared" ref="M58" si="36">F58/V58*60</f>
        <v>1928.0769230769233</v>
      </c>
      <c r="N58" s="18">
        <f t="shared" si="3"/>
        <v>101.47773279352228</v>
      </c>
      <c r="O58" s="19">
        <f t="shared" si="4"/>
        <v>0</v>
      </c>
      <c r="P58" s="20">
        <f t="shared" si="5"/>
        <v>-3.7854251012145568</v>
      </c>
      <c r="Q58" s="115">
        <f t="shared" si="6"/>
        <v>0.96403846153846173</v>
      </c>
      <c r="R58" s="637">
        <f>Q68</f>
        <v>0.96182122623884425</v>
      </c>
      <c r="S58" s="40">
        <v>8.3333333333333329E-2</v>
      </c>
      <c r="T58" s="40">
        <v>0.11944444444444444</v>
      </c>
      <c r="U58" s="28"/>
      <c r="V58" s="119">
        <f t="shared" ref="V58:V67" si="37">(T58-S58)*24*60</f>
        <v>51.999999999999993</v>
      </c>
      <c r="W58" s="23">
        <f>T58</f>
        <v>0.11944444444444444</v>
      </c>
      <c r="X58" s="23">
        <f>S59</f>
        <v>0.1388888888888889</v>
      </c>
      <c r="Y58" s="28"/>
      <c r="Z58" s="28"/>
      <c r="AA58" s="632"/>
      <c r="AB58" s="632"/>
      <c r="AC58" s="135">
        <v>10</v>
      </c>
      <c r="AD58" s="25"/>
      <c r="AE58" s="19">
        <f t="shared" si="8"/>
        <v>-71.923076923076678</v>
      </c>
      <c r="AF58" s="115">
        <f t="shared" si="9"/>
        <v>0.96403846153846162</v>
      </c>
      <c r="AG58" s="637">
        <f>AF68</f>
        <v>0.96182122623884425</v>
      </c>
    </row>
    <row r="59" spans="1:33" ht="15.75" customHeight="1">
      <c r="A59" s="641" t="s">
        <v>313</v>
      </c>
      <c r="B59" s="42" t="s">
        <v>103</v>
      </c>
      <c r="C59" s="633" t="s">
        <v>132</v>
      </c>
      <c r="D59" s="633"/>
      <c r="E59" s="42">
        <v>51.44</v>
      </c>
      <c r="F59" s="48">
        <v>8281</v>
      </c>
      <c r="G59" s="116">
        <f t="shared" si="35"/>
        <v>425974.63999999996</v>
      </c>
      <c r="H59" s="37" t="s">
        <v>91</v>
      </c>
      <c r="I59" s="118">
        <v>18</v>
      </c>
      <c r="J59" s="39">
        <v>2000</v>
      </c>
      <c r="K59" s="17">
        <f t="shared" si="1"/>
        <v>111.11111111111111</v>
      </c>
      <c r="L59" s="118">
        <v>18</v>
      </c>
      <c r="M59" s="18">
        <f>F59/V59*60</f>
        <v>1903.6781609195402</v>
      </c>
      <c r="N59" s="18">
        <f t="shared" si="3"/>
        <v>105.75989782886334</v>
      </c>
      <c r="O59" s="19">
        <f t="shared" si="4"/>
        <v>0</v>
      </c>
      <c r="P59" s="20">
        <f t="shared" si="5"/>
        <v>-5.3512132822477696</v>
      </c>
      <c r="Q59" s="115">
        <f t="shared" si="6"/>
        <v>0.95183908045977006</v>
      </c>
      <c r="R59" s="637"/>
      <c r="S59" s="40">
        <v>0.1388888888888889</v>
      </c>
      <c r="T59" s="40">
        <v>0.32013888888888886</v>
      </c>
      <c r="U59" s="116">
        <f t="shared" ref="U59:U67" si="38">IF(S59=TIME(17,0,0),"",(S59-T58)*24*60)</f>
        <v>28.000000000000021</v>
      </c>
      <c r="V59" s="119">
        <f t="shared" si="37"/>
        <v>261</v>
      </c>
      <c r="W59" s="23"/>
      <c r="X59" s="23"/>
      <c r="Y59" s="23"/>
      <c r="Z59" s="23"/>
      <c r="AA59" s="632"/>
      <c r="AB59" s="632"/>
      <c r="AC59" s="135"/>
      <c r="AD59" s="25"/>
      <c r="AE59" s="19">
        <f t="shared" si="8"/>
        <v>-96.321839080459768</v>
      </c>
      <c r="AF59" s="115">
        <f t="shared" si="9"/>
        <v>0.95183908045977017</v>
      </c>
      <c r="AG59" s="637"/>
    </row>
    <row r="60" spans="1:33" ht="15.75" customHeight="1">
      <c r="A60" s="641" t="s">
        <v>313</v>
      </c>
      <c r="B60" s="42" t="s">
        <v>92</v>
      </c>
      <c r="C60" s="625" t="s">
        <v>134</v>
      </c>
      <c r="D60" s="626"/>
      <c r="E60" s="42">
        <v>56.43</v>
      </c>
      <c r="F60" s="48">
        <v>1340</v>
      </c>
      <c r="G60" s="116">
        <f t="shared" si="35"/>
        <v>75616.2</v>
      </c>
      <c r="H60" s="37" t="s">
        <v>91</v>
      </c>
      <c r="I60" s="118">
        <v>22</v>
      </c>
      <c r="J60" s="39">
        <v>2000</v>
      </c>
      <c r="K60" s="17">
        <f t="shared" si="1"/>
        <v>90.909090909090907</v>
      </c>
      <c r="L60" s="118">
        <v>22</v>
      </c>
      <c r="M60" s="18">
        <f t="shared" ref="M60:M67" si="39">F60/V60*60</f>
        <v>1914.2857142857138</v>
      </c>
      <c r="N60" s="18">
        <f t="shared" si="3"/>
        <v>87.012987012986983</v>
      </c>
      <c r="O60" s="19">
        <f t="shared" si="4"/>
        <v>0</v>
      </c>
      <c r="P60" s="20">
        <f t="shared" si="5"/>
        <v>-3.8961038961039236</v>
      </c>
      <c r="Q60" s="115">
        <f t="shared" si="6"/>
        <v>0.95714285714285685</v>
      </c>
      <c r="R60" s="637"/>
      <c r="S60" s="40">
        <v>0.3256944444444444</v>
      </c>
      <c r="T60" s="40">
        <v>0.35486111111111107</v>
      </c>
      <c r="U60" s="116">
        <f t="shared" si="38"/>
        <v>7.9999999999999716</v>
      </c>
      <c r="V60" s="119">
        <f t="shared" si="37"/>
        <v>42.000000000000014</v>
      </c>
      <c r="W60" s="23"/>
      <c r="X60" s="23"/>
      <c r="Y60" s="26"/>
      <c r="Z60" s="26"/>
      <c r="AA60" s="632"/>
      <c r="AB60" s="632"/>
      <c r="AC60" s="135"/>
      <c r="AD60" s="25"/>
      <c r="AE60" s="19">
        <f t="shared" si="8"/>
        <v>-85.714285714286234</v>
      </c>
      <c r="AF60" s="115">
        <f t="shared" si="9"/>
        <v>0.95714285714285685</v>
      </c>
      <c r="AG60" s="637"/>
    </row>
    <row r="61" spans="1:33" ht="15.75" customHeight="1">
      <c r="A61" s="641" t="s">
        <v>313</v>
      </c>
      <c r="B61" s="42" t="s">
        <v>92</v>
      </c>
      <c r="C61" s="113" t="s">
        <v>135</v>
      </c>
      <c r="D61" s="114"/>
      <c r="E61" s="42">
        <v>51.44</v>
      </c>
      <c r="F61" s="48">
        <v>1900</v>
      </c>
      <c r="G61" s="116">
        <f t="shared" si="35"/>
        <v>97736</v>
      </c>
      <c r="H61" s="37" t="s">
        <v>91</v>
      </c>
      <c r="I61" s="118">
        <v>25</v>
      </c>
      <c r="J61" s="39">
        <v>2000</v>
      </c>
      <c r="K61" s="17">
        <f t="shared" si="1"/>
        <v>80</v>
      </c>
      <c r="L61" s="118">
        <v>25</v>
      </c>
      <c r="M61" s="18">
        <f t="shared" si="39"/>
        <v>1932.2033898305074</v>
      </c>
      <c r="N61" s="18">
        <f t="shared" si="3"/>
        <v>77.288135593220289</v>
      </c>
      <c r="O61" s="19">
        <f t="shared" si="4"/>
        <v>0</v>
      </c>
      <c r="P61" s="20">
        <f t="shared" si="5"/>
        <v>-2.7118644067797106</v>
      </c>
      <c r="Q61" s="115">
        <f t="shared" si="6"/>
        <v>0.96610169491525366</v>
      </c>
      <c r="R61" s="637"/>
      <c r="S61" s="40">
        <v>0.35833333333333328</v>
      </c>
      <c r="T61" s="40">
        <v>0.39930555555555552</v>
      </c>
      <c r="U61" s="116">
        <f t="shared" si="38"/>
        <v>4.9999999999999822</v>
      </c>
      <c r="V61" s="119">
        <f t="shared" si="37"/>
        <v>59.000000000000028</v>
      </c>
      <c r="W61" s="23"/>
      <c r="X61" s="23"/>
      <c r="Y61" s="26"/>
      <c r="Z61" s="26"/>
      <c r="AA61" s="632"/>
      <c r="AB61" s="632"/>
      <c r="AC61" s="135"/>
      <c r="AD61" s="25"/>
      <c r="AE61" s="19">
        <f t="shared" si="8"/>
        <v>-67.796610169492624</v>
      </c>
      <c r="AF61" s="115">
        <f t="shared" si="9"/>
        <v>0.96610169491525366</v>
      </c>
      <c r="AG61" s="637"/>
    </row>
    <row r="62" spans="1:33" ht="15.75" customHeight="1">
      <c r="A62" s="641" t="s">
        <v>313</v>
      </c>
      <c r="B62" s="42" t="s">
        <v>96</v>
      </c>
      <c r="C62" s="113" t="s">
        <v>136</v>
      </c>
      <c r="D62" s="114"/>
      <c r="E62" s="42">
        <v>46</v>
      </c>
      <c r="F62" s="48">
        <v>1927</v>
      </c>
      <c r="G62" s="116">
        <f t="shared" si="35"/>
        <v>88642</v>
      </c>
      <c r="H62" s="37" t="s">
        <v>91</v>
      </c>
      <c r="I62" s="118">
        <v>16</v>
      </c>
      <c r="J62" s="39">
        <v>2000</v>
      </c>
      <c r="K62" s="17">
        <f t="shared" si="1"/>
        <v>125</v>
      </c>
      <c r="L62" s="118">
        <v>16</v>
      </c>
      <c r="M62" s="18">
        <f t="shared" si="39"/>
        <v>1926.9999999999991</v>
      </c>
      <c r="N62" s="18">
        <f t="shared" si="3"/>
        <v>120.43749999999994</v>
      </c>
      <c r="O62" s="19">
        <f t="shared" si="4"/>
        <v>0</v>
      </c>
      <c r="P62" s="20">
        <f t="shared" si="5"/>
        <v>-4.5625000000000568</v>
      </c>
      <c r="Q62" s="115">
        <f t="shared" si="6"/>
        <v>0.96349999999999958</v>
      </c>
      <c r="R62" s="637"/>
      <c r="S62" s="40">
        <v>0.40347222222222218</v>
      </c>
      <c r="T62" s="40">
        <v>0.44513888888888886</v>
      </c>
      <c r="U62" s="116">
        <f t="shared" si="38"/>
        <v>5.9999999999999787</v>
      </c>
      <c r="V62" s="119">
        <f t="shared" si="37"/>
        <v>60.000000000000028</v>
      </c>
      <c r="W62" s="23"/>
      <c r="X62" s="23"/>
      <c r="Y62" s="26"/>
      <c r="Z62" s="26"/>
      <c r="AA62" s="632"/>
      <c r="AB62" s="632"/>
      <c r="AC62" s="135"/>
      <c r="AD62" s="25"/>
      <c r="AE62" s="19">
        <f t="shared" si="8"/>
        <v>-73.000000000000909</v>
      </c>
      <c r="AF62" s="115">
        <f t="shared" si="9"/>
        <v>0.96349999999999958</v>
      </c>
      <c r="AG62" s="637"/>
    </row>
    <row r="63" spans="1:33" ht="15.75" customHeight="1">
      <c r="A63" s="641" t="s">
        <v>313</v>
      </c>
      <c r="B63" s="42" t="s">
        <v>96</v>
      </c>
      <c r="C63" s="625" t="s">
        <v>137</v>
      </c>
      <c r="D63" s="626"/>
      <c r="E63" s="42">
        <v>46</v>
      </c>
      <c r="F63" s="48">
        <v>2101</v>
      </c>
      <c r="G63" s="116">
        <f t="shared" si="35"/>
        <v>96646</v>
      </c>
      <c r="H63" s="37" t="s">
        <v>91</v>
      </c>
      <c r="I63" s="118">
        <v>17</v>
      </c>
      <c r="J63" s="39">
        <v>2000</v>
      </c>
      <c r="K63" s="17">
        <f t="shared" si="1"/>
        <v>117.64705882352941</v>
      </c>
      <c r="L63" s="118">
        <v>17</v>
      </c>
      <c r="M63" s="18">
        <f t="shared" si="39"/>
        <v>1910</v>
      </c>
      <c r="N63" s="18">
        <f t="shared" si="3"/>
        <v>112.35294117647059</v>
      </c>
      <c r="O63" s="19">
        <f t="shared" si="4"/>
        <v>0</v>
      </c>
      <c r="P63" s="20">
        <f t="shared" si="5"/>
        <v>-5.2941176470588118</v>
      </c>
      <c r="Q63" s="115">
        <f t="shared" si="6"/>
        <v>0.95500000000000007</v>
      </c>
      <c r="R63" s="637"/>
      <c r="S63" s="40">
        <v>0.4506944444444444</v>
      </c>
      <c r="T63" s="40">
        <v>0.49652777777777773</v>
      </c>
      <c r="U63" s="116">
        <f t="shared" si="38"/>
        <v>7.9999999999999716</v>
      </c>
      <c r="V63" s="119">
        <f t="shared" si="37"/>
        <v>66</v>
      </c>
      <c r="W63" s="23"/>
      <c r="X63" s="23"/>
      <c r="Y63" s="26"/>
      <c r="Z63" s="26"/>
      <c r="AA63" s="627"/>
      <c r="AB63" s="628"/>
      <c r="AC63" s="135"/>
      <c r="AD63" s="25"/>
      <c r="AE63" s="19">
        <f t="shared" si="8"/>
        <v>-90</v>
      </c>
      <c r="AF63" s="115">
        <f t="shared" si="9"/>
        <v>0.95499999999999996</v>
      </c>
      <c r="AG63" s="637"/>
    </row>
    <row r="64" spans="1:33" ht="15.75" customHeight="1">
      <c r="A64" s="641" t="s">
        <v>313</v>
      </c>
      <c r="B64" s="42" t="s">
        <v>92</v>
      </c>
      <c r="C64" s="625" t="s">
        <v>138</v>
      </c>
      <c r="D64" s="626"/>
      <c r="E64" s="42">
        <v>55.56</v>
      </c>
      <c r="F64" s="48">
        <v>2784</v>
      </c>
      <c r="G64" s="116">
        <f t="shared" si="35"/>
        <v>154679.04000000001</v>
      </c>
      <c r="H64" s="37" t="s">
        <v>91</v>
      </c>
      <c r="I64" s="118">
        <v>17</v>
      </c>
      <c r="J64" s="39">
        <v>2000</v>
      </c>
      <c r="K64" s="17">
        <f t="shared" si="1"/>
        <v>117.64705882352941</v>
      </c>
      <c r="L64" s="118">
        <v>17</v>
      </c>
      <c r="M64" s="18">
        <f t="shared" si="39"/>
        <v>1919.9999999999998</v>
      </c>
      <c r="N64" s="18">
        <f t="shared" si="3"/>
        <v>112.94117647058822</v>
      </c>
      <c r="O64" s="19">
        <f t="shared" si="4"/>
        <v>0</v>
      </c>
      <c r="P64" s="20">
        <f t="shared" si="5"/>
        <v>-4.7058823529411882</v>
      </c>
      <c r="Q64" s="115">
        <f t="shared" si="6"/>
        <v>0.95999999999999985</v>
      </c>
      <c r="R64" s="637"/>
      <c r="S64" s="40">
        <v>0.70833333333333337</v>
      </c>
      <c r="T64" s="40">
        <v>0.76875000000000004</v>
      </c>
      <c r="U64" s="116" t="str">
        <f t="shared" si="38"/>
        <v/>
      </c>
      <c r="V64" s="119">
        <f t="shared" si="37"/>
        <v>87.000000000000014</v>
      </c>
      <c r="W64" s="23"/>
      <c r="X64" s="23"/>
      <c r="Y64" s="26"/>
      <c r="Z64" s="26"/>
      <c r="AA64" s="627"/>
      <c r="AB64" s="628"/>
      <c r="AC64" s="135"/>
      <c r="AD64" s="25"/>
      <c r="AE64" s="19">
        <f t="shared" si="8"/>
        <v>-80.000000000000227</v>
      </c>
      <c r="AF64" s="115">
        <f t="shared" si="9"/>
        <v>0.95999999999999985</v>
      </c>
      <c r="AG64" s="637"/>
    </row>
    <row r="65" spans="1:33" ht="15.75" customHeight="1">
      <c r="A65" s="641" t="s">
        <v>313</v>
      </c>
      <c r="B65" s="42" t="s">
        <v>92</v>
      </c>
      <c r="C65" s="625" t="s">
        <v>139</v>
      </c>
      <c r="D65" s="626"/>
      <c r="E65" s="42">
        <v>54.09</v>
      </c>
      <c r="F65" s="48">
        <v>1197</v>
      </c>
      <c r="G65" s="116">
        <f t="shared" si="35"/>
        <v>64745.73</v>
      </c>
      <c r="H65" s="37" t="s">
        <v>91</v>
      </c>
      <c r="I65" s="118">
        <v>13</v>
      </c>
      <c r="J65" s="39">
        <v>2000</v>
      </c>
      <c r="K65" s="17">
        <f t="shared" si="1"/>
        <v>153.84615384615384</v>
      </c>
      <c r="L65" s="118">
        <v>13</v>
      </c>
      <c r="M65" s="18">
        <f t="shared" si="39"/>
        <v>1941.0810810810794</v>
      </c>
      <c r="N65" s="18">
        <f t="shared" si="3"/>
        <v>149.31392931392918</v>
      </c>
      <c r="O65" s="19">
        <f t="shared" si="4"/>
        <v>0</v>
      </c>
      <c r="P65" s="20">
        <f t="shared" si="5"/>
        <v>-4.5322245322246602</v>
      </c>
      <c r="Q65" s="115">
        <f t="shared" si="6"/>
        <v>0.97054054054053973</v>
      </c>
      <c r="R65" s="637"/>
      <c r="S65" s="40">
        <v>0.77430555555555558</v>
      </c>
      <c r="T65" s="40">
        <v>0.8</v>
      </c>
      <c r="U65" s="116">
        <f t="shared" si="38"/>
        <v>7.9999999999999716</v>
      </c>
      <c r="V65" s="119">
        <f t="shared" si="37"/>
        <v>37.000000000000028</v>
      </c>
      <c r="W65" s="23"/>
      <c r="X65" s="23"/>
      <c r="Y65" s="26"/>
      <c r="Z65" s="26"/>
      <c r="AA65" s="627"/>
      <c r="AB65" s="628"/>
      <c r="AC65" s="135"/>
      <c r="AD65" s="25"/>
      <c r="AE65" s="19">
        <f t="shared" si="8"/>
        <v>-58.918918918920554</v>
      </c>
      <c r="AF65" s="115">
        <f t="shared" si="9"/>
        <v>0.97054054054053973</v>
      </c>
      <c r="AG65" s="637"/>
    </row>
    <row r="66" spans="1:33">
      <c r="A66" s="641" t="s">
        <v>313</v>
      </c>
      <c r="B66" s="42" t="s">
        <v>92</v>
      </c>
      <c r="C66" s="113" t="s">
        <v>140</v>
      </c>
      <c r="D66" s="114"/>
      <c r="E66" s="42">
        <v>51.06</v>
      </c>
      <c r="F66" s="48">
        <v>1000</v>
      </c>
      <c r="G66" s="116">
        <f t="shared" si="35"/>
        <v>51060</v>
      </c>
      <c r="H66" s="37">
        <v>2</v>
      </c>
      <c r="I66" s="118">
        <v>13</v>
      </c>
      <c r="J66" s="39">
        <v>2000</v>
      </c>
      <c r="K66" s="17">
        <f t="shared" si="1"/>
        <v>153.84615384615384</v>
      </c>
      <c r="L66" s="118">
        <v>13</v>
      </c>
      <c r="M66" s="18">
        <f t="shared" si="39"/>
        <v>1935.483870967739</v>
      </c>
      <c r="N66" s="18">
        <f t="shared" si="3"/>
        <v>148.88337468982607</v>
      </c>
      <c r="O66" s="19">
        <f t="shared" si="4"/>
        <v>0</v>
      </c>
      <c r="P66" s="20">
        <f t="shared" si="5"/>
        <v>-4.9627791563277697</v>
      </c>
      <c r="Q66" s="115">
        <f t="shared" si="6"/>
        <v>0.96774193548386944</v>
      </c>
      <c r="R66" s="637"/>
      <c r="S66" s="40">
        <v>0.8041666666666667</v>
      </c>
      <c r="T66" s="40">
        <v>0.82569444444444451</v>
      </c>
      <c r="U66" s="116">
        <f t="shared" si="38"/>
        <v>5.9999999999999787</v>
      </c>
      <c r="V66" s="119">
        <f t="shared" si="37"/>
        <v>31.00000000000005</v>
      </c>
      <c r="W66" s="23">
        <f>T66</f>
        <v>0.82569444444444451</v>
      </c>
      <c r="X66" s="23">
        <f>S67</f>
        <v>0.86736111111111114</v>
      </c>
      <c r="Y66" s="26"/>
      <c r="Z66" s="26"/>
      <c r="AA66" s="111"/>
      <c r="AB66" s="112"/>
      <c r="AC66" s="135"/>
      <c r="AD66" s="25"/>
      <c r="AE66" s="19">
        <f t="shared" si="8"/>
        <v>-64.516129032261006</v>
      </c>
      <c r="AF66" s="115">
        <f t="shared" si="9"/>
        <v>0.96774193548386944</v>
      </c>
      <c r="AG66" s="637"/>
    </row>
    <row r="67" spans="1:33">
      <c r="A67" s="641" t="s">
        <v>313</v>
      </c>
      <c r="B67" s="42" t="s">
        <v>92</v>
      </c>
      <c r="C67" s="625" t="s">
        <v>140</v>
      </c>
      <c r="D67" s="626"/>
      <c r="E67" s="42">
        <v>51.06</v>
      </c>
      <c r="F67" s="48">
        <v>2502</v>
      </c>
      <c r="G67" s="116">
        <f t="shared" si="35"/>
        <v>127752.12000000001</v>
      </c>
      <c r="H67" s="37" t="s">
        <v>91</v>
      </c>
      <c r="I67" s="118">
        <v>13</v>
      </c>
      <c r="J67" s="39">
        <v>2000</v>
      </c>
      <c r="K67" s="17">
        <f t="shared" si="1"/>
        <v>153.84615384615384</v>
      </c>
      <c r="L67" s="118">
        <v>13</v>
      </c>
      <c r="M67" s="18">
        <f t="shared" si="39"/>
        <v>1924.6153846153836</v>
      </c>
      <c r="N67" s="18">
        <f t="shared" si="3"/>
        <v>148.04733727810643</v>
      </c>
      <c r="O67" s="19">
        <f t="shared" si="4"/>
        <v>0</v>
      </c>
      <c r="P67" s="20">
        <f t="shared" si="5"/>
        <v>-5.798816568047414</v>
      </c>
      <c r="Q67" s="115">
        <f t="shared" si="6"/>
        <v>0.96230769230769175</v>
      </c>
      <c r="R67" s="637"/>
      <c r="S67" s="40">
        <v>0.86736111111111114</v>
      </c>
      <c r="T67" s="40">
        <v>0.92152777777777783</v>
      </c>
      <c r="U67" s="116">
        <f t="shared" si="38"/>
        <v>59.999999999999943</v>
      </c>
      <c r="V67" s="119">
        <f t="shared" si="37"/>
        <v>78.000000000000043</v>
      </c>
      <c r="W67" s="23"/>
      <c r="X67" s="23"/>
      <c r="Y67" s="26"/>
      <c r="Z67" s="26"/>
      <c r="AA67" s="627"/>
      <c r="AB67" s="628"/>
      <c r="AC67" s="135"/>
      <c r="AD67" s="25"/>
      <c r="AE67" s="19">
        <f t="shared" si="8"/>
        <v>-75.384615384616382</v>
      </c>
      <c r="AF67" s="115">
        <f t="shared" si="9"/>
        <v>0.96230769230769186</v>
      </c>
      <c r="AG67" s="637"/>
    </row>
    <row r="68" spans="1:33">
      <c r="A68" s="642" t="s">
        <v>313</v>
      </c>
      <c r="B68" s="42" t="s">
        <v>305</v>
      </c>
      <c r="C68" s="638"/>
      <c r="D68" s="638"/>
      <c r="E68" s="117"/>
      <c r="F68" s="44"/>
      <c r="G68" s="17"/>
      <c r="H68" s="120"/>
      <c r="I68" s="29">
        <v>17.3</v>
      </c>
      <c r="J68" s="39">
        <v>2000</v>
      </c>
      <c r="K68" s="17">
        <f t="shared" si="1"/>
        <v>115.60693641618496</v>
      </c>
      <c r="L68" s="29">
        <v>17.3</v>
      </c>
      <c r="M68" s="18">
        <f>AVERAGE(M58:M67)</f>
        <v>1923.6424524776885</v>
      </c>
      <c r="N68" s="17">
        <f t="shared" si="3"/>
        <v>111.19320534553113</v>
      </c>
      <c r="O68" s="19">
        <f t="shared" si="4"/>
        <v>0</v>
      </c>
      <c r="P68" s="20">
        <f t="shared" si="5"/>
        <v>-4.4137310706538386</v>
      </c>
      <c r="Q68" s="115">
        <f t="shared" si="6"/>
        <v>0.96182122623884425</v>
      </c>
      <c r="R68" s="637"/>
      <c r="S68" s="40"/>
      <c r="T68" s="40"/>
      <c r="U68" s="116"/>
      <c r="V68" s="119"/>
      <c r="W68" s="17"/>
      <c r="X68" s="17"/>
      <c r="Y68" s="30">
        <f>SUM(Y58:Y67)</f>
        <v>0</v>
      </c>
      <c r="Z68" s="30">
        <f>SUM(Z58:Z67)</f>
        <v>0</v>
      </c>
      <c r="AA68" s="631"/>
      <c r="AB68" s="631"/>
      <c r="AC68" s="30">
        <v>10</v>
      </c>
      <c r="AD68" s="30">
        <f>SUM(AD58:AD67)</f>
        <v>0</v>
      </c>
      <c r="AE68" s="19">
        <f>M68-J68</f>
        <v>-76.357547522311506</v>
      </c>
      <c r="AF68" s="115">
        <f t="shared" si="9"/>
        <v>0.96182122623884425</v>
      </c>
      <c r="AG68" s="637"/>
    </row>
    <row r="69" spans="1:33" ht="15.75" customHeight="1">
      <c r="A69" s="639" t="s">
        <v>314</v>
      </c>
      <c r="B69" s="120" t="s">
        <v>127</v>
      </c>
      <c r="C69" s="633" t="s">
        <v>141</v>
      </c>
      <c r="D69" s="633"/>
      <c r="E69" s="42">
        <v>35.119999999999997</v>
      </c>
      <c r="F69" s="48">
        <v>4999</v>
      </c>
      <c r="G69" s="116">
        <f t="shared" ref="G69:G72" si="40">E69*F69</f>
        <v>175564.87999999998</v>
      </c>
      <c r="H69" s="37" t="s">
        <v>91</v>
      </c>
      <c r="I69" s="118">
        <v>10</v>
      </c>
      <c r="J69" s="39">
        <v>3000</v>
      </c>
      <c r="K69" s="17">
        <f t="shared" ref="K69:K84" si="41">J69/I69</f>
        <v>300</v>
      </c>
      <c r="L69" s="118">
        <v>10</v>
      </c>
      <c r="M69" s="18">
        <f t="shared" ref="M69:M72" si="42">F69/V69*60</f>
        <v>2856.5714285714289</v>
      </c>
      <c r="N69" s="17">
        <f t="shared" ref="N69:N84" si="43">M69/L69</f>
        <v>285.6571428571429</v>
      </c>
      <c r="O69" s="19">
        <f t="shared" ref="O69:O84" si="44">L69-I69</f>
        <v>0</v>
      </c>
      <c r="P69" s="20">
        <f t="shared" ref="P69:P84" si="45">N69-K69</f>
        <v>-14.342857142857099</v>
      </c>
      <c r="Q69" s="115">
        <f t="shared" ref="Q69:Q84" si="46">N69/K69</f>
        <v>0.95219047619047636</v>
      </c>
      <c r="R69" s="637">
        <f>Q73</f>
        <v>0.95941764831869747</v>
      </c>
      <c r="S69" s="40">
        <v>0.20833333333333334</v>
      </c>
      <c r="T69" s="40">
        <v>0.28125</v>
      </c>
      <c r="U69" s="116"/>
      <c r="V69" s="119">
        <f t="shared" ref="V69:V72" si="47">(T69-S69)*24*60</f>
        <v>104.99999999999999</v>
      </c>
      <c r="W69" s="23"/>
      <c r="X69" s="23"/>
      <c r="Y69" s="28"/>
      <c r="Z69" s="28"/>
      <c r="AA69" s="632"/>
      <c r="AB69" s="632"/>
      <c r="AC69" s="135">
        <v>4</v>
      </c>
      <c r="AD69" s="25"/>
      <c r="AE69" s="19">
        <f t="shared" ref="AE69:AE84" si="48">M69-J69</f>
        <v>-143.4285714285711</v>
      </c>
      <c r="AF69" s="115">
        <f t="shared" ref="AF69:AF84" si="49">M69/J69</f>
        <v>0.95219047619047625</v>
      </c>
      <c r="AG69" s="637">
        <f>AF73</f>
        <v>0.95941764831869747</v>
      </c>
    </row>
    <row r="70" spans="1:33" ht="15.75" customHeight="1">
      <c r="A70" s="639" t="s">
        <v>314</v>
      </c>
      <c r="B70" s="120" t="s">
        <v>127</v>
      </c>
      <c r="C70" s="633" t="s">
        <v>142</v>
      </c>
      <c r="D70" s="633"/>
      <c r="E70" s="42">
        <v>26.78</v>
      </c>
      <c r="F70" s="48">
        <v>2782</v>
      </c>
      <c r="G70" s="116">
        <f t="shared" si="40"/>
        <v>74501.960000000006</v>
      </c>
      <c r="H70" s="37" t="s">
        <v>91</v>
      </c>
      <c r="I70" s="118">
        <v>10</v>
      </c>
      <c r="J70" s="39">
        <v>3000</v>
      </c>
      <c r="K70" s="17">
        <f t="shared" si="41"/>
        <v>300</v>
      </c>
      <c r="L70" s="118">
        <v>10</v>
      </c>
      <c r="M70" s="18">
        <f t="shared" si="42"/>
        <v>2877.9310344827568</v>
      </c>
      <c r="N70" s="17">
        <f t="shared" si="43"/>
        <v>287.7931034482757</v>
      </c>
      <c r="O70" s="19">
        <f t="shared" si="44"/>
        <v>0</v>
      </c>
      <c r="P70" s="20">
        <f t="shared" si="45"/>
        <v>-12.206896551724299</v>
      </c>
      <c r="Q70" s="115">
        <f t="shared" si="46"/>
        <v>0.9593103448275857</v>
      </c>
      <c r="R70" s="637"/>
      <c r="S70" s="40">
        <v>0.28541666666666665</v>
      </c>
      <c r="T70" s="40">
        <v>0.32569444444444445</v>
      </c>
      <c r="U70" s="116">
        <f t="shared" ref="U70:U72" si="50">(S70-T69)*24*60</f>
        <v>5.9999999999999787</v>
      </c>
      <c r="V70" s="119">
        <f t="shared" si="47"/>
        <v>58.000000000000036</v>
      </c>
      <c r="W70" s="116"/>
      <c r="X70" s="116"/>
      <c r="Y70" s="116"/>
      <c r="Z70" s="116"/>
      <c r="AA70" s="632"/>
      <c r="AB70" s="632"/>
      <c r="AC70" s="135"/>
      <c r="AD70" s="25"/>
      <c r="AE70" s="19">
        <f t="shared" si="48"/>
        <v>-122.06896551724321</v>
      </c>
      <c r="AF70" s="115">
        <f t="shared" si="49"/>
        <v>0.95931034482758559</v>
      </c>
      <c r="AG70" s="637"/>
    </row>
    <row r="71" spans="1:33" ht="15.75" customHeight="1">
      <c r="A71" s="639" t="s">
        <v>314</v>
      </c>
      <c r="B71" s="120" t="s">
        <v>127</v>
      </c>
      <c r="C71" s="633" t="s">
        <v>143</v>
      </c>
      <c r="D71" s="633"/>
      <c r="E71" s="42">
        <v>36.14</v>
      </c>
      <c r="F71" s="48">
        <v>1705</v>
      </c>
      <c r="G71" s="116">
        <f t="shared" si="40"/>
        <v>61618.700000000004</v>
      </c>
      <c r="H71" s="37" t="s">
        <v>91</v>
      </c>
      <c r="I71" s="118">
        <v>11</v>
      </c>
      <c r="J71" s="39">
        <v>3000</v>
      </c>
      <c r="K71" s="17">
        <f t="shared" si="41"/>
        <v>272.72727272727275</v>
      </c>
      <c r="L71" s="118">
        <v>11</v>
      </c>
      <c r="M71" s="18">
        <f t="shared" si="42"/>
        <v>2922.8571428571399</v>
      </c>
      <c r="N71" s="17">
        <f t="shared" si="43"/>
        <v>265.71428571428544</v>
      </c>
      <c r="O71" s="19">
        <f t="shared" si="44"/>
        <v>0</v>
      </c>
      <c r="P71" s="20">
        <f t="shared" si="45"/>
        <v>-7.0129870129873098</v>
      </c>
      <c r="Q71" s="115">
        <f t="shared" si="46"/>
        <v>0.9742857142857132</v>
      </c>
      <c r="R71" s="637"/>
      <c r="S71" s="40">
        <v>0.3298611111111111</v>
      </c>
      <c r="T71" s="40">
        <v>0.35416666666666669</v>
      </c>
      <c r="U71" s="116">
        <f t="shared" si="50"/>
        <v>5.9999999999999787</v>
      </c>
      <c r="V71" s="119">
        <f t="shared" si="47"/>
        <v>35.000000000000036</v>
      </c>
      <c r="W71" s="116"/>
      <c r="X71" s="116"/>
      <c r="Y71" s="116"/>
      <c r="Z71" s="116"/>
      <c r="AA71" s="632"/>
      <c r="AB71" s="632"/>
      <c r="AC71" s="135"/>
      <c r="AD71" s="25"/>
      <c r="AE71" s="19">
        <f t="shared" si="48"/>
        <v>-77.142857142860066</v>
      </c>
      <c r="AF71" s="115">
        <f t="shared" si="49"/>
        <v>0.97428571428571331</v>
      </c>
      <c r="AG71" s="637"/>
    </row>
    <row r="72" spans="1:33" ht="15.75" customHeight="1">
      <c r="A72" s="639" t="s">
        <v>314</v>
      </c>
      <c r="B72" s="120" t="s">
        <v>127</v>
      </c>
      <c r="C72" s="633" t="s">
        <v>144</v>
      </c>
      <c r="D72" s="633"/>
      <c r="E72" s="42">
        <v>35.869999999999997</v>
      </c>
      <c r="F72" s="48">
        <v>6568</v>
      </c>
      <c r="G72" s="116">
        <f t="shared" si="40"/>
        <v>235594.15999999997</v>
      </c>
      <c r="H72" s="37" t="s">
        <v>91</v>
      </c>
      <c r="I72" s="118">
        <v>10</v>
      </c>
      <c r="J72" s="39">
        <v>3000</v>
      </c>
      <c r="K72" s="17">
        <f t="shared" si="41"/>
        <v>300</v>
      </c>
      <c r="L72" s="118">
        <v>10</v>
      </c>
      <c r="M72" s="18">
        <f t="shared" si="42"/>
        <v>2855.6521739130435</v>
      </c>
      <c r="N72" s="17">
        <f t="shared" si="43"/>
        <v>285.56521739130437</v>
      </c>
      <c r="O72" s="19">
        <f t="shared" si="44"/>
        <v>0</v>
      </c>
      <c r="P72" s="20">
        <f t="shared" si="45"/>
        <v>-14.434782608695627</v>
      </c>
      <c r="Q72" s="115">
        <f t="shared" si="46"/>
        <v>0.95188405797101461</v>
      </c>
      <c r="R72" s="637"/>
      <c r="S72" s="40">
        <v>0.35902777777777778</v>
      </c>
      <c r="T72" s="40">
        <v>0.4548611111111111</v>
      </c>
      <c r="U72" s="116">
        <f t="shared" si="50"/>
        <v>6.9999999999999751</v>
      </c>
      <c r="V72" s="119">
        <f t="shared" si="47"/>
        <v>138</v>
      </c>
      <c r="W72" s="116"/>
      <c r="X72" s="116"/>
      <c r="Y72" s="116"/>
      <c r="Z72" s="116"/>
      <c r="AA72" s="632"/>
      <c r="AB72" s="632"/>
      <c r="AC72" s="135"/>
      <c r="AD72" s="25"/>
      <c r="AE72" s="19">
        <f t="shared" si="48"/>
        <v>-144.3478260869565</v>
      </c>
      <c r="AF72" s="115">
        <f t="shared" si="49"/>
        <v>0.9518840579710145</v>
      </c>
      <c r="AG72" s="637"/>
    </row>
    <row r="73" spans="1:33">
      <c r="A73" s="640" t="s">
        <v>314</v>
      </c>
      <c r="B73" s="42" t="s">
        <v>305</v>
      </c>
      <c r="C73" s="638"/>
      <c r="D73" s="638"/>
      <c r="E73" s="117"/>
      <c r="F73" s="44"/>
      <c r="G73" s="17"/>
      <c r="H73" s="120"/>
      <c r="I73" s="29">
        <v>10.25</v>
      </c>
      <c r="J73" s="39">
        <v>3000</v>
      </c>
      <c r="K73" s="17">
        <f t="shared" si="41"/>
        <v>292.6829268292683</v>
      </c>
      <c r="L73" s="29">
        <v>10.25</v>
      </c>
      <c r="M73" s="18">
        <f>AVERAGE(M69:M72)</f>
        <v>2878.2529449560925</v>
      </c>
      <c r="N73" s="17">
        <f t="shared" si="43"/>
        <v>280.80516536157</v>
      </c>
      <c r="O73" s="19">
        <f t="shared" si="44"/>
        <v>0</v>
      </c>
      <c r="P73" s="20">
        <f t="shared" si="45"/>
        <v>-11.877761467698292</v>
      </c>
      <c r="Q73" s="115">
        <f t="shared" si="46"/>
        <v>0.95941764831869747</v>
      </c>
      <c r="R73" s="637"/>
      <c r="S73" s="40"/>
      <c r="T73" s="40"/>
      <c r="U73" s="17"/>
      <c r="V73" s="119"/>
      <c r="W73" s="17"/>
      <c r="X73" s="17"/>
      <c r="Y73" s="30">
        <f>SUM(Y69:Y72)</f>
        <v>0</v>
      </c>
      <c r="Z73" s="30">
        <f>SUM(Z69:Z72)</f>
        <v>0</v>
      </c>
      <c r="AA73" s="631"/>
      <c r="AB73" s="631"/>
      <c r="AC73" s="30">
        <v>4</v>
      </c>
      <c r="AD73" s="30">
        <f>SUM(AD69:AD72)</f>
        <v>0</v>
      </c>
      <c r="AE73" s="19">
        <f t="shared" si="48"/>
        <v>-121.74705504390749</v>
      </c>
      <c r="AF73" s="115">
        <f t="shared" si="49"/>
        <v>0.95941764831869747</v>
      </c>
      <c r="AG73" s="637"/>
    </row>
    <row r="74" spans="1:33" ht="15.75" customHeight="1">
      <c r="A74" s="634" t="s">
        <v>315</v>
      </c>
      <c r="B74" s="120" t="s">
        <v>116</v>
      </c>
      <c r="C74" s="633" t="s">
        <v>145</v>
      </c>
      <c r="D74" s="633"/>
      <c r="E74" s="42">
        <v>19.02</v>
      </c>
      <c r="F74" s="120">
        <v>6000</v>
      </c>
      <c r="G74" s="116">
        <f t="shared" ref="G74:G83" si="51">E74*F74</f>
        <v>114120</v>
      </c>
      <c r="H74" s="37">
        <v>2</v>
      </c>
      <c r="I74" s="118">
        <v>14</v>
      </c>
      <c r="J74" s="39">
        <v>2400</v>
      </c>
      <c r="K74" s="17">
        <f t="shared" si="41"/>
        <v>171.42857142857142</v>
      </c>
      <c r="L74" s="118">
        <v>14</v>
      </c>
      <c r="M74" s="18">
        <f t="shared" ref="M74:M83" si="52">F74/V74*60</f>
        <v>2292.993630573249</v>
      </c>
      <c r="N74" s="17">
        <f t="shared" si="43"/>
        <v>163.78525932666065</v>
      </c>
      <c r="O74" s="19">
        <f t="shared" si="44"/>
        <v>0</v>
      </c>
      <c r="P74" s="20">
        <f t="shared" si="45"/>
        <v>-7.6433121019107659</v>
      </c>
      <c r="Q74" s="115">
        <f t="shared" si="46"/>
        <v>0.95541401273885385</v>
      </c>
      <c r="R74" s="637">
        <f>Q84</f>
        <v>0.95739202172144355</v>
      </c>
      <c r="S74" s="40">
        <v>8.3333333333333329E-2</v>
      </c>
      <c r="T74" s="40">
        <v>0.19236111111111109</v>
      </c>
      <c r="U74" s="28"/>
      <c r="V74" s="119">
        <f t="shared" ref="V74:V83" si="53">(T74-S74)*24*60</f>
        <v>156.99999999999997</v>
      </c>
      <c r="W74" s="23">
        <f>T74</f>
        <v>0.19236111111111109</v>
      </c>
      <c r="X74" s="23">
        <f>S75</f>
        <v>0.21041666666666664</v>
      </c>
      <c r="Y74" s="23"/>
      <c r="Z74" s="23"/>
      <c r="AA74" s="632"/>
      <c r="AB74" s="632"/>
      <c r="AC74" s="135">
        <v>10</v>
      </c>
      <c r="AD74" s="25"/>
      <c r="AE74" s="19">
        <f t="shared" si="48"/>
        <v>-107.00636942675101</v>
      </c>
      <c r="AF74" s="115">
        <f t="shared" si="49"/>
        <v>0.95541401273885374</v>
      </c>
      <c r="AG74" s="637">
        <f>AF84</f>
        <v>0.95739202172144344</v>
      </c>
    </row>
    <row r="75" spans="1:33" ht="15.75" customHeight="1">
      <c r="A75" s="635" t="s">
        <v>315</v>
      </c>
      <c r="B75" s="120" t="s">
        <v>116</v>
      </c>
      <c r="C75" s="633" t="s">
        <v>146</v>
      </c>
      <c r="D75" s="633"/>
      <c r="E75" s="42">
        <v>20.36</v>
      </c>
      <c r="F75" s="120">
        <v>2600</v>
      </c>
      <c r="G75" s="116">
        <f t="shared" si="51"/>
        <v>52936</v>
      </c>
      <c r="H75" s="37">
        <v>2</v>
      </c>
      <c r="I75" s="118">
        <v>17</v>
      </c>
      <c r="J75" s="39">
        <v>2400</v>
      </c>
      <c r="K75" s="17">
        <f t="shared" si="41"/>
        <v>141.1764705882353</v>
      </c>
      <c r="L75" s="118">
        <v>17</v>
      </c>
      <c r="M75" s="18">
        <f t="shared" si="52"/>
        <v>2294.1176470588234</v>
      </c>
      <c r="N75" s="17">
        <f t="shared" si="43"/>
        <v>134.94809688581313</v>
      </c>
      <c r="O75" s="19">
        <f t="shared" si="44"/>
        <v>0</v>
      </c>
      <c r="P75" s="20">
        <f t="shared" si="45"/>
        <v>-6.228373702422175</v>
      </c>
      <c r="Q75" s="115">
        <f t="shared" si="46"/>
        <v>0.95588235294117629</v>
      </c>
      <c r="R75" s="637"/>
      <c r="S75" s="40">
        <v>0.21041666666666664</v>
      </c>
      <c r="T75" s="40">
        <v>0.25763888888888886</v>
      </c>
      <c r="U75" s="116">
        <f t="shared" ref="U75:U83" si="54">(S75-T74)*24*60</f>
        <v>25.999999999999986</v>
      </c>
      <c r="V75" s="119">
        <f t="shared" si="53"/>
        <v>68</v>
      </c>
      <c r="W75" s="23"/>
      <c r="X75" s="23"/>
      <c r="Y75" s="23"/>
      <c r="Z75" s="23"/>
      <c r="AA75" s="632"/>
      <c r="AB75" s="632"/>
      <c r="AC75" s="135"/>
      <c r="AD75" s="25"/>
      <c r="AE75" s="19">
        <f t="shared" si="48"/>
        <v>-105.88235294117658</v>
      </c>
      <c r="AF75" s="115">
        <f t="shared" si="49"/>
        <v>0.95588235294117641</v>
      </c>
      <c r="AG75" s="637"/>
    </row>
    <row r="76" spans="1:33" ht="15.75" customHeight="1">
      <c r="A76" s="635" t="s">
        <v>315</v>
      </c>
      <c r="B76" s="120" t="s">
        <v>116</v>
      </c>
      <c r="C76" s="633" t="s">
        <v>120</v>
      </c>
      <c r="D76" s="633"/>
      <c r="E76" s="42">
        <v>25.99</v>
      </c>
      <c r="F76" s="120">
        <v>1468</v>
      </c>
      <c r="G76" s="116">
        <f t="shared" si="51"/>
        <v>38153.32</v>
      </c>
      <c r="H76" s="37" t="s">
        <v>91</v>
      </c>
      <c r="I76" s="118">
        <v>18</v>
      </c>
      <c r="J76" s="39">
        <v>2400</v>
      </c>
      <c r="K76" s="17">
        <f t="shared" si="41"/>
        <v>133.33333333333334</v>
      </c>
      <c r="L76" s="118">
        <v>18</v>
      </c>
      <c r="M76" s="18">
        <f t="shared" si="52"/>
        <v>2317.8947368421032</v>
      </c>
      <c r="N76" s="17">
        <f t="shared" si="43"/>
        <v>128.77192982456128</v>
      </c>
      <c r="O76" s="19">
        <f t="shared" si="44"/>
        <v>0</v>
      </c>
      <c r="P76" s="20">
        <f t="shared" si="45"/>
        <v>-4.5614035087720595</v>
      </c>
      <c r="Q76" s="115">
        <f t="shared" si="46"/>
        <v>0.96578947368420953</v>
      </c>
      <c r="R76" s="637"/>
      <c r="S76" s="40">
        <v>0.26249999999999996</v>
      </c>
      <c r="T76" s="40">
        <v>0.28888888888888886</v>
      </c>
      <c r="U76" s="116">
        <f t="shared" si="54"/>
        <v>6.9999999999999751</v>
      </c>
      <c r="V76" s="119">
        <f t="shared" si="53"/>
        <v>38.000000000000028</v>
      </c>
      <c r="W76" s="23"/>
      <c r="X76" s="23"/>
      <c r="Y76" s="23"/>
      <c r="Z76" s="23"/>
      <c r="AA76" s="632"/>
      <c r="AB76" s="632"/>
      <c r="AC76" s="135"/>
      <c r="AD76" s="25"/>
      <c r="AE76" s="19">
        <f t="shared" si="48"/>
        <v>-82.105263157896843</v>
      </c>
      <c r="AF76" s="115">
        <f t="shared" si="49"/>
        <v>0.96578947368420964</v>
      </c>
      <c r="AG76" s="637"/>
    </row>
    <row r="77" spans="1:33" ht="15.75" customHeight="1">
      <c r="A77" s="635" t="s">
        <v>315</v>
      </c>
      <c r="B77" s="120" t="s">
        <v>116</v>
      </c>
      <c r="C77" s="633" t="s">
        <v>148</v>
      </c>
      <c r="D77" s="633"/>
      <c r="E77" s="42">
        <v>28.29</v>
      </c>
      <c r="F77" s="120">
        <v>2800</v>
      </c>
      <c r="G77" s="116">
        <f t="shared" si="51"/>
        <v>79212</v>
      </c>
      <c r="H77" s="37">
        <v>2</v>
      </c>
      <c r="I77" s="118">
        <v>21</v>
      </c>
      <c r="J77" s="39">
        <v>2400</v>
      </c>
      <c r="K77" s="17">
        <f t="shared" si="41"/>
        <v>114.28571428571429</v>
      </c>
      <c r="L77" s="118">
        <v>21</v>
      </c>
      <c r="M77" s="18">
        <f t="shared" si="52"/>
        <v>2301.3698630136987</v>
      </c>
      <c r="N77" s="17">
        <f t="shared" si="43"/>
        <v>109.58904109589041</v>
      </c>
      <c r="O77" s="19">
        <f t="shared" si="44"/>
        <v>0</v>
      </c>
      <c r="P77" s="20">
        <f t="shared" si="45"/>
        <v>-4.6966731898238834</v>
      </c>
      <c r="Q77" s="115">
        <f t="shared" si="46"/>
        <v>0.95890410958904104</v>
      </c>
      <c r="R77" s="637"/>
      <c r="S77" s="40">
        <v>0.2944444444444444</v>
      </c>
      <c r="T77" s="40">
        <v>0.34513888888888883</v>
      </c>
      <c r="U77" s="116">
        <f t="shared" si="54"/>
        <v>7.9999999999999716</v>
      </c>
      <c r="V77" s="119">
        <f t="shared" si="53"/>
        <v>72.999999999999986</v>
      </c>
      <c r="W77" s="23"/>
      <c r="X77" s="23"/>
      <c r="Y77" s="23"/>
      <c r="Z77" s="23"/>
      <c r="AA77" s="632"/>
      <c r="AB77" s="632"/>
      <c r="AC77" s="135"/>
      <c r="AD77" s="25"/>
      <c r="AE77" s="19">
        <f t="shared" si="48"/>
        <v>-98.630136986301295</v>
      </c>
      <c r="AF77" s="115">
        <f t="shared" si="49"/>
        <v>0.95890410958904115</v>
      </c>
      <c r="AG77" s="637"/>
    </row>
    <row r="78" spans="1:33" ht="15.75" customHeight="1">
      <c r="A78" s="635" t="s">
        <v>315</v>
      </c>
      <c r="B78" s="120" t="s">
        <v>116</v>
      </c>
      <c r="C78" s="633" t="s">
        <v>149</v>
      </c>
      <c r="D78" s="633"/>
      <c r="E78" s="42">
        <v>24.25</v>
      </c>
      <c r="F78" s="120">
        <v>3000</v>
      </c>
      <c r="G78" s="116">
        <f t="shared" si="51"/>
        <v>72750</v>
      </c>
      <c r="H78" s="37">
        <v>2</v>
      </c>
      <c r="I78" s="118">
        <v>17</v>
      </c>
      <c r="J78" s="39">
        <v>2400</v>
      </c>
      <c r="K78" s="17">
        <f t="shared" si="41"/>
        <v>141.1764705882353</v>
      </c>
      <c r="L78" s="118">
        <v>17</v>
      </c>
      <c r="M78" s="18">
        <f t="shared" si="52"/>
        <v>2307.692307692309</v>
      </c>
      <c r="N78" s="17">
        <f t="shared" si="43"/>
        <v>135.74660633484172</v>
      </c>
      <c r="O78" s="19">
        <f t="shared" si="44"/>
        <v>0</v>
      </c>
      <c r="P78" s="20">
        <f t="shared" si="45"/>
        <v>-5.429864253393589</v>
      </c>
      <c r="Q78" s="115">
        <f t="shared" si="46"/>
        <v>0.96153846153846212</v>
      </c>
      <c r="R78" s="637"/>
      <c r="S78" s="40">
        <v>0.35069444444444436</v>
      </c>
      <c r="T78" s="40">
        <v>0.40486111111111101</v>
      </c>
      <c r="U78" s="116">
        <f t="shared" si="54"/>
        <v>7.9999999999999716</v>
      </c>
      <c r="V78" s="119">
        <f t="shared" si="53"/>
        <v>77.999999999999957</v>
      </c>
      <c r="W78" s="23"/>
      <c r="X78" s="23"/>
      <c r="Y78" s="23"/>
      <c r="Z78" s="23"/>
      <c r="AA78" s="632"/>
      <c r="AB78" s="632"/>
      <c r="AC78" s="135"/>
      <c r="AD78" s="25"/>
      <c r="AE78" s="19">
        <f t="shared" si="48"/>
        <v>-92.307692307691013</v>
      </c>
      <c r="AF78" s="115">
        <f t="shared" si="49"/>
        <v>0.96153846153846212</v>
      </c>
      <c r="AG78" s="637"/>
    </row>
    <row r="79" spans="1:33" ht="15.75" customHeight="1">
      <c r="A79" s="635" t="s">
        <v>315</v>
      </c>
      <c r="B79" s="120" t="s">
        <v>116</v>
      </c>
      <c r="C79" s="633" t="s">
        <v>150</v>
      </c>
      <c r="D79" s="633"/>
      <c r="E79" s="42">
        <v>23.89</v>
      </c>
      <c r="F79" s="120">
        <v>4750</v>
      </c>
      <c r="G79" s="116">
        <f t="shared" si="51"/>
        <v>113477.5</v>
      </c>
      <c r="H79" s="37" t="s">
        <v>91</v>
      </c>
      <c r="I79" s="118">
        <v>13</v>
      </c>
      <c r="J79" s="39">
        <v>2400</v>
      </c>
      <c r="K79" s="17">
        <f t="shared" si="41"/>
        <v>184.61538461538461</v>
      </c>
      <c r="L79" s="118">
        <v>13</v>
      </c>
      <c r="M79" s="18">
        <f t="shared" si="52"/>
        <v>2279.9999999999995</v>
      </c>
      <c r="N79" s="17">
        <f t="shared" si="43"/>
        <v>175.38461538461536</v>
      </c>
      <c r="O79" s="19">
        <f t="shared" si="44"/>
        <v>0</v>
      </c>
      <c r="P79" s="20">
        <f t="shared" si="45"/>
        <v>-9.2307692307692548</v>
      </c>
      <c r="Q79" s="115">
        <f t="shared" si="46"/>
        <v>0.94999999999999984</v>
      </c>
      <c r="R79" s="637"/>
      <c r="S79" s="40">
        <v>0.40833333333333321</v>
      </c>
      <c r="T79" s="40">
        <v>0.4951388888888888</v>
      </c>
      <c r="U79" s="116">
        <f t="shared" si="54"/>
        <v>4.9999999999999822</v>
      </c>
      <c r="V79" s="119">
        <f t="shared" si="53"/>
        <v>125.00000000000003</v>
      </c>
      <c r="W79" s="23">
        <f>T79</f>
        <v>0.4951388888888888</v>
      </c>
      <c r="X79" s="23">
        <f>S80</f>
        <v>0.5347222222222221</v>
      </c>
      <c r="Y79" s="23"/>
      <c r="Z79" s="23"/>
      <c r="AA79" s="632"/>
      <c r="AB79" s="632"/>
      <c r="AC79" s="135"/>
      <c r="AD79" s="25"/>
      <c r="AE79" s="19">
        <f t="shared" si="48"/>
        <v>-120.00000000000045</v>
      </c>
      <c r="AF79" s="115">
        <f t="shared" si="49"/>
        <v>0.94999999999999984</v>
      </c>
      <c r="AG79" s="637"/>
    </row>
    <row r="80" spans="1:33" ht="15.75" customHeight="1">
      <c r="A80" s="635" t="s">
        <v>315</v>
      </c>
      <c r="B80" s="120" t="s">
        <v>116</v>
      </c>
      <c r="C80" s="625" t="s">
        <v>148</v>
      </c>
      <c r="D80" s="626"/>
      <c r="E80" s="42">
        <v>28.29</v>
      </c>
      <c r="F80" s="120">
        <v>2136</v>
      </c>
      <c r="G80" s="116">
        <f t="shared" si="51"/>
        <v>60427.439999999995</v>
      </c>
      <c r="H80" s="37" t="s">
        <v>91</v>
      </c>
      <c r="I80" s="118">
        <v>21</v>
      </c>
      <c r="J80" s="39">
        <v>2400</v>
      </c>
      <c r="K80" s="17">
        <f t="shared" si="41"/>
        <v>114.28571428571429</v>
      </c>
      <c r="L80" s="118">
        <v>21</v>
      </c>
      <c r="M80" s="18">
        <f t="shared" si="52"/>
        <v>2288.5714285714303</v>
      </c>
      <c r="N80" s="17">
        <f t="shared" si="43"/>
        <v>108.97959183673477</v>
      </c>
      <c r="O80" s="19">
        <f t="shared" si="44"/>
        <v>0</v>
      </c>
      <c r="P80" s="20">
        <f t="shared" si="45"/>
        <v>-5.3061224489795222</v>
      </c>
      <c r="Q80" s="115">
        <f t="shared" si="46"/>
        <v>0.95357142857142918</v>
      </c>
      <c r="R80" s="637"/>
      <c r="S80" s="40">
        <v>0.5347222222222221</v>
      </c>
      <c r="T80" s="40">
        <v>0.57361111111111096</v>
      </c>
      <c r="U80" s="116">
        <f t="shared" si="54"/>
        <v>56.999999999999957</v>
      </c>
      <c r="V80" s="119">
        <f t="shared" si="53"/>
        <v>55.999999999999957</v>
      </c>
      <c r="W80" s="23"/>
      <c r="X80" s="23"/>
      <c r="Y80" s="26"/>
      <c r="Z80" s="26"/>
      <c r="AA80" s="627"/>
      <c r="AB80" s="628"/>
      <c r="AC80" s="135"/>
      <c r="AD80" s="25"/>
      <c r="AE80" s="19">
        <f t="shared" si="48"/>
        <v>-111.42857142856974</v>
      </c>
      <c r="AF80" s="115">
        <f t="shared" si="49"/>
        <v>0.95357142857142929</v>
      </c>
      <c r="AG80" s="637"/>
    </row>
    <row r="81" spans="1:33" ht="15.75" customHeight="1">
      <c r="A81" s="635" t="s">
        <v>315</v>
      </c>
      <c r="B81" s="120" t="s">
        <v>116</v>
      </c>
      <c r="C81" s="625" t="s">
        <v>146</v>
      </c>
      <c r="D81" s="626"/>
      <c r="E81" s="42">
        <v>20.36</v>
      </c>
      <c r="F81" s="120">
        <v>2140</v>
      </c>
      <c r="G81" s="116">
        <f t="shared" si="51"/>
        <v>43570.400000000001</v>
      </c>
      <c r="H81" s="37" t="s">
        <v>91</v>
      </c>
      <c r="I81" s="118">
        <v>17</v>
      </c>
      <c r="J81" s="39">
        <v>2400</v>
      </c>
      <c r="K81" s="17">
        <f t="shared" si="41"/>
        <v>141.1764705882353</v>
      </c>
      <c r="L81" s="118">
        <v>17</v>
      </c>
      <c r="M81" s="18">
        <f t="shared" si="52"/>
        <v>2292.8571428571445</v>
      </c>
      <c r="N81" s="17">
        <f t="shared" si="43"/>
        <v>134.87394957983201</v>
      </c>
      <c r="O81" s="19">
        <f t="shared" si="44"/>
        <v>0</v>
      </c>
      <c r="P81" s="20">
        <f t="shared" si="45"/>
        <v>-6.3025210084032892</v>
      </c>
      <c r="Q81" s="115">
        <f t="shared" si="46"/>
        <v>0.95535714285714335</v>
      </c>
      <c r="R81" s="637"/>
      <c r="S81" s="40">
        <v>0.57777777777777761</v>
      </c>
      <c r="T81" s="40">
        <v>0.61666666666666647</v>
      </c>
      <c r="U81" s="116">
        <f t="shared" si="54"/>
        <v>5.9999999999999787</v>
      </c>
      <c r="V81" s="119">
        <f t="shared" si="53"/>
        <v>55.999999999999957</v>
      </c>
      <c r="W81" s="23"/>
      <c r="X81" s="23"/>
      <c r="Y81" s="26"/>
      <c r="Z81" s="26"/>
      <c r="AA81" s="627"/>
      <c r="AB81" s="628"/>
      <c r="AC81" s="135"/>
      <c r="AD81" s="25"/>
      <c r="AE81" s="19">
        <f t="shared" si="48"/>
        <v>-107.14285714285552</v>
      </c>
      <c r="AF81" s="115">
        <f t="shared" si="49"/>
        <v>0.95535714285714357</v>
      </c>
      <c r="AG81" s="637"/>
    </row>
    <row r="82" spans="1:33" ht="15.75" customHeight="1">
      <c r="A82" s="635" t="s">
        <v>315</v>
      </c>
      <c r="B82" s="120" t="s">
        <v>116</v>
      </c>
      <c r="C82" s="625" t="s">
        <v>149</v>
      </c>
      <c r="D82" s="626"/>
      <c r="E82" s="42">
        <v>24.25</v>
      </c>
      <c r="F82" s="120">
        <v>2387</v>
      </c>
      <c r="G82" s="116">
        <f t="shared" si="51"/>
        <v>57884.75</v>
      </c>
      <c r="H82" s="37" t="s">
        <v>91</v>
      </c>
      <c r="I82" s="118">
        <v>17</v>
      </c>
      <c r="J82" s="39">
        <v>2400</v>
      </c>
      <c r="K82" s="17">
        <f t="shared" si="41"/>
        <v>141.1764705882353</v>
      </c>
      <c r="L82" s="118">
        <v>17</v>
      </c>
      <c r="M82" s="18">
        <f t="shared" si="52"/>
        <v>2310.0000000000023</v>
      </c>
      <c r="N82" s="17">
        <f t="shared" si="43"/>
        <v>135.88235294117661</v>
      </c>
      <c r="O82" s="19">
        <f t="shared" si="44"/>
        <v>0</v>
      </c>
      <c r="P82" s="20">
        <f t="shared" si="45"/>
        <v>-5.2941176470586981</v>
      </c>
      <c r="Q82" s="115">
        <f t="shared" si="46"/>
        <v>0.96250000000000091</v>
      </c>
      <c r="R82" s="637"/>
      <c r="S82" s="40">
        <v>0.62083333333333313</v>
      </c>
      <c r="T82" s="40">
        <v>0.66388888888888864</v>
      </c>
      <c r="U82" s="116">
        <f t="shared" si="54"/>
        <v>5.9999999999999787</v>
      </c>
      <c r="V82" s="119">
        <f t="shared" si="53"/>
        <v>61.999999999999943</v>
      </c>
      <c r="W82" s="23"/>
      <c r="X82" s="23"/>
      <c r="Y82" s="26"/>
      <c r="Z82" s="26"/>
      <c r="AA82" s="627"/>
      <c r="AB82" s="628"/>
      <c r="AC82" s="135"/>
      <c r="AD82" s="25"/>
      <c r="AE82" s="19">
        <f t="shared" si="48"/>
        <v>-89.999999999997726</v>
      </c>
      <c r="AF82" s="115">
        <f t="shared" si="49"/>
        <v>0.96250000000000091</v>
      </c>
      <c r="AG82" s="637"/>
    </row>
    <row r="83" spans="1:33" ht="15.75" customHeight="1">
      <c r="A83" s="635" t="s">
        <v>315</v>
      </c>
      <c r="B83" s="120" t="s">
        <v>116</v>
      </c>
      <c r="C83" s="625" t="s">
        <v>145</v>
      </c>
      <c r="D83" s="626"/>
      <c r="E83" s="42">
        <v>19.02</v>
      </c>
      <c r="F83" s="120">
        <v>5195</v>
      </c>
      <c r="G83" s="116">
        <f t="shared" si="51"/>
        <v>98808.9</v>
      </c>
      <c r="H83" s="37" t="s">
        <v>91</v>
      </c>
      <c r="I83" s="118">
        <v>14</v>
      </c>
      <c r="J83" s="39">
        <v>2400</v>
      </c>
      <c r="K83" s="17">
        <f t="shared" si="41"/>
        <v>171.42857142857142</v>
      </c>
      <c r="L83" s="118">
        <v>14</v>
      </c>
      <c r="M83" s="18">
        <f t="shared" si="52"/>
        <v>2291.911764705882</v>
      </c>
      <c r="N83" s="17">
        <f t="shared" si="43"/>
        <v>163.70798319327727</v>
      </c>
      <c r="O83" s="19">
        <f t="shared" si="44"/>
        <v>0</v>
      </c>
      <c r="P83" s="20">
        <f t="shared" si="45"/>
        <v>-7.7205882352941444</v>
      </c>
      <c r="Q83" s="115">
        <f t="shared" si="46"/>
        <v>0.95496323529411753</v>
      </c>
      <c r="R83" s="637"/>
      <c r="S83" s="40">
        <v>0.66736111111111085</v>
      </c>
      <c r="T83" s="40">
        <v>0.76180555555555529</v>
      </c>
      <c r="U83" s="116">
        <f t="shared" si="54"/>
        <v>4.9999999999999822</v>
      </c>
      <c r="V83" s="119">
        <f t="shared" si="53"/>
        <v>136</v>
      </c>
      <c r="W83" s="23"/>
      <c r="X83" s="23"/>
      <c r="Y83" s="26"/>
      <c r="Z83" s="26"/>
      <c r="AA83" s="627"/>
      <c r="AB83" s="628"/>
      <c r="AC83" s="135"/>
      <c r="AD83" s="25"/>
      <c r="AE83" s="19">
        <f t="shared" si="48"/>
        <v>-108.08823529411802</v>
      </c>
      <c r="AF83" s="115">
        <f t="shared" si="49"/>
        <v>0.95496323529411753</v>
      </c>
      <c r="AG83" s="637"/>
    </row>
    <row r="84" spans="1:33" ht="16.5" customHeight="1">
      <c r="A84" s="636" t="s">
        <v>315</v>
      </c>
      <c r="B84" s="42" t="s">
        <v>305</v>
      </c>
      <c r="C84" s="629"/>
      <c r="D84" s="630"/>
      <c r="E84" s="117"/>
      <c r="F84" s="44"/>
      <c r="G84" s="17"/>
      <c r="H84" s="120"/>
      <c r="I84" s="29">
        <v>16.899999999999999</v>
      </c>
      <c r="J84" s="39">
        <v>2400</v>
      </c>
      <c r="K84" s="17">
        <f t="shared" si="41"/>
        <v>142.01183431952663</v>
      </c>
      <c r="L84" s="29">
        <v>16.899999999999999</v>
      </c>
      <c r="M84" s="18">
        <f>AVERAGE(M74:M83)</f>
        <v>2297.7408521314642</v>
      </c>
      <c r="N84" s="17">
        <f t="shared" si="43"/>
        <v>135.96099716754227</v>
      </c>
      <c r="O84" s="19">
        <f t="shared" si="44"/>
        <v>0</v>
      </c>
      <c r="P84" s="20">
        <f t="shared" si="45"/>
        <v>-6.0508371519843536</v>
      </c>
      <c r="Q84" s="115">
        <f t="shared" si="46"/>
        <v>0.95739202172144355</v>
      </c>
      <c r="R84" s="637"/>
      <c r="S84" s="40"/>
      <c r="T84" s="40"/>
      <c r="U84" s="17"/>
      <c r="V84" s="119"/>
      <c r="W84" s="17"/>
      <c r="X84" s="17"/>
      <c r="Y84" s="30">
        <f>SUM(Y74:Y83)</f>
        <v>0</v>
      </c>
      <c r="Z84" s="30">
        <f>SUM(Z74:Z83)</f>
        <v>0</v>
      </c>
      <c r="AA84" s="631"/>
      <c r="AB84" s="631"/>
      <c r="AC84" s="30">
        <v>10</v>
      </c>
      <c r="AD84" s="30">
        <f>SUM(AD74:AD83)</f>
        <v>0</v>
      </c>
      <c r="AE84" s="19">
        <f t="shared" si="48"/>
        <v>-102.25914786853582</v>
      </c>
      <c r="AF84" s="115">
        <f t="shared" si="49"/>
        <v>0.95739202172144344</v>
      </c>
      <c r="AG84" s="637"/>
    </row>
    <row r="85" spans="1:33">
      <c r="D85" s="33"/>
      <c r="E85" s="33"/>
    </row>
  </sheetData>
  <mergeCells count="212">
    <mergeCell ref="AG74:AG84"/>
    <mergeCell ref="C75:D75"/>
    <mergeCell ref="AA75:AB75"/>
    <mergeCell ref="C76:D76"/>
    <mergeCell ref="AA76:AB76"/>
    <mergeCell ref="C77:D77"/>
    <mergeCell ref="C84:D84"/>
    <mergeCell ref="AA84:AB84"/>
    <mergeCell ref="C81:D81"/>
    <mergeCell ref="AA81:AB81"/>
    <mergeCell ref="C82:D82"/>
    <mergeCell ref="AA82:AB82"/>
    <mergeCell ref="C83:D83"/>
    <mergeCell ref="AA83:AB83"/>
    <mergeCell ref="AA77:AB77"/>
    <mergeCell ref="C78:D78"/>
    <mergeCell ref="AA78:AB78"/>
    <mergeCell ref="C79:D79"/>
    <mergeCell ref="AA79:AB79"/>
    <mergeCell ref="C80:D80"/>
    <mergeCell ref="AA80:AB80"/>
    <mergeCell ref="AG69:AG73"/>
    <mergeCell ref="C70:D70"/>
    <mergeCell ref="AA70:AB70"/>
    <mergeCell ref="C71:D71"/>
    <mergeCell ref="AA71:AB71"/>
    <mergeCell ref="C72:D72"/>
    <mergeCell ref="AA72:AB72"/>
    <mergeCell ref="C73:D73"/>
    <mergeCell ref="AA73:AB73"/>
    <mergeCell ref="A69:A73"/>
    <mergeCell ref="C69:D69"/>
    <mergeCell ref="R69:R73"/>
    <mergeCell ref="AA69:AB69"/>
    <mergeCell ref="AA62:AB62"/>
    <mergeCell ref="C63:D63"/>
    <mergeCell ref="AA63:AB63"/>
    <mergeCell ref="C64:D64"/>
    <mergeCell ref="AA64:AB64"/>
    <mergeCell ref="C65:D65"/>
    <mergeCell ref="AA65:AB65"/>
    <mergeCell ref="A58:A68"/>
    <mergeCell ref="C58:D58"/>
    <mergeCell ref="R58:R68"/>
    <mergeCell ref="AA58:AB58"/>
    <mergeCell ref="AA67:AB67"/>
    <mergeCell ref="C68:D68"/>
    <mergeCell ref="AA68:AB68"/>
    <mergeCell ref="A74:A84"/>
    <mergeCell ref="C74:D74"/>
    <mergeCell ref="R74:R84"/>
    <mergeCell ref="AA74:AB74"/>
    <mergeCell ref="A53:A57"/>
    <mergeCell ref="C53:D53"/>
    <mergeCell ref="R53:R57"/>
    <mergeCell ref="AA53:AB53"/>
    <mergeCell ref="AG58:AG68"/>
    <mergeCell ref="C59:D59"/>
    <mergeCell ref="AA59:AB59"/>
    <mergeCell ref="C60:D60"/>
    <mergeCell ref="AA60:AB60"/>
    <mergeCell ref="AA61:AB61"/>
    <mergeCell ref="AG53:AG57"/>
    <mergeCell ref="C54:D54"/>
    <mergeCell ref="AA54:AB54"/>
    <mergeCell ref="C55:D55"/>
    <mergeCell ref="AA55:AB55"/>
    <mergeCell ref="C56:D56"/>
    <mergeCell ref="AA56:AB56"/>
    <mergeCell ref="C57:D57"/>
    <mergeCell ref="AA57:AB57"/>
    <mergeCell ref="C67:D67"/>
    <mergeCell ref="A44:A52"/>
    <mergeCell ref="C44:D44"/>
    <mergeCell ref="R44:R52"/>
    <mergeCell ref="AA44:AB44"/>
    <mergeCell ref="AA49:AB49"/>
    <mergeCell ref="C50:D50"/>
    <mergeCell ref="AG44:AG52"/>
    <mergeCell ref="C45:D45"/>
    <mergeCell ref="AA45:AB45"/>
    <mergeCell ref="C46:D46"/>
    <mergeCell ref="AA46:AB46"/>
    <mergeCell ref="C47:D47"/>
    <mergeCell ref="AA47:AB47"/>
    <mergeCell ref="C48:D48"/>
    <mergeCell ref="AA48:AB48"/>
    <mergeCell ref="C49:D49"/>
    <mergeCell ref="AA50:AB50"/>
    <mergeCell ref="C51:D51"/>
    <mergeCell ref="AA51:AB51"/>
    <mergeCell ref="C52:D52"/>
    <mergeCell ref="AA52:AB52"/>
    <mergeCell ref="A34:A43"/>
    <mergeCell ref="C34:D34"/>
    <mergeCell ref="R34:R43"/>
    <mergeCell ref="AA34:AB34"/>
    <mergeCell ref="AA39:AB39"/>
    <mergeCell ref="C40:D40"/>
    <mergeCell ref="AG34:AG43"/>
    <mergeCell ref="C35:D35"/>
    <mergeCell ref="AA35:AB35"/>
    <mergeCell ref="C36:D36"/>
    <mergeCell ref="AA36:AB36"/>
    <mergeCell ref="C37:D37"/>
    <mergeCell ref="AA37:AB37"/>
    <mergeCell ref="C38:D38"/>
    <mergeCell ref="AA38:AB38"/>
    <mergeCell ref="C39:D39"/>
    <mergeCell ref="AA40:AB40"/>
    <mergeCell ref="C42:D42"/>
    <mergeCell ref="C43:D43"/>
    <mergeCell ref="AA43:AB43"/>
    <mergeCell ref="AG26:AG33"/>
    <mergeCell ref="C27:D27"/>
    <mergeCell ref="AA27:AB27"/>
    <mergeCell ref="C28:D28"/>
    <mergeCell ref="AA28:AB28"/>
    <mergeCell ref="C29:D29"/>
    <mergeCell ref="AA29:AB29"/>
    <mergeCell ref="C30:D30"/>
    <mergeCell ref="AA30:AB30"/>
    <mergeCell ref="C31:D31"/>
    <mergeCell ref="C32:D32"/>
    <mergeCell ref="AA32:AB32"/>
    <mergeCell ref="C33:D33"/>
    <mergeCell ref="AA33:AB33"/>
    <mergeCell ref="A26:A33"/>
    <mergeCell ref="C26:D26"/>
    <mergeCell ref="R26:R33"/>
    <mergeCell ref="AA26:AB26"/>
    <mergeCell ref="AA31:AB31"/>
    <mergeCell ref="A18:A25"/>
    <mergeCell ref="C18:D18"/>
    <mergeCell ref="R18:R25"/>
    <mergeCell ref="AA18:AB18"/>
    <mergeCell ref="AG18:AG25"/>
    <mergeCell ref="C19:D19"/>
    <mergeCell ref="AA19:AB19"/>
    <mergeCell ref="C20:D20"/>
    <mergeCell ref="AA20:AB20"/>
    <mergeCell ref="C21:D21"/>
    <mergeCell ref="AG11:AG17"/>
    <mergeCell ref="C12:D12"/>
    <mergeCell ref="AA12:AB12"/>
    <mergeCell ref="C13:D13"/>
    <mergeCell ref="AA13:AB13"/>
    <mergeCell ref="C14:D14"/>
    <mergeCell ref="AA14:AB14"/>
    <mergeCell ref="C15:D15"/>
    <mergeCell ref="AA15:AB15"/>
    <mergeCell ref="C16:D16"/>
    <mergeCell ref="AA21:AB21"/>
    <mergeCell ref="C22:D22"/>
    <mergeCell ref="AA22:AB22"/>
    <mergeCell ref="C25:D25"/>
    <mergeCell ref="AA25:AB25"/>
    <mergeCell ref="A11:A17"/>
    <mergeCell ref="C11:D11"/>
    <mergeCell ref="R11:R17"/>
    <mergeCell ref="AA11:AB11"/>
    <mergeCell ref="AA16:AB16"/>
    <mergeCell ref="C17:D17"/>
    <mergeCell ref="AA17:AB17"/>
    <mergeCell ref="A5:A10"/>
    <mergeCell ref="C7:D7"/>
    <mergeCell ref="AA7:AB7"/>
    <mergeCell ref="C8:D8"/>
    <mergeCell ref="AA8:AB8"/>
    <mergeCell ref="C9:D9"/>
    <mergeCell ref="AA9:AB9"/>
    <mergeCell ref="C5:D5"/>
    <mergeCell ref="R5:R10"/>
    <mergeCell ref="AA5:AB5"/>
    <mergeCell ref="AG5:AG10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C10:D10"/>
    <mergeCell ref="AA10:AB10"/>
    <mergeCell ref="S1:X2"/>
    <mergeCell ref="AA1:AB2"/>
    <mergeCell ref="AE1:AG2"/>
    <mergeCell ref="A3:A4"/>
    <mergeCell ref="B3:B4"/>
    <mergeCell ref="C3:D4"/>
    <mergeCell ref="E3:E4"/>
    <mergeCell ref="F3:F4"/>
    <mergeCell ref="G3:G4"/>
    <mergeCell ref="I1:K2"/>
    <mergeCell ref="L1:N2"/>
    <mergeCell ref="O1:R2"/>
    <mergeCell ref="Q3:Q4"/>
    <mergeCell ref="R3:R4"/>
    <mergeCell ref="S3:T3"/>
    <mergeCell ref="H3:H4"/>
    <mergeCell ref="I3:I4"/>
    <mergeCell ref="J3:J4"/>
    <mergeCell ref="K3:K4"/>
    <mergeCell ref="L3:L4"/>
    <mergeCell ref="M3:M4"/>
    <mergeCell ref="AE3:AE4"/>
    <mergeCell ref="AF3:AF4"/>
    <mergeCell ref="AG3:AG4"/>
  </mergeCells>
  <phoneticPr fontId="3" type="noConversion"/>
  <conditionalFormatting sqref="O72:O79 O68:O69 O84 O5:O11 O17:O19 O25:O41 O43:O63">
    <cfRule type="cellIs" dxfId="238" priority="83" operator="greaterThan">
      <formula>0</formula>
    </cfRule>
  </conditionalFormatting>
  <conditionalFormatting sqref="P5:P9 P72 AE72 P74:P79 P34:P41 P69 P11 P17:P19 P26:P32 P58:P63 P44:P56 AE5:AE69 AE74:AE84">
    <cfRule type="cellIs" dxfId="237" priority="87" operator="lessThan">
      <formula>0</formula>
    </cfRule>
  </conditionalFormatting>
  <conditionalFormatting sqref="AF72 Q72:Q79 Q68:Q69 Q84 Q5:Q11 Q17:Q19 Q25:Q41 Q43:Q63 AF5:AF69 AF74:AF84">
    <cfRule type="cellIs" dxfId="236" priority="84" operator="greaterThan">
      <formula>1</formula>
    </cfRule>
    <cfRule type="cellIs" dxfId="235" priority="85" operator="lessThan">
      <formula>0.8</formula>
    </cfRule>
  </conditionalFormatting>
  <conditionalFormatting sqref="AG18:AG19 R18:R19 AG72 R72:R79 R25:R31 AG25:AG31 AG33:AG41 R33:R41 AG68:AG69 R68:R69 R84 AG5:AG11 R5:R11 AG43:AG63 R43:R63">
    <cfRule type="cellIs" dxfId="234" priority="89" operator="lessThan">
      <formula>0.8</formula>
    </cfRule>
  </conditionalFormatting>
  <conditionalFormatting sqref="AG53">
    <cfRule type="cellIs" dxfId="233" priority="91" operator="lessThan">
      <formula>0.8</formula>
    </cfRule>
  </conditionalFormatting>
  <conditionalFormatting sqref="AG26:AG31">
    <cfRule type="cellIs" dxfId="232" priority="88" operator="lessThan">
      <formula>0.8</formula>
    </cfRule>
  </conditionalFormatting>
  <conditionalFormatting sqref="AG34">
    <cfRule type="cellIs" dxfId="231" priority="90" operator="lessThan">
      <formula>0.8</formula>
    </cfRule>
  </conditionalFormatting>
  <conditionalFormatting sqref="AG44:AG51">
    <cfRule type="cellIs" dxfId="230" priority="86" operator="lessThan">
      <formula>0.8</formula>
    </cfRule>
  </conditionalFormatting>
  <conditionalFormatting sqref="AE73">
    <cfRule type="cellIs" dxfId="229" priority="82" operator="lessThan">
      <formula>0</formula>
    </cfRule>
  </conditionalFormatting>
  <conditionalFormatting sqref="AF73">
    <cfRule type="cellIs" dxfId="228" priority="80" operator="greaterThan">
      <formula>1</formula>
    </cfRule>
    <cfRule type="cellIs" dxfId="227" priority="81" operator="lessThan">
      <formula>0.8</formula>
    </cfRule>
  </conditionalFormatting>
  <conditionalFormatting sqref="O20:O21">
    <cfRule type="cellIs" dxfId="226" priority="75" operator="greaterThan">
      <formula>0</formula>
    </cfRule>
  </conditionalFormatting>
  <conditionalFormatting sqref="P20:P21">
    <cfRule type="cellIs" dxfId="225" priority="78" operator="lessThan">
      <formula>0</formula>
    </cfRule>
  </conditionalFormatting>
  <conditionalFormatting sqref="Q20:Q21">
    <cfRule type="cellIs" dxfId="224" priority="76" operator="greaterThan">
      <formula>1</formula>
    </cfRule>
    <cfRule type="cellIs" dxfId="223" priority="77" operator="lessThan">
      <formula>0.8</formula>
    </cfRule>
  </conditionalFormatting>
  <conditionalFormatting sqref="R20:R21 AG20:AG21">
    <cfRule type="cellIs" dxfId="222" priority="79" operator="lessThan">
      <formula>0.8</formula>
    </cfRule>
  </conditionalFormatting>
  <conditionalFormatting sqref="O12:O16">
    <cfRule type="cellIs" dxfId="221" priority="71" operator="greaterThan">
      <formula>0</formula>
    </cfRule>
  </conditionalFormatting>
  <conditionalFormatting sqref="P12:P16">
    <cfRule type="cellIs" dxfId="220" priority="74" operator="lessThan">
      <formula>0</formula>
    </cfRule>
  </conditionalFormatting>
  <conditionalFormatting sqref="Q12:Q16">
    <cfRule type="cellIs" dxfId="219" priority="72" operator="greaterThan">
      <formula>1</formula>
    </cfRule>
    <cfRule type="cellIs" dxfId="218" priority="73" operator="lessThan">
      <formula>0.8</formula>
    </cfRule>
  </conditionalFormatting>
  <conditionalFormatting sqref="O64">
    <cfRule type="cellIs" dxfId="217" priority="66" operator="greaterThan">
      <formula>0</formula>
    </cfRule>
  </conditionalFormatting>
  <conditionalFormatting sqref="P64">
    <cfRule type="cellIs" dxfId="216" priority="69" operator="lessThan">
      <formula>0</formula>
    </cfRule>
  </conditionalFormatting>
  <conditionalFormatting sqref="Q64">
    <cfRule type="cellIs" dxfId="215" priority="67" operator="greaterThan">
      <formula>1</formula>
    </cfRule>
    <cfRule type="cellIs" dxfId="214" priority="68" operator="lessThan">
      <formula>0.8</formula>
    </cfRule>
  </conditionalFormatting>
  <conditionalFormatting sqref="R64 AG64">
    <cfRule type="cellIs" dxfId="213" priority="70" operator="lessThan">
      <formula>0.8</formula>
    </cfRule>
  </conditionalFormatting>
  <conditionalFormatting sqref="O71">
    <cfRule type="cellIs" dxfId="212" priority="61" operator="greaterThan">
      <formula>0</formula>
    </cfRule>
  </conditionalFormatting>
  <conditionalFormatting sqref="P71 AE71">
    <cfRule type="cellIs" dxfId="211" priority="64" operator="lessThan">
      <formula>0</formula>
    </cfRule>
  </conditionalFormatting>
  <conditionalFormatting sqref="Q71 AF71">
    <cfRule type="cellIs" dxfId="210" priority="62" operator="greaterThan">
      <formula>1</formula>
    </cfRule>
    <cfRule type="cellIs" dxfId="209" priority="63" operator="lessThan">
      <formula>0.8</formula>
    </cfRule>
  </conditionalFormatting>
  <conditionalFormatting sqref="R71 AG71">
    <cfRule type="cellIs" dxfId="208" priority="65" operator="lessThan">
      <formula>0.8</formula>
    </cfRule>
  </conditionalFormatting>
  <conditionalFormatting sqref="O42">
    <cfRule type="cellIs" dxfId="207" priority="56" operator="greaterThan">
      <formula>0</formula>
    </cfRule>
  </conditionalFormatting>
  <conditionalFormatting sqref="P42">
    <cfRule type="cellIs" dxfId="206" priority="59" operator="lessThan">
      <formula>0</formula>
    </cfRule>
  </conditionalFormatting>
  <conditionalFormatting sqref="Q42">
    <cfRule type="cellIs" dxfId="205" priority="57" operator="greaterThan">
      <formula>1</formula>
    </cfRule>
    <cfRule type="cellIs" dxfId="204" priority="58" operator="lessThan">
      <formula>0.8</formula>
    </cfRule>
  </conditionalFormatting>
  <conditionalFormatting sqref="R42 AG42">
    <cfRule type="cellIs" dxfId="203" priority="60" operator="lessThan">
      <formula>0.8</formula>
    </cfRule>
  </conditionalFormatting>
  <conditionalFormatting sqref="O80">
    <cfRule type="cellIs" dxfId="202" priority="51" operator="greaterThan">
      <formula>0</formula>
    </cfRule>
  </conditionalFormatting>
  <conditionalFormatting sqref="P80">
    <cfRule type="cellIs" dxfId="201" priority="54" operator="lessThan">
      <formula>0</formula>
    </cfRule>
  </conditionalFormatting>
  <conditionalFormatting sqref="Q80">
    <cfRule type="cellIs" dxfId="200" priority="52" operator="greaterThan">
      <formula>1</formula>
    </cfRule>
    <cfRule type="cellIs" dxfId="199" priority="53" operator="lessThan">
      <formula>0.8</formula>
    </cfRule>
  </conditionalFormatting>
  <conditionalFormatting sqref="R80">
    <cfRule type="cellIs" dxfId="198" priority="55" operator="lessThan">
      <formula>0.8</formula>
    </cfRule>
  </conditionalFormatting>
  <conditionalFormatting sqref="O22:O23">
    <cfRule type="cellIs" dxfId="197" priority="46" operator="greaterThan">
      <formula>0</formula>
    </cfRule>
  </conditionalFormatting>
  <conditionalFormatting sqref="P22:P23">
    <cfRule type="cellIs" dxfId="196" priority="49" operator="lessThan">
      <formula>0</formula>
    </cfRule>
  </conditionalFormatting>
  <conditionalFormatting sqref="Q22:Q23">
    <cfRule type="cellIs" dxfId="195" priority="47" operator="greaterThan">
      <formula>1</formula>
    </cfRule>
    <cfRule type="cellIs" dxfId="194" priority="48" operator="lessThan">
      <formula>0.8</formula>
    </cfRule>
  </conditionalFormatting>
  <conditionalFormatting sqref="R22:R23 AG22:AG23">
    <cfRule type="cellIs" dxfId="193" priority="50" operator="lessThan">
      <formula>0.8</formula>
    </cfRule>
  </conditionalFormatting>
  <conditionalFormatting sqref="O65">
    <cfRule type="cellIs" dxfId="192" priority="41" operator="greaterThan">
      <formula>0</formula>
    </cfRule>
  </conditionalFormatting>
  <conditionalFormatting sqref="P65">
    <cfRule type="cellIs" dxfId="191" priority="44" operator="lessThan">
      <formula>0</formula>
    </cfRule>
  </conditionalFormatting>
  <conditionalFormatting sqref="Q65">
    <cfRule type="cellIs" dxfId="190" priority="42" operator="greaterThan">
      <formula>1</formula>
    </cfRule>
    <cfRule type="cellIs" dxfId="189" priority="43" operator="lessThan">
      <formula>0.8</formula>
    </cfRule>
  </conditionalFormatting>
  <conditionalFormatting sqref="AG65 R65">
    <cfRule type="cellIs" dxfId="188" priority="45" operator="lessThan">
      <formula>0.8</formula>
    </cfRule>
  </conditionalFormatting>
  <conditionalFormatting sqref="R32 AG32">
    <cfRule type="cellIs" dxfId="187" priority="40" operator="lessThan">
      <formula>0.8</formula>
    </cfRule>
  </conditionalFormatting>
  <conditionalFormatting sqref="AG32">
    <cfRule type="cellIs" dxfId="186" priority="39" operator="lessThan">
      <formula>0.8</formula>
    </cfRule>
  </conditionalFormatting>
  <conditionalFormatting sqref="O70">
    <cfRule type="cellIs" dxfId="185" priority="34" operator="greaterThan">
      <formula>0</formula>
    </cfRule>
  </conditionalFormatting>
  <conditionalFormatting sqref="P70 AE70">
    <cfRule type="cellIs" dxfId="184" priority="37" operator="lessThan">
      <formula>0</formula>
    </cfRule>
  </conditionalFormatting>
  <conditionalFormatting sqref="Q70 AF70">
    <cfRule type="cellIs" dxfId="183" priority="35" operator="greaterThan">
      <formula>1</formula>
    </cfRule>
    <cfRule type="cellIs" dxfId="182" priority="36" operator="lessThan">
      <formula>0.8</formula>
    </cfRule>
  </conditionalFormatting>
  <conditionalFormatting sqref="R70 AG70">
    <cfRule type="cellIs" dxfId="181" priority="38" operator="lessThan">
      <formula>0.8</formula>
    </cfRule>
  </conditionalFormatting>
  <conditionalFormatting sqref="O24">
    <cfRule type="cellIs" dxfId="180" priority="29" operator="greaterThan">
      <formula>0</formula>
    </cfRule>
  </conditionalFormatting>
  <conditionalFormatting sqref="P24">
    <cfRule type="cellIs" dxfId="179" priority="32" operator="lessThan">
      <formula>0</formula>
    </cfRule>
  </conditionalFormatting>
  <conditionalFormatting sqref="Q24">
    <cfRule type="cellIs" dxfId="178" priority="30" operator="greaterThan">
      <formula>1</formula>
    </cfRule>
    <cfRule type="cellIs" dxfId="177" priority="31" operator="lessThan">
      <formula>0.8</formula>
    </cfRule>
  </conditionalFormatting>
  <conditionalFormatting sqref="AG24 R24">
    <cfRule type="cellIs" dxfId="176" priority="33" operator="lessThan">
      <formula>0.8</formula>
    </cfRule>
  </conditionalFormatting>
  <conditionalFormatting sqref="P10">
    <cfRule type="cellIs" dxfId="175" priority="28" operator="lessThan">
      <formula>0</formula>
    </cfRule>
  </conditionalFormatting>
  <conditionalFormatting sqref="P25">
    <cfRule type="cellIs" dxfId="174" priority="27" operator="lessThan">
      <formula>0</formula>
    </cfRule>
  </conditionalFormatting>
  <conditionalFormatting sqref="P33">
    <cfRule type="cellIs" dxfId="173" priority="26" operator="lessThan">
      <formula>0</formula>
    </cfRule>
  </conditionalFormatting>
  <conditionalFormatting sqref="P43">
    <cfRule type="cellIs" dxfId="172" priority="25" operator="lessThan">
      <formula>0</formula>
    </cfRule>
  </conditionalFormatting>
  <conditionalFormatting sqref="P57">
    <cfRule type="cellIs" dxfId="171" priority="24" operator="lessThan">
      <formula>0</formula>
    </cfRule>
  </conditionalFormatting>
  <conditionalFormatting sqref="P68">
    <cfRule type="cellIs" dxfId="170" priority="23" operator="lessThan">
      <formula>0</formula>
    </cfRule>
  </conditionalFormatting>
  <conditionalFormatting sqref="P73">
    <cfRule type="cellIs" dxfId="169" priority="22" operator="lessThan">
      <formula>0</formula>
    </cfRule>
  </conditionalFormatting>
  <conditionalFormatting sqref="P84">
    <cfRule type="cellIs" dxfId="168" priority="21" operator="lessThan">
      <formula>0</formula>
    </cfRule>
  </conditionalFormatting>
  <conditionalFormatting sqref="O81">
    <cfRule type="cellIs" dxfId="167" priority="16" operator="greaterThan">
      <formula>0</formula>
    </cfRule>
  </conditionalFormatting>
  <conditionalFormatting sqref="P81">
    <cfRule type="cellIs" dxfId="166" priority="19" operator="lessThan">
      <formula>0</formula>
    </cfRule>
  </conditionalFormatting>
  <conditionalFormatting sqref="Q81">
    <cfRule type="cellIs" dxfId="165" priority="17" operator="greaterThan">
      <formula>1</formula>
    </cfRule>
    <cfRule type="cellIs" dxfId="164" priority="18" operator="lessThan">
      <formula>0.8</formula>
    </cfRule>
  </conditionalFormatting>
  <conditionalFormatting sqref="R81">
    <cfRule type="cellIs" dxfId="163" priority="20" operator="lessThan">
      <formula>0.8</formula>
    </cfRule>
  </conditionalFormatting>
  <conditionalFormatting sqref="O82">
    <cfRule type="cellIs" dxfId="162" priority="11" operator="greaterThan">
      <formula>0</formula>
    </cfRule>
  </conditionalFormatting>
  <conditionalFormatting sqref="P82">
    <cfRule type="cellIs" dxfId="161" priority="14" operator="lessThan">
      <formula>0</formula>
    </cfRule>
  </conditionalFormatting>
  <conditionalFormatting sqref="Q82">
    <cfRule type="cellIs" dxfId="160" priority="12" operator="greaterThan">
      <formula>1</formula>
    </cfRule>
    <cfRule type="cellIs" dxfId="159" priority="13" operator="lessThan">
      <formula>0.8</formula>
    </cfRule>
  </conditionalFormatting>
  <conditionalFormatting sqref="R82">
    <cfRule type="cellIs" dxfId="158" priority="15" operator="lessThan">
      <formula>0.8</formula>
    </cfRule>
  </conditionalFormatting>
  <conditionalFormatting sqref="O66:O67">
    <cfRule type="cellIs" dxfId="157" priority="6" operator="greaterThan">
      <formula>0</formula>
    </cfRule>
  </conditionalFormatting>
  <conditionalFormatting sqref="P66:P67">
    <cfRule type="cellIs" dxfId="156" priority="9" operator="lessThan">
      <formula>0</formula>
    </cfRule>
  </conditionalFormatting>
  <conditionalFormatting sqref="Q66:Q67">
    <cfRule type="cellIs" dxfId="155" priority="7" operator="greaterThan">
      <formula>1</formula>
    </cfRule>
    <cfRule type="cellIs" dxfId="154" priority="8" operator="lessThan">
      <formula>0.8</formula>
    </cfRule>
  </conditionalFormatting>
  <conditionalFormatting sqref="AG66:AG67 R66:R67">
    <cfRule type="cellIs" dxfId="153" priority="10" operator="lessThan">
      <formula>0.8</formula>
    </cfRule>
  </conditionalFormatting>
  <conditionalFormatting sqref="O83">
    <cfRule type="cellIs" dxfId="152" priority="1" operator="greaterThan">
      <formula>0</formula>
    </cfRule>
  </conditionalFormatting>
  <conditionalFormatting sqref="P83">
    <cfRule type="cellIs" dxfId="151" priority="4" operator="lessThan">
      <formula>0</formula>
    </cfRule>
  </conditionalFormatting>
  <conditionalFormatting sqref="Q83">
    <cfRule type="cellIs" dxfId="150" priority="2" operator="greaterThan">
      <formula>1</formula>
    </cfRule>
    <cfRule type="cellIs" dxfId="149" priority="3" operator="lessThan">
      <formula>0.8</formula>
    </cfRule>
  </conditionalFormatting>
  <conditionalFormatting sqref="R83">
    <cfRule type="cellIs" dxfId="148" priority="5" operator="lessThan">
      <formula>0.8</formula>
    </cfRule>
  </conditionalFormatting>
  <dataValidations count="1">
    <dataValidation type="list" allowBlank="1" showInputMessage="1" showErrorMessage="1" sqref="AB10 AA5:AB9 AA10:AA72 AB12:AB69 AA73:AB84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2"/>
  <sheetViews>
    <sheetView zoomScale="85" zoomScaleNormal="85" workbookViewId="0">
      <selection activeCell="A10" sqref="A10"/>
    </sheetView>
  </sheetViews>
  <sheetFormatPr defaultColWidth="8.75" defaultRowHeight="15.75"/>
  <cols>
    <col min="1" max="1" width="8.75" style="52"/>
    <col min="2" max="2" width="17.875" style="52" customWidth="1"/>
    <col min="3" max="3" width="9.25" style="60" customWidth="1"/>
    <col min="4" max="13" width="12.625" style="52" customWidth="1"/>
    <col min="14" max="14" width="11" style="52" bestFit="1" customWidth="1"/>
    <col min="15" max="15" width="17.75" style="52" bestFit="1" customWidth="1"/>
    <col min="16" max="16" width="12.25" style="52" bestFit="1" customWidth="1"/>
    <col min="17" max="22" width="9.25" style="52" customWidth="1"/>
    <col min="23" max="23" width="10.75" style="52" customWidth="1"/>
    <col min="24" max="24" width="11" style="52" customWidth="1"/>
    <col min="25" max="16384" width="8.75" style="52"/>
  </cols>
  <sheetData>
    <row r="1" spans="2:17" ht="27.75" customHeight="1">
      <c r="B1" s="612" t="s">
        <v>151</v>
      </c>
      <c r="C1" s="612"/>
      <c r="D1" s="612"/>
      <c r="E1" s="612"/>
      <c r="F1" s="612"/>
      <c r="G1" s="612"/>
      <c r="H1" s="612"/>
      <c r="I1" s="612"/>
      <c r="J1" s="612"/>
      <c r="K1" s="51"/>
      <c r="L1" s="51"/>
      <c r="M1" s="51"/>
      <c r="N1" s="51"/>
      <c r="O1" s="51"/>
      <c r="P1" s="51"/>
    </row>
    <row r="2" spans="2:17" ht="27.75" customHeight="1">
      <c r="B2" s="613"/>
      <c r="C2" s="613"/>
      <c r="D2" s="613"/>
      <c r="E2" s="613"/>
      <c r="F2" s="613"/>
      <c r="G2" s="613"/>
      <c r="H2" s="613"/>
      <c r="I2" s="613"/>
      <c r="J2" s="613"/>
      <c r="K2" s="53"/>
      <c r="L2" s="53"/>
      <c r="M2" s="53"/>
      <c r="N2" s="51"/>
      <c r="O2" s="51"/>
      <c r="P2" s="51"/>
    </row>
    <row r="3" spans="2:17" ht="46.5" customHeight="1">
      <c r="B3" s="54" t="s">
        <v>152</v>
      </c>
      <c r="C3" s="614" t="str">
        <f>TEXT('0801 4度C'!A2,"yyyy.mm.ddaaaa")</f>
        <v>2026.08.01星期六</v>
      </c>
      <c r="D3" s="615"/>
      <c r="E3" s="54" t="s">
        <v>153</v>
      </c>
      <c r="F3" s="616">
        <f>'0801 4度C'!D1</f>
        <v>162409</v>
      </c>
      <c r="G3" s="617"/>
      <c r="H3" s="54" t="s">
        <v>154</v>
      </c>
      <c r="I3" s="618">
        <f>'0801 4度C'!F1</f>
        <v>5699318.379999998</v>
      </c>
      <c r="J3" s="619"/>
      <c r="K3" s="55"/>
      <c r="L3" s="56"/>
      <c r="M3" s="57"/>
      <c r="N3" s="57"/>
    </row>
    <row r="4" spans="2:17" ht="28.5" customHeight="1">
      <c r="B4" s="620" t="s">
        <v>155</v>
      </c>
      <c r="C4" s="606" t="s">
        <v>156</v>
      </c>
      <c r="D4" s="607"/>
      <c r="E4" s="623" t="s">
        <v>157</v>
      </c>
      <c r="F4" s="624"/>
      <c r="G4" s="623" t="s">
        <v>158</v>
      </c>
      <c r="H4" s="624"/>
      <c r="I4" s="623" t="s">
        <v>159</v>
      </c>
      <c r="J4" s="624"/>
      <c r="K4" s="604" t="s">
        <v>160</v>
      </c>
      <c r="L4" s="605"/>
      <c r="M4" s="605" t="s">
        <v>161</v>
      </c>
      <c r="N4" s="605"/>
    </row>
    <row r="5" spans="2:17" ht="28.5" customHeight="1">
      <c r="B5" s="621"/>
      <c r="C5" s="606" t="s">
        <v>162</v>
      </c>
      <c r="D5" s="607"/>
      <c r="E5" s="606" t="s">
        <v>163</v>
      </c>
      <c r="F5" s="607"/>
      <c r="G5" s="608" t="s">
        <v>164</v>
      </c>
      <c r="H5" s="609"/>
      <c r="I5" s="610" t="s">
        <v>165</v>
      </c>
      <c r="J5" s="611"/>
      <c r="K5" s="58" t="s">
        <v>166</v>
      </c>
      <c r="L5" s="59" t="s">
        <v>167</v>
      </c>
      <c r="M5" s="58" t="s">
        <v>166</v>
      </c>
      <c r="N5" s="59" t="s">
        <v>168</v>
      </c>
    </row>
    <row r="6" spans="2:17" ht="28.5" customHeight="1">
      <c r="B6" s="621"/>
      <c r="C6" s="606" t="s">
        <v>169</v>
      </c>
      <c r="D6" s="607"/>
      <c r="E6" s="598">
        <f>AVERAGE(D13:M13)</f>
        <v>157.89240593512454</v>
      </c>
      <c r="F6" s="599">
        <f>AVERAGE(D31:O31,D13:J13)</f>
        <v>166.4135038522393</v>
      </c>
      <c r="G6" s="600">
        <f>AVERAGE(D13:J13)</f>
        <v>166.4135038522393</v>
      </c>
      <c r="H6" s="601"/>
      <c r="I6" s="600">
        <f>AVERAGE(K13:M13)</f>
        <v>138.00984412852344</v>
      </c>
      <c r="J6" s="601"/>
      <c r="K6" s="602">
        <f>'0801 4度C'!Y2</f>
        <v>0</v>
      </c>
      <c r="L6" s="587">
        <f>'0801 4度C'!Z2</f>
        <v>0</v>
      </c>
      <c r="M6" s="603">
        <f>'0801 4度C'!AC2</f>
        <v>57</v>
      </c>
      <c r="N6" s="587">
        <f>'0801 4度C'!AD2</f>
        <v>0</v>
      </c>
    </row>
    <row r="7" spans="2:17" ht="28.5" customHeight="1">
      <c r="B7" s="621"/>
      <c r="C7" s="588" t="s">
        <v>170</v>
      </c>
      <c r="D7" s="589"/>
      <c r="E7" s="590">
        <f>AVERAGE(D14:M14)</f>
        <v>151.386534661615</v>
      </c>
      <c r="F7" s="591">
        <f>AVERAGE(D32:O32,D14:J14)</f>
        <v>159.63047014493512</v>
      </c>
      <c r="G7" s="592">
        <f>AVERAGE(D14:J14)</f>
        <v>159.63047014493512</v>
      </c>
      <c r="H7" s="593"/>
      <c r="I7" s="592">
        <f>AVERAGE(K14:M14)</f>
        <v>132.1506852005347</v>
      </c>
      <c r="J7" s="593"/>
      <c r="K7" s="602"/>
      <c r="L7" s="587"/>
      <c r="M7" s="603"/>
      <c r="N7" s="587"/>
    </row>
    <row r="8" spans="2:17" ht="28.5" customHeight="1">
      <c r="B8" s="622"/>
      <c r="C8" s="588" t="s">
        <v>171</v>
      </c>
      <c r="D8" s="589"/>
      <c r="E8" s="594">
        <f>AVERAGE(D15:M15)</f>
        <v>0.95847738866723253</v>
      </c>
      <c r="F8" s="595">
        <f>AVERAGE(D15:J15,D33:O33)</f>
        <v>0.95884124006851601</v>
      </c>
      <c r="G8" s="596">
        <f>AVERAGE(D15:J15)</f>
        <v>0.95884124006851601</v>
      </c>
      <c r="H8" s="597"/>
      <c r="I8" s="596">
        <f>AVERAGE(K15:M15)</f>
        <v>0.9576284020642376</v>
      </c>
      <c r="J8" s="597"/>
      <c r="K8" s="602"/>
      <c r="L8" s="587"/>
      <c r="M8" s="603"/>
      <c r="N8" s="587"/>
    </row>
    <row r="9" spans="2:17" ht="28.5" customHeight="1" thickBot="1">
      <c r="H9" s="61"/>
      <c r="K9" s="62" t="s">
        <v>172</v>
      </c>
      <c r="N9" s="57"/>
      <c r="O9" s="57"/>
      <c r="P9" s="57"/>
      <c r="Q9" s="57"/>
    </row>
    <row r="10" spans="2:17" ht="30" customHeight="1">
      <c r="B10" s="570" t="s">
        <v>173</v>
      </c>
      <c r="C10" s="571"/>
      <c r="D10" s="572" t="s">
        <v>174</v>
      </c>
      <c r="E10" s="573"/>
      <c r="F10" s="573"/>
      <c r="G10" s="573"/>
      <c r="H10" s="573"/>
      <c r="I10" s="573"/>
      <c r="J10" s="574"/>
      <c r="K10" s="575" t="s">
        <v>175</v>
      </c>
      <c r="L10" s="576"/>
      <c r="M10" s="577"/>
      <c r="P10" s="63"/>
      <c r="Q10" s="63"/>
    </row>
    <row r="11" spans="2:17" ht="17.25" customHeight="1">
      <c r="B11" s="578" t="s">
        <v>176</v>
      </c>
      <c r="C11" s="579"/>
      <c r="D11" s="64">
        <v>1</v>
      </c>
      <c r="E11" s="65">
        <v>2</v>
      </c>
      <c r="F11" s="65">
        <v>3</v>
      </c>
      <c r="G11" s="65">
        <v>4</v>
      </c>
      <c r="H11" s="65">
        <v>5</v>
      </c>
      <c r="I11" s="65">
        <v>6</v>
      </c>
      <c r="J11" s="66">
        <v>7</v>
      </c>
      <c r="K11" s="64">
        <v>1</v>
      </c>
      <c r="L11" s="65">
        <v>2</v>
      </c>
      <c r="M11" s="66">
        <v>3</v>
      </c>
      <c r="P11" s="63"/>
      <c r="Q11" s="63"/>
    </row>
    <row r="12" spans="2:17" ht="34.15" customHeight="1">
      <c r="B12" s="580"/>
      <c r="C12" s="581"/>
      <c r="D12" s="67" t="s">
        <v>177</v>
      </c>
      <c r="E12" s="68" t="s">
        <v>178</v>
      </c>
      <c r="F12" s="68" t="s">
        <v>179</v>
      </c>
      <c r="G12" s="68" t="s">
        <v>180</v>
      </c>
      <c r="H12" s="68" t="s">
        <v>181</v>
      </c>
      <c r="I12" s="68" t="s">
        <v>182</v>
      </c>
      <c r="J12" s="69" t="s">
        <v>183</v>
      </c>
      <c r="K12" s="67" t="s">
        <v>184</v>
      </c>
      <c r="L12" s="68" t="s">
        <v>185</v>
      </c>
      <c r="M12" s="69" t="s">
        <v>186</v>
      </c>
    </row>
    <row r="13" spans="2:17" ht="40.15" customHeight="1">
      <c r="B13" s="582" t="s">
        <v>187</v>
      </c>
      <c r="C13" s="70" t="s">
        <v>188</v>
      </c>
      <c r="D13" s="71">
        <f>SUMIFS('0801 4度C'!$K:$K,'0801 4度C'!$A:$A,"新豐6線",'0801 4度C'!$B:$B,"平均")</f>
        <v>130.43478260869566</v>
      </c>
      <c r="E13" s="72">
        <f>SUMIFS('0801 4度C'!$K:$K,'0801 4度C'!$A:$A,"新豐2線",'0801 4度C'!$B:$B,"平均")</f>
        <v>84.269662921348313</v>
      </c>
      <c r="F13" s="73">
        <f>SUMIFS('0801 4度C'!$K:$K,'0801 4度C'!$A:$A,"新豐5線",'0801 4度C'!$B:$B,"平均")</f>
        <v>93.023255813953497</v>
      </c>
      <c r="G13" s="73">
        <f>SUMIFS('0801 4度C'!$K:$K,'0801 4度C'!$A:$A,"新豐7線",'0801 4度C'!$B:$B,"平均")</f>
        <v>127.65957446808511</v>
      </c>
      <c r="H13" s="73">
        <f>SUMIFS('0801 4度C'!$K:$K,'0801 4度C'!$A:$A,"新豐3線",'0801 4度C'!$B:$B,"平均")</f>
        <v>324.32432432432432</v>
      </c>
      <c r="I13" s="73">
        <f>SUMIFS('0801 4度C'!$K:$K,'0801 4度C'!$A:$A,"新豐1線",'0801 4度C'!$B:$B,"平均")</f>
        <v>112.5</v>
      </c>
      <c r="J13" s="74">
        <f>SUMIFS('0801 4度C'!$K:$K,'0801 4度C'!$A:$A,"新豐10線",'0801 4度C'!$B:$B,"平均")</f>
        <v>292.6829268292683</v>
      </c>
      <c r="K13" s="75">
        <f>SUMIFS('0801 4度C'!$K:$K,'0801 4度C'!$A:$A,"新豐8線",'0801 4度C'!$B:$B,"平均")</f>
        <v>137.70491803278691</v>
      </c>
      <c r="L13" s="76">
        <f>SUMIFS('0801 4度C'!$K:$K,'0801 4度C'!$A:$A,"新豐9線",'0801 4度C'!$B:$B,"平均")</f>
        <v>123.94366197183099</v>
      </c>
      <c r="M13" s="74">
        <f>SUMIFS('0801 4度C'!$K:$K,'0801 4度C'!$A:$A,"新豐4線",'0801 4度C'!$B:$B,"平均")</f>
        <v>152.38095238095238</v>
      </c>
    </row>
    <row r="14" spans="2:17" ht="39.6" customHeight="1">
      <c r="B14" s="583"/>
      <c r="C14" s="77" t="s">
        <v>189</v>
      </c>
      <c r="D14" s="78">
        <f>SUMIFS('0801 4度C'!$N:$N,'0801 4度C'!$A:$A,"新豐6線",'0801 4度C'!$B:$B,"平均")</f>
        <v>124.64954947073736</v>
      </c>
      <c r="E14" s="79">
        <f>SUMIFS('0801 4度C'!$N:$N,'0801 4度C'!$A:$A,"新豐2線",'0801 4度C'!$B:$B,"平均")</f>
        <v>80.691233498507728</v>
      </c>
      <c r="F14" s="79">
        <f>SUMIFS('0801 4度C'!$N:$N,'0801 4度C'!$A:$A,"新豐5線",'0801 4度C'!$B:$B,"平均")</f>
        <v>88.980413028185296</v>
      </c>
      <c r="G14" s="79">
        <f>SUMIFS('0801 4度C'!$N:$N,'0801 4度C'!$A:$A,"新豐7線",'0801 4度C'!$B:$B,"平均")</f>
        <v>122.27707403468241</v>
      </c>
      <c r="H14" s="79">
        <f>SUMIFS('0801 4度C'!$N:$N,'0801 4度C'!$A:$A,"新豐3線",'0801 4度C'!$B:$B,"平均")</f>
        <v>311.51593075864935</v>
      </c>
      <c r="I14" s="79">
        <f>SUMIFS('0801 4度C'!$N:$N,'0801 4度C'!$A:$A,"新豐1線",'0801 4度C'!$B:$B,"平均")</f>
        <v>108.49650132668255</v>
      </c>
      <c r="J14" s="80">
        <f>SUMIFS('0801 4度C'!$N:$N,'0801 4度C'!$A:$A,"新豐10線",'0801 4度C'!$B:$B,"平均")</f>
        <v>280.80258889710115</v>
      </c>
      <c r="K14" s="81">
        <f>SUMIFS('0801 4度C'!$N:$N,'0801 4度C'!$A:$A,"新豐8線",'0801 4度C'!$B:$B,"平均")</f>
        <v>132.21809579239195</v>
      </c>
      <c r="L14" s="82">
        <f>SUMIFS('0801 4度C'!$N:$N,'0801 4度C'!$A:$A,"新豐9線",'0801 4度C'!$B:$B,"平均")</f>
        <v>118.68020410566494</v>
      </c>
      <c r="M14" s="80">
        <f>SUMIFS('0801 4度C'!$N:$N,'0801 4度C'!$A:$A,"新豐4線",'0801 4度C'!$B:$B,"平均")</f>
        <v>145.55375570354721</v>
      </c>
    </row>
    <row r="15" spans="2:17" ht="40.15" customHeight="1">
      <c r="B15" s="584"/>
      <c r="C15" s="83" t="s">
        <v>190</v>
      </c>
      <c r="D15" s="84">
        <f t="shared" ref="D15:M15" si="0">D14/D13</f>
        <v>0.95564654594231968</v>
      </c>
      <c r="E15" s="85">
        <f t="shared" si="0"/>
        <v>0.95753597084895836</v>
      </c>
      <c r="F15" s="85">
        <f t="shared" si="0"/>
        <v>0.95653944005299185</v>
      </c>
      <c r="G15" s="85">
        <f t="shared" si="0"/>
        <v>0.95783707993834555</v>
      </c>
      <c r="H15" s="85">
        <f t="shared" si="0"/>
        <v>0.96050745317250219</v>
      </c>
      <c r="I15" s="85">
        <f t="shared" si="0"/>
        <v>0.96441334512606713</v>
      </c>
      <c r="J15" s="86">
        <f t="shared" si="0"/>
        <v>0.95940884539842886</v>
      </c>
      <c r="K15" s="84">
        <f t="shared" si="0"/>
        <v>0.96015521944475091</v>
      </c>
      <c r="L15" s="85">
        <f t="shared" si="0"/>
        <v>0.95753346494343305</v>
      </c>
      <c r="M15" s="86">
        <f t="shared" si="0"/>
        <v>0.95519652180452863</v>
      </c>
    </row>
    <row r="16" spans="2:17" ht="17.25" customHeight="1">
      <c r="B16" s="585" t="s">
        <v>191</v>
      </c>
      <c r="C16" s="87" t="s">
        <v>192</v>
      </c>
      <c r="D16" s="88">
        <f>VLOOKUP("新豐6線",'0801 4度C'!$A:$T,19,0)</f>
        <v>0.70833333333333337</v>
      </c>
      <c r="E16" s="89">
        <f>VLOOKUP("新豐2線",'0801 4度C'!$A:$T,19,0)</f>
        <v>8.3333333333333329E-2</v>
      </c>
      <c r="F16" s="89">
        <f>VLOOKUP("新豐5線",'0801 4度C'!$A:$T,19,0)</f>
        <v>8.3333333333333329E-2</v>
      </c>
      <c r="G16" s="89">
        <f>VLOOKUP("新豐7線",'0801 4度C'!$A:$T,19,0)</f>
        <v>0.20833333333333334</v>
      </c>
      <c r="H16" s="89">
        <f>VLOOKUP("新豐3線",'0801 4度C'!$A:$T,19,0)</f>
        <v>0.20833333333333334</v>
      </c>
      <c r="I16" s="89">
        <f>VLOOKUP("新豐1線",'0801 4度C'!$A:$T,19,0)</f>
        <v>8.3333333333333329E-2</v>
      </c>
      <c r="J16" s="90">
        <f>VLOOKUP("新豐10線",'0801 4度C'!$A:$T,19,0)</f>
        <v>0.20833333333333334</v>
      </c>
      <c r="K16" s="91">
        <f>VLOOKUP("新豐8線",'0801 4度C'!$A:$T,19,0)</f>
        <v>8.3333333333333329E-2</v>
      </c>
      <c r="L16" s="92">
        <f>VLOOKUP("新豐9線",'0801 4度C'!$A:$T,19,0)</f>
        <v>8.3333333333333329E-2</v>
      </c>
      <c r="M16" s="93">
        <f>VLOOKUP("新豐4線",'0801 4度C'!$A:$T,19,0)</f>
        <v>8.3333333333333329E-2</v>
      </c>
    </row>
    <row r="17" spans="2:13" ht="17.25" customHeight="1">
      <c r="B17" s="586"/>
      <c r="C17" s="87" t="s">
        <v>193</v>
      </c>
      <c r="D17" s="91">
        <f>LOOKUP(2,1/(('0801 4度C'!$A:$A="新豐6線")*('0801 4度C'!$T:$T&lt;&gt;"")),'0801 4度C'!$T:$T)</f>
        <v>0.84375000000000011</v>
      </c>
      <c r="E17" s="89">
        <f>LOOKUP(2,1/(('0801 4度C'!$A:$A="新豐2線")*('0801 4度C'!$T:$T&lt;&gt;"")),'0801 4度C'!$T:$T)</f>
        <v>0.58055555555555549</v>
      </c>
      <c r="F17" s="89">
        <f>LOOKUP(2,1/(('0801 4度C'!$A:$A="新豐5線")*('0801 4度C'!$T:$T&lt;&gt;"")),'0801 4度C'!$T:$T)</f>
        <v>0.84930555555555554</v>
      </c>
      <c r="G17" s="89">
        <f>LOOKUP(2,1/(('0801 4度C'!$A:$A="新豐7線")*('0801 4度C'!$T:$T&lt;&gt;"")),'0801 4度C'!$T:$T)</f>
        <v>0.84652777777777777</v>
      </c>
      <c r="H17" s="89">
        <f>LOOKUP(2,1/(('0801 4度C'!$A:$A="新豐3線")*('0801 4度C'!$T:$T&lt;&gt;"")),'0801 4度C'!$T:$T)</f>
        <v>0.38541666666666663</v>
      </c>
      <c r="I17" s="89">
        <f>LOOKUP(2,1/(('0801 4度C'!$A:$A="新豐1線")*('0801 4度C'!$T:$T&lt;&gt;"")),'0801 4度C'!$T:$T)</f>
        <v>0.85625000000000007</v>
      </c>
      <c r="J17" s="90">
        <f>LOOKUP(2,1/(('0801 4度C'!$A:$A="新豐10線")*('0801 4度C'!$T:$T&lt;&gt;"")),'0801 4度C'!$T:$T)</f>
        <v>0.39374999999999993</v>
      </c>
      <c r="K17" s="88">
        <f>LOOKUP(2,1/(('0801 4度C'!$A:$A="新豐8線")*('0801 4度C'!$T:$T&lt;&gt;"")),'0801 4度C'!$T:$T)</f>
        <v>0.62291666666666656</v>
      </c>
      <c r="L17" s="89">
        <f>LOOKUP(2,1/(('0801 4度C'!$A:$A="新豐9線")*('0801 4度C'!$T:$T&lt;&gt;"")),'0801 4度C'!$T:$T)</f>
        <v>0.5083333333333333</v>
      </c>
      <c r="M17" s="90">
        <f>LOOKUP(2,1/(('0801 4度C'!$A:$A="新豐4線")*('0801 4度C'!$T:$T&lt;&gt;"")),'0801 4度C'!$T:$T)</f>
        <v>0.68402777777777779</v>
      </c>
    </row>
    <row r="18" spans="2:13" ht="17.25" customHeight="1">
      <c r="B18" s="564" t="s">
        <v>194</v>
      </c>
      <c r="C18" s="94" t="s">
        <v>195</v>
      </c>
      <c r="D18" s="95">
        <f>SUMIFS('0801 4度C'!$Y:$Y,'0801 4度C'!$A:$A,"新豐6線",'0801 4度C'!$B:$B,"平均")</f>
        <v>0</v>
      </c>
      <c r="E18" s="96">
        <f>SUMIFS('0801 4度C'!$Y:$Y,'0801 4度C'!$A:$A,"新豐2線",'0801 4度C'!$B:$B,"平均")</f>
        <v>0</v>
      </c>
      <c r="F18" s="96">
        <f>SUMIFS('0801 4度C'!$Y:$Y,'0801 4度C'!$A:$A,"新豐5線",'0801 4度C'!$B:$B,"平均")</f>
        <v>0</v>
      </c>
      <c r="G18" s="96">
        <f>SUMIFS('0801 4度C'!$Y:$Y,'0801 4度C'!$A:$A,"新豐7線",'0801 4度C'!$B:$B,"平均")</f>
        <v>0</v>
      </c>
      <c r="H18" s="96">
        <f>SUMIFS('0801 4度C'!$Y:$Y,'0801 4度C'!$A:$A,"新豐3線",'0801 4度C'!$B:$B,"平均")</f>
        <v>0</v>
      </c>
      <c r="I18" s="96">
        <f>SUMIFS('0801 4度C'!$Y:$Y,'0801 4度C'!$A:$A,"新豐1線",'0801 4度C'!$B:$B,"平均")</f>
        <v>0</v>
      </c>
      <c r="J18" s="97">
        <f>SUMIFS('0801 4度C'!$Y:$Y,'0801 4度C'!$A:$A,"新豐10線",'0801 4度C'!$B:$B,"平均")</f>
        <v>0</v>
      </c>
      <c r="K18" s="98">
        <f>SUMIFS('0801 4度C'!$Y:$Y,'0801 4度C'!$A:$A,"新豐8線",'0801 4度C'!$B:$B,"平均")</f>
        <v>0</v>
      </c>
      <c r="L18" s="96">
        <f>SUMIFS('0801 4度C'!$Y:$Y,'0801 4度C'!$A:$A,"新豐9線",'0801 4度C'!$B:$B,"平均")</f>
        <v>0</v>
      </c>
      <c r="M18" s="97">
        <f>SUMIFS('0801 4度C'!$Y:$Y,'0801 4度C'!$A:$A,"新豐4線",'0801 4度C'!$B:$B,"平均")</f>
        <v>0</v>
      </c>
    </row>
    <row r="19" spans="2:13" ht="17.25" customHeight="1">
      <c r="B19" s="565"/>
      <c r="C19" s="94" t="s">
        <v>196</v>
      </c>
      <c r="D19" s="95">
        <f>SUMIFS('0801 4度C'!$Z:$Z,'0801 4度C'!$A:$A,"新豐6線",'0801 4度C'!$B:$B,"平均")</f>
        <v>0</v>
      </c>
      <c r="E19" s="96">
        <f>SUMIFS('0801 4度C'!$Z:$Z,'0801 4度C'!$A:$A,"新豐2線",'0801 4度C'!$B:$B,"平均")</f>
        <v>0</v>
      </c>
      <c r="F19" s="96">
        <f>SUMIFS('0801 4度C'!$Z:$Z,'0801 4度C'!$A:$A,"新豐5線",'0801 4度C'!$B:$B,"平均")</f>
        <v>0</v>
      </c>
      <c r="G19" s="96">
        <f>SUMIFS('0801 4度C'!$Z:$Z,'0801 4度C'!$A:$A,"新豐7線",'0801 4度C'!$B:$B,"平均")</f>
        <v>0</v>
      </c>
      <c r="H19" s="96">
        <f>SUMIFS('0801 4度C'!$Z:$Z,'0801 4度C'!$A:$A,"新豐3線",'0801 4度C'!$B:$B,"平均")</f>
        <v>0</v>
      </c>
      <c r="I19" s="96">
        <f>SUMIFS('0801 4度C'!$Z:$Z,'0801 4度C'!$A:$A,"新豐1線",'0801 4度C'!$B:$B,"平均")</f>
        <v>0</v>
      </c>
      <c r="J19" s="97">
        <f>SUMIFS('0801 4度C'!$Z:$Z,'0801 4度C'!$A:$A,"新豐10線",'0801 4度C'!$B:$B,"平均")</f>
        <v>0</v>
      </c>
      <c r="K19" s="98">
        <f>SUMIFS('0801 4度C'!$Z:$Z,'0801 4度C'!$A:$A,"新豐8線",'0801 4度C'!$B:$B,"平均")</f>
        <v>0</v>
      </c>
      <c r="L19" s="96">
        <f>SUMIFS('0801 4度C'!$Z:$Z,'0801 4度C'!$A:$A,"新豐9線",'0801 4度C'!$B:$B,"平均")</f>
        <v>0</v>
      </c>
      <c r="M19" s="97">
        <f>SUMIFS('0801 4度C'!$Z:$Z,'0801 4度C'!$A:$A,"新豐4線",'0801 4度C'!$B:$B,"平均")</f>
        <v>0</v>
      </c>
    </row>
    <row r="20" spans="2:13" ht="17.25" customHeight="1">
      <c r="B20" s="564" t="s">
        <v>197</v>
      </c>
      <c r="C20" s="94" t="s">
        <v>198</v>
      </c>
      <c r="D20" s="95">
        <f>SUMIFS('0801 4度C'!$AC:$AC,'0801 4度C'!$A:$A,"新豐6線",'0801 4度C'!$B:$B,"平均")</f>
        <v>3</v>
      </c>
      <c r="E20" s="96">
        <f>SUMIFS('0801 4度C'!$AC:$AC,'0801 4度C'!$A:$A,"新豐2線",'0801 4度C'!$B:$B,"平均")</f>
        <v>5</v>
      </c>
      <c r="F20" s="96">
        <f>SUMIFS('0801 4度C'!$AC:$AC,'0801 4度C'!$A:$A,"新豐5線",'0801 4度C'!$B:$B,"平均")</f>
        <v>7</v>
      </c>
      <c r="G20" s="96">
        <f>SUMIFS('0801 4度C'!$AC:$AC,'0801 4度C'!$A:$A,"新豐7線",'0801 4度C'!$B:$B,"平均")</f>
        <v>6</v>
      </c>
      <c r="H20" s="96">
        <f>SUMIFS('0801 4度C'!$AC:$AC,'0801 4度C'!$A:$A,"新豐3線",'0801 4度C'!$B:$B,"平均")</f>
        <v>4</v>
      </c>
      <c r="I20" s="96">
        <f>SUMIFS('0801 4度C'!$AC:$AC,'0801 4度C'!$A:$A,"新豐1線",'0801 4度C'!$B:$B,"平均")</f>
        <v>9</v>
      </c>
      <c r="J20" s="97">
        <f>SUMIFS('0801 4度C'!$AC:$AC,'0801 4度C'!$A:$A,"新豐10線",'0801 4度C'!$B:$B,"平均")</f>
        <v>4</v>
      </c>
      <c r="K20" s="98">
        <f>SUMIFS('0801 4度C'!$AC:$AC,'0801 4度C'!$A:$A,"新豐8線",'0801 4度C'!$B:$B,"平均")</f>
        <v>7</v>
      </c>
      <c r="L20" s="96">
        <f>SUMIFS('0801 4度C'!$AC:$AC,'0801 4度C'!$A:$A,"新豐9線",'0801 4度C'!$B:$B,"平均")</f>
        <v>4</v>
      </c>
      <c r="M20" s="97">
        <f>SUMIFS('0801 4度C'!$AC:$AC,'0801 4度C'!$A:$A,"新豐4線",'0801 4度C'!$B:$B,"平均")</f>
        <v>8</v>
      </c>
    </row>
    <row r="21" spans="2:13" ht="17.25" customHeight="1">
      <c r="B21" s="565"/>
      <c r="C21" s="94" t="s">
        <v>199</v>
      </c>
      <c r="D21" s="95">
        <f>SUMIFS('0801 4度C'!$AD:$AD,'0801 4度C'!$A:$A,"新豐6線",'0801 4度C'!$B:$B,"平均")</f>
        <v>0</v>
      </c>
      <c r="E21" s="96">
        <f>SUMIFS('0801 4度C'!$AD:$AD,'0801 4度C'!$A:$A,"新豐2線",'0801 4度C'!$B:$B,"平均")</f>
        <v>0</v>
      </c>
      <c r="F21" s="96">
        <f>SUMIFS('0801 4度C'!$AD:$AD,'0801 4度C'!$A:$A,"新豐5線",'0801 4度C'!$B:$B,"平均")</f>
        <v>0</v>
      </c>
      <c r="G21" s="96">
        <f>SUMIFS('0801 4度C'!$AD:$AD,'0801 4度C'!$A:$A,"新豐7線",'0801 4度C'!$B:$B,"平均")</f>
        <v>0</v>
      </c>
      <c r="H21" s="96">
        <f>SUMIFS('0801 4度C'!$AD:$AD,'0801 4度C'!$A:$A,"新豐3線",'0801 4度C'!$B:$B,"平均")</f>
        <v>0</v>
      </c>
      <c r="I21" s="96">
        <f>SUMIFS('0801 4度C'!$AD:$AD,'0801 4度C'!$A:$A,"新豐1線",'0801 4度C'!$B:$B,"平均")</f>
        <v>0</v>
      </c>
      <c r="J21" s="97">
        <f>SUMIFS('0801 4度C'!$AD:$AD,'0801 4度C'!$A:$A,"新豐10線",'0801 4度C'!$B:$B,"平均")</f>
        <v>0</v>
      </c>
      <c r="K21" s="98">
        <f>SUMIFS('0801 4度C'!$AD:$AD,'0801 4度C'!$A:$A,"新豐8線",'0801 4度C'!$B:$B,"平均")</f>
        <v>0</v>
      </c>
      <c r="L21" s="96">
        <f>SUMIFS('0801 4度C'!$AD:$AD,'0801 4度C'!$A:$A,"新豐9線",'0801 4度C'!$B:$B,"平均")</f>
        <v>0</v>
      </c>
      <c r="M21" s="97">
        <f>SUMIFS('0801 4度C'!$AD:$AD,'0801 4度C'!$A:$A,"新豐4線",'0801 4度C'!$B:$B,"平均")</f>
        <v>0</v>
      </c>
    </row>
    <row r="22" spans="2:13" ht="17.25" customHeight="1">
      <c r="B22" s="566" t="s">
        <v>200</v>
      </c>
      <c r="C22" s="567"/>
      <c r="D22" s="99">
        <f>SUMIFS('0801 4度C'!$I:$I,'0801 4度C'!$A:$A,"新豐6線",'0801 4度C'!$B:$B,"平均")</f>
        <v>15.333333333333334</v>
      </c>
      <c r="E22" s="100">
        <f>SUMIFS('0801 4度C'!$I:$I,'0801 4度C'!$A:$A,"新豐2線",'0801 4度C'!$B:$B,"平均")</f>
        <v>17.8</v>
      </c>
      <c r="F22" s="100">
        <f>SUMIFS('0801 4度C'!$I:$I,'0801 4度C'!$A:$A,"新豐5線",'0801 4度C'!$B:$B,"平均")</f>
        <v>18.428571428571427</v>
      </c>
      <c r="G22" s="100">
        <f>SUMIFS('0801 4度C'!$I:$I,'0801 4度C'!$A:$A,"新豐7線",'0801 4度C'!$B:$B,"平均")</f>
        <v>15.666666666666666</v>
      </c>
      <c r="H22" s="100">
        <f>SUMIFS('0801 4度C'!$I:$I,'0801 4度C'!$A:$A,"新豐3線",'0801 4度C'!$B:$B,"平均")</f>
        <v>9.25</v>
      </c>
      <c r="I22" s="100">
        <f>SUMIFS('0801 4度C'!$I:$I,'0801 4度C'!$A:$A,"新豐1線",'0801 4度C'!$B:$B,"平均")</f>
        <v>17.777777777777779</v>
      </c>
      <c r="J22" s="101">
        <f>SUMIFS('0801 4度C'!$I:$I,'0801 4度C'!$A:$A,"新豐10線",'0801 4度C'!$B:$B,"平均")</f>
        <v>10.25</v>
      </c>
      <c r="K22" s="99">
        <f>SUMIFS('0801 4度C'!$I:$I,'0801 4度C'!$A:$A,"新豐8線",'0801 4度C'!$B:$B,"平均")</f>
        <v>17.428571428571427</v>
      </c>
      <c r="L22" s="100">
        <f>SUMIFS('0801 4度C'!$I:$I,'0801 4度C'!$A:$A,"新豐9線",'0801 4度C'!$B:$B,"平均")</f>
        <v>17.75</v>
      </c>
      <c r="M22" s="101">
        <f>SUMIFS('0801 4度C'!$I:$I,'0801 4度C'!$A:$A,"新豐4線",'0801 4度C'!$B:$B,"平均")</f>
        <v>15.75</v>
      </c>
    </row>
    <row r="23" spans="2:13" ht="17.25" customHeight="1">
      <c r="B23" s="566" t="s">
        <v>201</v>
      </c>
      <c r="C23" s="567"/>
      <c r="D23" s="102" t="s">
        <v>202</v>
      </c>
      <c r="E23" s="103" t="s">
        <v>203</v>
      </c>
      <c r="F23" s="103" t="s">
        <v>204</v>
      </c>
      <c r="G23" s="103" t="s">
        <v>204</v>
      </c>
      <c r="H23" s="103" t="s">
        <v>205</v>
      </c>
      <c r="I23" s="103" t="s">
        <v>202</v>
      </c>
      <c r="J23" s="104" t="s">
        <v>205</v>
      </c>
      <c r="K23" s="102" t="s">
        <v>206</v>
      </c>
      <c r="L23" s="103" t="s">
        <v>206</v>
      </c>
      <c r="M23" s="104" t="s">
        <v>207</v>
      </c>
    </row>
    <row r="24" spans="2:13" ht="17.25" customHeight="1">
      <c r="B24" s="566" t="s">
        <v>208</v>
      </c>
      <c r="C24" s="567"/>
      <c r="D24" s="102"/>
      <c r="E24" s="103"/>
      <c r="F24" s="103" t="s">
        <v>209</v>
      </c>
      <c r="G24" s="103" t="s">
        <v>202</v>
      </c>
      <c r="H24" s="103"/>
      <c r="I24" s="103"/>
      <c r="J24" s="104"/>
      <c r="K24" s="102"/>
      <c r="L24" s="103"/>
      <c r="M24" s="104"/>
    </row>
    <row r="25" spans="2:13" ht="17.25" customHeight="1" thickBot="1">
      <c r="B25" s="568" t="s">
        <v>210</v>
      </c>
      <c r="C25" s="569"/>
      <c r="D25" s="105"/>
      <c r="E25" s="106" t="s">
        <v>211</v>
      </c>
      <c r="F25" s="562" t="s">
        <v>212</v>
      </c>
      <c r="G25" s="563"/>
      <c r="H25" s="106" t="s">
        <v>213</v>
      </c>
      <c r="I25" s="106" t="s">
        <v>214</v>
      </c>
      <c r="J25" s="107" t="s">
        <v>213</v>
      </c>
      <c r="K25" s="108"/>
      <c r="L25" s="106"/>
      <c r="M25" s="107"/>
    </row>
    <row r="26" spans="2:13" ht="17.25" customHeight="1"/>
    <row r="27" spans="2:13" ht="17.25" customHeight="1"/>
    <row r="28" spans="2:13" ht="17.25" customHeight="1"/>
    <row r="29" spans="2:13" ht="37.5" customHeight="1"/>
    <row r="30" spans="2:13" ht="35.25" customHeight="1"/>
    <row r="31" spans="2:13" ht="35.25" customHeight="1"/>
    <row r="32" spans="2:13" ht="39.75" customHeight="1"/>
  </sheetData>
  <mergeCells count="44">
    <mergeCell ref="F25:G25"/>
    <mergeCell ref="B18:B19"/>
    <mergeCell ref="B20:B21"/>
    <mergeCell ref="B22:C22"/>
    <mergeCell ref="B23:C23"/>
    <mergeCell ref="B24:C24"/>
    <mergeCell ref="B25:C25"/>
    <mergeCell ref="B10:C10"/>
    <mergeCell ref="D10:J10"/>
    <mergeCell ref="K10:M10"/>
    <mergeCell ref="B11:C12"/>
    <mergeCell ref="B13:B15"/>
    <mergeCell ref="B16:B17"/>
    <mergeCell ref="N6:N8"/>
    <mergeCell ref="C7:D7"/>
    <mergeCell ref="E7:F7"/>
    <mergeCell ref="G7:H7"/>
    <mergeCell ref="I7:J7"/>
    <mergeCell ref="C8:D8"/>
    <mergeCell ref="E8:F8"/>
    <mergeCell ref="G8:H8"/>
    <mergeCell ref="I8:J8"/>
    <mergeCell ref="E6:F6"/>
    <mergeCell ref="G6:H6"/>
    <mergeCell ref="I6:J6"/>
    <mergeCell ref="K6:K8"/>
    <mergeCell ref="L6:L8"/>
    <mergeCell ref="M6:M8"/>
    <mergeCell ref="K4:L4"/>
    <mergeCell ref="M4:N4"/>
    <mergeCell ref="C5:D5"/>
    <mergeCell ref="E5:F5"/>
    <mergeCell ref="G5:H5"/>
    <mergeCell ref="I5:J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3" type="noConversion"/>
  <conditionalFormatting sqref="D15:M15">
    <cfRule type="cellIs" dxfId="147" priority="1" operator="lessThan">
      <formula>0.8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pageSetUpPr fitToPage="1"/>
  </sheetPr>
  <dimension ref="A1:AG72"/>
  <sheetViews>
    <sheetView topLeftCell="F1" zoomScale="80" zoomScaleNormal="80" workbookViewId="0">
      <pane ySplit="4" topLeftCell="A32" activePane="bottomLeft" state="frozen"/>
      <selection activeCell="J38" sqref="J38"/>
      <selection pane="bottomLeft" activeCell="U69" sqref="U69"/>
    </sheetView>
  </sheetViews>
  <sheetFormatPr defaultColWidth="8" defaultRowHeight="15.75"/>
  <cols>
    <col min="1" max="1" width="15.125" style="9" customWidth="1"/>
    <col min="2" max="2" width="19.375" style="9" customWidth="1"/>
    <col min="3" max="3" width="15.25" style="9" customWidth="1"/>
    <col min="4" max="4" width="17.5" style="9" customWidth="1"/>
    <col min="5" max="5" width="7.5" style="9" customWidth="1"/>
    <col min="6" max="7" width="14.375" style="9" customWidth="1"/>
    <col min="8" max="8" width="8" style="9" customWidth="1"/>
    <col min="9" max="9" width="5.875" style="9" customWidth="1"/>
    <col min="10" max="10" width="10.625" style="9" customWidth="1"/>
    <col min="11" max="11" width="14.625" style="9" customWidth="1"/>
    <col min="12" max="12" width="7.25" style="9" customWidth="1"/>
    <col min="13" max="13" width="8" style="9" customWidth="1"/>
    <col min="14" max="14" width="12" style="9" customWidth="1"/>
    <col min="15" max="15" width="6" style="9" customWidth="1"/>
    <col min="16" max="16" width="9.25" style="9" customWidth="1"/>
    <col min="17" max="17" width="11.5" style="9" customWidth="1"/>
    <col min="18" max="18" width="8.5" style="9" customWidth="1"/>
    <col min="19" max="19" width="10.125" style="41" customWidth="1"/>
    <col min="20" max="20" width="7.625" style="41" customWidth="1"/>
    <col min="21" max="21" width="10.25" style="9" customWidth="1"/>
    <col min="22" max="22" width="8.75" style="34" customWidth="1"/>
    <col min="23" max="23" width="7.375" style="9" customWidth="1"/>
    <col min="24" max="24" width="6.875" style="9" customWidth="1"/>
    <col min="25" max="26" width="8.75" style="9" customWidth="1"/>
    <col min="27" max="27" width="12.75" style="9" customWidth="1"/>
    <col min="28" max="28" width="18.875" style="9" customWidth="1"/>
    <col min="29" max="30" width="15.125" style="9" customWidth="1"/>
    <col min="31" max="31" width="13.125" style="9" bestFit="1" customWidth="1"/>
    <col min="32" max="32" width="10.375" style="9" customWidth="1"/>
    <col min="33" max="33" width="9.375" style="9" customWidth="1"/>
    <col min="34" max="34" width="8" style="9"/>
    <col min="35" max="35" width="24.625" style="9" bestFit="1" customWidth="1"/>
    <col min="36" max="16384" width="8" style="9"/>
  </cols>
  <sheetData>
    <row r="1" spans="1:33" ht="36.75" customHeight="1">
      <c r="A1" s="1" t="s">
        <v>0</v>
      </c>
      <c r="B1" s="1"/>
      <c r="C1" s="2" t="s">
        <v>1</v>
      </c>
      <c r="D1" s="3">
        <f>SUM(F5:F71)</f>
        <v>162409</v>
      </c>
      <c r="E1" s="4" t="s">
        <v>2</v>
      </c>
      <c r="F1" s="1">
        <f>SUM(G5:G71)</f>
        <v>5699318.379999998</v>
      </c>
      <c r="G1" s="1" t="s">
        <v>3</v>
      </c>
      <c r="H1" s="5">
        <f>L8+L14+L47+L57+L22+L62+L37+L42+L29+L71</f>
        <v>155.43492063492064</v>
      </c>
      <c r="I1" s="676" t="s">
        <v>4</v>
      </c>
      <c r="J1" s="676"/>
      <c r="K1" s="676"/>
      <c r="L1" s="676" t="s">
        <v>5</v>
      </c>
      <c r="M1" s="676"/>
      <c r="N1" s="676"/>
      <c r="O1" s="676" t="s">
        <v>6</v>
      </c>
      <c r="P1" s="676"/>
      <c r="Q1" s="676"/>
      <c r="R1" s="676"/>
      <c r="S1" s="676" t="s">
        <v>7</v>
      </c>
      <c r="T1" s="676"/>
      <c r="U1" s="676"/>
      <c r="V1" s="676"/>
      <c r="W1" s="676"/>
      <c r="X1" s="676"/>
      <c r="Y1" s="6" t="s">
        <v>8</v>
      </c>
      <c r="Z1" s="7" t="s">
        <v>9</v>
      </c>
      <c r="AA1" s="677" t="s">
        <v>10</v>
      </c>
      <c r="AB1" s="677"/>
      <c r="AC1" s="8" t="s">
        <v>8</v>
      </c>
      <c r="AD1" s="7" t="s">
        <v>11</v>
      </c>
      <c r="AE1" s="676" t="s">
        <v>12</v>
      </c>
      <c r="AF1" s="678"/>
      <c r="AG1" s="678"/>
    </row>
    <row r="2" spans="1:33" ht="26.25" customHeight="1">
      <c r="A2" s="35">
        <v>46235</v>
      </c>
      <c r="B2" s="36" t="s">
        <v>90</v>
      </c>
      <c r="C2" s="2" t="s">
        <v>13</v>
      </c>
      <c r="D2" s="10">
        <f>AVERAGE(N8,N14,N47,N57,N22,N62,N29,N37,N42,N71)</f>
        <v>151.386534661615</v>
      </c>
      <c r="E2" s="11" t="s">
        <v>14</v>
      </c>
      <c r="F2" s="12">
        <f>F1/D1</f>
        <v>35.092380225233811</v>
      </c>
      <c r="G2" s="1" t="s">
        <v>15</v>
      </c>
      <c r="H2" s="13">
        <f>COUNT(H5:H71)</f>
        <v>4</v>
      </c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14">
        <f>SUM(Y8+Y14+Y22+Y29+Y37+Y42+Y47+Y57+Y62+Y71)</f>
        <v>0</v>
      </c>
      <c r="Z2" s="14">
        <f>SUM(Z8+Z14+Z22+Z29+Z37+Z42+Z47+Z57+Z62+Z71)</f>
        <v>0</v>
      </c>
      <c r="AA2" s="677"/>
      <c r="AB2" s="677"/>
      <c r="AC2" s="14">
        <v>57</v>
      </c>
      <c r="AD2" s="14">
        <f>SUM(AD8+AD14+AD22+AD29+AD37+AD42+AD47+AD57+AD62+AD71)</f>
        <v>0</v>
      </c>
      <c r="AE2" s="678"/>
      <c r="AF2" s="678"/>
      <c r="AG2" s="678"/>
    </row>
    <row r="3" spans="1:33" ht="40.5" customHeight="1">
      <c r="A3" s="632" t="s">
        <v>16</v>
      </c>
      <c r="B3" s="632" t="s">
        <v>17</v>
      </c>
      <c r="C3" s="632" t="s">
        <v>18</v>
      </c>
      <c r="D3" s="632"/>
      <c r="E3" s="674" t="s">
        <v>19</v>
      </c>
      <c r="F3" s="632" t="s">
        <v>20</v>
      </c>
      <c r="G3" s="674" t="s">
        <v>21</v>
      </c>
      <c r="H3" s="667" t="s">
        <v>22</v>
      </c>
      <c r="I3" s="665" t="s">
        <v>23</v>
      </c>
      <c r="J3" s="662" t="s">
        <v>24</v>
      </c>
      <c r="K3" s="672" t="s">
        <v>13</v>
      </c>
      <c r="L3" s="665" t="s">
        <v>25</v>
      </c>
      <c r="M3" s="662" t="s">
        <v>24</v>
      </c>
      <c r="N3" s="672" t="s">
        <v>26</v>
      </c>
      <c r="O3" s="665" t="s">
        <v>25</v>
      </c>
      <c r="P3" s="672" t="s">
        <v>13</v>
      </c>
      <c r="Q3" s="663" t="s">
        <v>27</v>
      </c>
      <c r="R3" s="641" t="s">
        <v>28</v>
      </c>
      <c r="S3" s="673" t="s">
        <v>29</v>
      </c>
      <c r="T3" s="673"/>
      <c r="U3" s="667" t="s">
        <v>30</v>
      </c>
      <c r="V3" s="667" t="s">
        <v>31</v>
      </c>
      <c r="W3" s="632" t="s">
        <v>32</v>
      </c>
      <c r="X3" s="632"/>
      <c r="Y3" s="668" t="s">
        <v>33</v>
      </c>
      <c r="Z3" s="631"/>
      <c r="AA3" s="669" t="s">
        <v>34</v>
      </c>
      <c r="AB3" s="670"/>
      <c r="AC3" s="668" t="s">
        <v>35</v>
      </c>
      <c r="AD3" s="631"/>
      <c r="AE3" s="662" t="s">
        <v>36</v>
      </c>
      <c r="AF3" s="663" t="s">
        <v>37</v>
      </c>
      <c r="AG3" s="641" t="s">
        <v>38</v>
      </c>
    </row>
    <row r="4" spans="1:33" ht="15.75" customHeight="1">
      <c r="A4" s="632"/>
      <c r="B4" s="632"/>
      <c r="C4" s="632"/>
      <c r="D4" s="632"/>
      <c r="E4" s="675"/>
      <c r="F4" s="632"/>
      <c r="G4" s="675"/>
      <c r="H4" s="667"/>
      <c r="I4" s="665"/>
      <c r="J4" s="662"/>
      <c r="K4" s="672"/>
      <c r="L4" s="665"/>
      <c r="M4" s="662"/>
      <c r="N4" s="672"/>
      <c r="O4" s="665"/>
      <c r="P4" s="672"/>
      <c r="Q4" s="663"/>
      <c r="R4" s="641"/>
      <c r="S4" s="38" t="s">
        <v>39</v>
      </c>
      <c r="T4" s="38" t="s">
        <v>40</v>
      </c>
      <c r="U4" s="667"/>
      <c r="V4" s="667"/>
      <c r="W4" s="4" t="s">
        <v>41</v>
      </c>
      <c r="X4" s="4" t="s">
        <v>42</v>
      </c>
      <c r="Y4" s="15" t="s">
        <v>43</v>
      </c>
      <c r="Z4" s="15" t="s">
        <v>44</v>
      </c>
      <c r="AA4" s="671"/>
      <c r="AB4" s="670"/>
      <c r="AC4" s="15" t="s">
        <v>45</v>
      </c>
      <c r="AD4" s="15" t="s">
        <v>46</v>
      </c>
      <c r="AE4" s="662"/>
      <c r="AF4" s="663"/>
      <c r="AG4" s="641"/>
    </row>
    <row r="5" spans="1:33">
      <c r="A5" s="664" t="s">
        <v>47</v>
      </c>
      <c r="B5" s="42" t="s">
        <v>92</v>
      </c>
      <c r="C5" s="666" t="s">
        <v>93</v>
      </c>
      <c r="D5" s="666"/>
      <c r="E5" s="42">
        <v>50.92</v>
      </c>
      <c r="F5" s="38">
        <v>2223</v>
      </c>
      <c r="G5" s="4">
        <f t="shared" ref="G5:G7" si="0">E5*F5</f>
        <v>113195.16</v>
      </c>
      <c r="H5" s="37" t="s">
        <v>91</v>
      </c>
      <c r="I5" s="16">
        <v>15</v>
      </c>
      <c r="J5" s="39">
        <v>2000</v>
      </c>
      <c r="K5" s="17">
        <f t="shared" ref="K5:K28" si="1">J5/I5</f>
        <v>133.33333333333334</v>
      </c>
      <c r="L5" s="16">
        <v>15</v>
      </c>
      <c r="M5" s="18">
        <f t="shared" ref="M5:M7" si="2">F5/V5*60</f>
        <v>1905.4285714285695</v>
      </c>
      <c r="N5" s="17">
        <f t="shared" ref="N5:N28" si="3">M5/L5</f>
        <v>127.0285714285713</v>
      </c>
      <c r="O5" s="19">
        <f t="shared" ref="O5:O28" si="4">L5-I5</f>
        <v>0</v>
      </c>
      <c r="P5" s="20">
        <f t="shared" ref="P5:P28" si="5">N5-K5</f>
        <v>-6.3047619047620458</v>
      </c>
      <c r="Q5" s="21">
        <f t="shared" ref="Q5:Q28" si="6">N5/K5</f>
        <v>0.95271428571428463</v>
      </c>
      <c r="R5" s="637">
        <f>Q8</f>
        <v>0.95564654594231968</v>
      </c>
      <c r="S5" s="40">
        <v>0.70833333333333337</v>
      </c>
      <c r="T5" s="40">
        <v>0.75694444444444453</v>
      </c>
      <c r="U5" s="4"/>
      <c r="V5" s="22">
        <f t="shared" ref="V5:V7" si="7">(T5-S5)*24*60</f>
        <v>70.000000000000071</v>
      </c>
      <c r="W5" s="23"/>
      <c r="X5" s="23"/>
      <c r="Y5" s="24"/>
      <c r="Z5" s="24"/>
      <c r="AA5" s="632"/>
      <c r="AB5" s="632"/>
      <c r="AC5" s="25">
        <v>3</v>
      </c>
      <c r="AD5" s="25"/>
      <c r="AE5" s="19">
        <f t="shared" ref="AE5:AE28" si="8">M5-J5</f>
        <v>-94.571428571430488</v>
      </c>
      <c r="AF5" s="21">
        <f t="shared" ref="AF5:AF28" si="9">M5/J5</f>
        <v>0.95271428571428474</v>
      </c>
      <c r="AG5" s="637">
        <f>AF8</f>
        <v>0.95564654594231979</v>
      </c>
    </row>
    <row r="6" spans="1:33">
      <c r="A6" s="665" t="s">
        <v>48</v>
      </c>
      <c r="B6" s="42" t="s">
        <v>92</v>
      </c>
      <c r="C6" s="666" t="s">
        <v>94</v>
      </c>
      <c r="D6" s="666"/>
      <c r="E6" s="42">
        <v>50.98</v>
      </c>
      <c r="F6" s="38">
        <v>2282</v>
      </c>
      <c r="G6" s="4">
        <f t="shared" si="0"/>
        <v>116336.35999999999</v>
      </c>
      <c r="H6" s="37" t="s">
        <v>91</v>
      </c>
      <c r="I6" s="16">
        <v>16</v>
      </c>
      <c r="J6" s="39">
        <v>2000</v>
      </c>
      <c r="K6" s="17">
        <f t="shared" si="1"/>
        <v>125</v>
      </c>
      <c r="L6" s="16">
        <v>16</v>
      </c>
      <c r="M6" s="18">
        <f t="shared" si="2"/>
        <v>1928.4507042253499</v>
      </c>
      <c r="N6" s="17">
        <f t="shared" si="3"/>
        <v>120.52816901408437</v>
      </c>
      <c r="O6" s="19">
        <f t="shared" si="4"/>
        <v>0</v>
      </c>
      <c r="P6" s="20">
        <f t="shared" si="5"/>
        <v>-4.4718309859156307</v>
      </c>
      <c r="Q6" s="21">
        <f t="shared" si="6"/>
        <v>0.9642253521126749</v>
      </c>
      <c r="R6" s="637"/>
      <c r="S6" s="40">
        <v>0.76111111111111118</v>
      </c>
      <c r="T6" s="40">
        <v>0.81041666666666679</v>
      </c>
      <c r="U6" s="4">
        <f t="shared" ref="U6:U7" si="10">IF(S6=TIME(17,0,0),"",(S6-T5)*24*60)</f>
        <v>5.9999999999999787</v>
      </c>
      <c r="V6" s="22">
        <f t="shared" si="7"/>
        <v>71.000000000000071</v>
      </c>
      <c r="W6" s="23"/>
      <c r="X6" s="23"/>
      <c r="Y6" s="23"/>
      <c r="Z6" s="23"/>
      <c r="AA6" s="632"/>
      <c r="AB6" s="632"/>
      <c r="AC6" s="25"/>
      <c r="AD6" s="25"/>
      <c r="AE6" s="19">
        <f t="shared" si="8"/>
        <v>-71.549295774650091</v>
      </c>
      <c r="AF6" s="21">
        <f t="shared" si="9"/>
        <v>0.9642253521126749</v>
      </c>
      <c r="AG6" s="637"/>
    </row>
    <row r="7" spans="1:33">
      <c r="A7" s="665" t="s">
        <v>48</v>
      </c>
      <c r="B7" s="42" t="s">
        <v>92</v>
      </c>
      <c r="C7" s="660" t="s">
        <v>95</v>
      </c>
      <c r="D7" s="661"/>
      <c r="E7" s="42">
        <v>50.67</v>
      </c>
      <c r="F7" s="38">
        <v>1330</v>
      </c>
      <c r="G7" s="4">
        <f t="shared" si="0"/>
        <v>67391.100000000006</v>
      </c>
      <c r="H7" s="37" t="s">
        <v>91</v>
      </c>
      <c r="I7" s="16">
        <v>15</v>
      </c>
      <c r="J7" s="39">
        <v>2000</v>
      </c>
      <c r="K7" s="17">
        <f t="shared" si="1"/>
        <v>133.33333333333334</v>
      </c>
      <c r="L7" s="16">
        <v>15</v>
      </c>
      <c r="M7" s="18">
        <f t="shared" si="2"/>
        <v>1899.9999999999995</v>
      </c>
      <c r="N7" s="17">
        <f t="shared" si="3"/>
        <v>126.66666666666664</v>
      </c>
      <c r="O7" s="19">
        <f t="shared" si="4"/>
        <v>0</v>
      </c>
      <c r="P7" s="20">
        <f t="shared" si="5"/>
        <v>-6.6666666666666998</v>
      </c>
      <c r="Q7" s="21">
        <f t="shared" si="6"/>
        <v>0.94999999999999973</v>
      </c>
      <c r="R7" s="637"/>
      <c r="S7" s="40">
        <v>0.81458333333333344</v>
      </c>
      <c r="T7" s="40">
        <v>0.84375000000000011</v>
      </c>
      <c r="U7" s="4">
        <f t="shared" si="10"/>
        <v>5.9999999999999787</v>
      </c>
      <c r="V7" s="22">
        <f t="shared" si="7"/>
        <v>42.000000000000014</v>
      </c>
      <c r="W7" s="23"/>
      <c r="X7" s="23"/>
      <c r="Y7" s="26"/>
      <c r="Z7" s="26"/>
      <c r="AA7" s="627"/>
      <c r="AB7" s="628"/>
      <c r="AC7" s="27"/>
      <c r="AD7" s="27"/>
      <c r="AE7" s="19">
        <f t="shared" si="8"/>
        <v>-100.00000000000045</v>
      </c>
      <c r="AF7" s="21">
        <f t="shared" si="9"/>
        <v>0.94999999999999973</v>
      </c>
      <c r="AG7" s="637"/>
    </row>
    <row r="8" spans="1:33">
      <c r="A8" s="665" t="s">
        <v>48</v>
      </c>
      <c r="B8" s="42" t="s">
        <v>49</v>
      </c>
      <c r="C8" s="638"/>
      <c r="D8" s="638"/>
      <c r="E8" s="43"/>
      <c r="F8" s="44"/>
      <c r="G8" s="17"/>
      <c r="H8" s="38"/>
      <c r="I8" s="29">
        <v>15.333333333333334</v>
      </c>
      <c r="J8" s="39">
        <v>2000</v>
      </c>
      <c r="K8" s="17">
        <f t="shared" si="1"/>
        <v>130.43478260869566</v>
      </c>
      <c r="L8" s="29">
        <v>15.333333333333334</v>
      </c>
      <c r="M8" s="18">
        <f>AVERAGE(M5:M7)</f>
        <v>1911.2930918846396</v>
      </c>
      <c r="N8" s="17">
        <f t="shared" si="3"/>
        <v>124.64954947073736</v>
      </c>
      <c r="O8" s="19">
        <f t="shared" si="4"/>
        <v>0</v>
      </c>
      <c r="P8" s="20">
        <f t="shared" si="5"/>
        <v>-5.7852331379583006</v>
      </c>
      <c r="Q8" s="21">
        <f t="shared" si="6"/>
        <v>0.95564654594231968</v>
      </c>
      <c r="R8" s="637"/>
      <c r="S8" s="40"/>
      <c r="T8" s="40"/>
      <c r="U8" s="4"/>
      <c r="V8" s="22"/>
      <c r="W8" s="17"/>
      <c r="X8" s="17"/>
      <c r="Y8" s="30">
        <f>SUM(Y5:Y7)</f>
        <v>0</v>
      </c>
      <c r="Z8" s="30">
        <f>SUM(Z5:Z7)</f>
        <v>0</v>
      </c>
      <c r="AA8" s="631"/>
      <c r="AB8" s="631"/>
      <c r="AC8" s="30">
        <v>3</v>
      </c>
      <c r="AD8" s="30">
        <v>0</v>
      </c>
      <c r="AE8" s="19">
        <f t="shared" si="8"/>
        <v>-88.70690811536042</v>
      </c>
      <c r="AF8" s="21">
        <f t="shared" si="9"/>
        <v>0.95564654594231979</v>
      </c>
      <c r="AG8" s="637"/>
    </row>
    <row r="9" spans="1:33" ht="15.75" customHeight="1">
      <c r="A9" s="659" t="s">
        <v>50</v>
      </c>
      <c r="B9" s="42" t="s">
        <v>96</v>
      </c>
      <c r="C9" s="660" t="s">
        <v>97</v>
      </c>
      <c r="D9" s="661"/>
      <c r="E9" s="42">
        <v>39.799999999999997</v>
      </c>
      <c r="F9" s="38">
        <v>6002</v>
      </c>
      <c r="G9" s="4">
        <f t="shared" ref="G9:G13" si="11">E9*F9</f>
        <v>238879.59999999998</v>
      </c>
      <c r="H9" s="37" t="s">
        <v>91</v>
      </c>
      <c r="I9" s="16">
        <v>17</v>
      </c>
      <c r="J9" s="39">
        <v>1500</v>
      </c>
      <c r="K9" s="17">
        <f t="shared" si="1"/>
        <v>88.235294117647058</v>
      </c>
      <c r="L9" s="16">
        <v>17</v>
      </c>
      <c r="M9" s="18">
        <f t="shared" ref="M9:M13" si="12">F9/V9*60</f>
        <v>1429.0476190476188</v>
      </c>
      <c r="N9" s="17">
        <f t="shared" si="3"/>
        <v>84.061624649859937</v>
      </c>
      <c r="O9" s="19">
        <f t="shared" si="4"/>
        <v>0</v>
      </c>
      <c r="P9" s="20">
        <f t="shared" si="5"/>
        <v>-4.1736694677871213</v>
      </c>
      <c r="Q9" s="21">
        <f t="shared" si="6"/>
        <v>0.9526984126984126</v>
      </c>
      <c r="R9" s="637">
        <f>Q14</f>
        <v>0.95753597084895836</v>
      </c>
      <c r="S9" s="40">
        <v>8.3333333333333329E-2</v>
      </c>
      <c r="T9" s="40">
        <v>0.25833333333333336</v>
      </c>
      <c r="U9" s="4"/>
      <c r="V9" s="22">
        <f t="shared" ref="V9:V13" si="13">(T9-S9)*24*60</f>
        <v>252.00000000000006</v>
      </c>
      <c r="W9" s="23">
        <f>T9</f>
        <v>0.25833333333333336</v>
      </c>
      <c r="X9" s="23">
        <f>S10</f>
        <v>0.27777777777777779</v>
      </c>
      <c r="Y9" s="23"/>
      <c r="Z9" s="23"/>
      <c r="AA9" s="632"/>
      <c r="AB9" s="632"/>
      <c r="AC9" s="25">
        <v>5</v>
      </c>
      <c r="AD9" s="25"/>
      <c r="AE9" s="19">
        <f t="shared" si="8"/>
        <v>-70.952380952381191</v>
      </c>
      <c r="AF9" s="21">
        <f t="shared" si="9"/>
        <v>0.95269841269841249</v>
      </c>
      <c r="AG9" s="637">
        <f>AF14</f>
        <v>0.95753597084895847</v>
      </c>
    </row>
    <row r="10" spans="1:33" ht="15.75" customHeight="1">
      <c r="A10" s="659" t="s">
        <v>51</v>
      </c>
      <c r="B10" s="42" t="s">
        <v>96</v>
      </c>
      <c r="C10" s="660" t="s">
        <v>98</v>
      </c>
      <c r="D10" s="661"/>
      <c r="E10" s="42">
        <v>39.46</v>
      </c>
      <c r="F10" s="38">
        <v>2427</v>
      </c>
      <c r="G10" s="4">
        <f t="shared" si="11"/>
        <v>95769.42</v>
      </c>
      <c r="H10" s="37" t="s">
        <v>91</v>
      </c>
      <c r="I10" s="16">
        <v>15</v>
      </c>
      <c r="J10" s="39">
        <v>1500</v>
      </c>
      <c r="K10" s="17">
        <f t="shared" si="1"/>
        <v>100</v>
      </c>
      <c r="L10" s="16">
        <v>15</v>
      </c>
      <c r="M10" s="18">
        <f t="shared" si="12"/>
        <v>1441.7821782178225</v>
      </c>
      <c r="N10" s="17">
        <f t="shared" si="3"/>
        <v>96.118811881188165</v>
      </c>
      <c r="O10" s="19">
        <f t="shared" si="4"/>
        <v>0</v>
      </c>
      <c r="P10" s="20">
        <f t="shared" si="5"/>
        <v>-3.8811881188118349</v>
      </c>
      <c r="Q10" s="21">
        <f t="shared" si="6"/>
        <v>0.9611881188118816</v>
      </c>
      <c r="R10" s="637"/>
      <c r="S10" s="40">
        <v>0.27777777777777779</v>
      </c>
      <c r="T10" s="40">
        <v>0.34791666666666665</v>
      </c>
      <c r="U10" s="4">
        <f t="shared" ref="U10:U13" si="14">IF(S10=TIME(17,0,0),"",(S10-T9)*24*60)</f>
        <v>27.999999999999979</v>
      </c>
      <c r="V10" s="22">
        <f t="shared" si="13"/>
        <v>100.99999999999996</v>
      </c>
      <c r="W10" s="23"/>
      <c r="X10" s="23"/>
      <c r="Y10" s="23"/>
      <c r="Z10" s="23"/>
      <c r="AA10" s="632"/>
      <c r="AB10" s="632"/>
      <c r="AC10" s="25"/>
      <c r="AD10" s="25"/>
      <c r="AE10" s="19">
        <f t="shared" si="8"/>
        <v>-58.217821782177452</v>
      </c>
      <c r="AF10" s="21">
        <f t="shared" si="9"/>
        <v>0.96118811881188171</v>
      </c>
      <c r="AG10" s="637"/>
    </row>
    <row r="11" spans="1:33" ht="15.75" customHeight="1">
      <c r="A11" s="659" t="s">
        <v>51</v>
      </c>
      <c r="B11" s="42" t="s">
        <v>96</v>
      </c>
      <c r="C11" s="660" t="s">
        <v>99</v>
      </c>
      <c r="D11" s="661"/>
      <c r="E11" s="42">
        <v>39.520000000000003</v>
      </c>
      <c r="F11" s="38">
        <v>2036</v>
      </c>
      <c r="G11" s="4">
        <f t="shared" si="11"/>
        <v>80462.720000000001</v>
      </c>
      <c r="H11" s="37" t="s">
        <v>91</v>
      </c>
      <c r="I11" s="16">
        <v>19</v>
      </c>
      <c r="J11" s="39">
        <v>1500</v>
      </c>
      <c r="K11" s="17">
        <f t="shared" si="1"/>
        <v>78.94736842105263</v>
      </c>
      <c r="L11" s="16">
        <v>19</v>
      </c>
      <c r="M11" s="18">
        <f t="shared" si="12"/>
        <v>1437.1764705882351</v>
      </c>
      <c r="N11" s="17">
        <f t="shared" si="3"/>
        <v>75.640866873065008</v>
      </c>
      <c r="O11" s="19">
        <f t="shared" si="4"/>
        <v>0</v>
      </c>
      <c r="P11" s="20">
        <f t="shared" si="5"/>
        <v>-3.3065015479876223</v>
      </c>
      <c r="Q11" s="21">
        <f t="shared" si="6"/>
        <v>0.95811764705882341</v>
      </c>
      <c r="R11" s="637"/>
      <c r="S11" s="40">
        <v>0.35347222222222219</v>
      </c>
      <c r="T11" s="40">
        <v>0.41249999999999998</v>
      </c>
      <c r="U11" s="4">
        <f t="shared" si="14"/>
        <v>7.9999999999999716</v>
      </c>
      <c r="V11" s="22">
        <f t="shared" si="13"/>
        <v>85.000000000000014</v>
      </c>
      <c r="W11" s="23"/>
      <c r="X11" s="23"/>
      <c r="Y11" s="23"/>
      <c r="Z11" s="23"/>
      <c r="AA11" s="632"/>
      <c r="AB11" s="632"/>
      <c r="AC11" s="25"/>
      <c r="AD11" s="25"/>
      <c r="AE11" s="19">
        <f t="shared" si="8"/>
        <v>-62.823529411764866</v>
      </c>
      <c r="AF11" s="21">
        <f t="shared" si="9"/>
        <v>0.95811764705882341</v>
      </c>
      <c r="AG11" s="637"/>
    </row>
    <row r="12" spans="1:33" ht="15.75" customHeight="1">
      <c r="A12" s="659" t="s">
        <v>51</v>
      </c>
      <c r="B12" s="42" t="s">
        <v>96</v>
      </c>
      <c r="C12" s="660" t="s">
        <v>100</v>
      </c>
      <c r="D12" s="661"/>
      <c r="E12" s="42">
        <v>39.619999999999997</v>
      </c>
      <c r="F12" s="38">
        <v>2400</v>
      </c>
      <c r="G12" s="4">
        <f t="shared" si="11"/>
        <v>95088</v>
      </c>
      <c r="H12" s="37">
        <v>2</v>
      </c>
      <c r="I12" s="16">
        <v>19</v>
      </c>
      <c r="J12" s="39">
        <v>1500</v>
      </c>
      <c r="K12" s="17">
        <f t="shared" si="1"/>
        <v>78.94736842105263</v>
      </c>
      <c r="L12" s="16">
        <v>19</v>
      </c>
      <c r="M12" s="18">
        <f t="shared" si="12"/>
        <v>1440.0000000000005</v>
      </c>
      <c r="N12" s="17">
        <f t="shared" si="3"/>
        <v>75.789473684210549</v>
      </c>
      <c r="O12" s="19">
        <f t="shared" si="4"/>
        <v>0</v>
      </c>
      <c r="P12" s="20">
        <f t="shared" si="5"/>
        <v>-3.1578947368420813</v>
      </c>
      <c r="Q12" s="21">
        <f t="shared" si="6"/>
        <v>0.9600000000000003</v>
      </c>
      <c r="R12" s="637"/>
      <c r="S12" s="40">
        <v>0.41805555555555551</v>
      </c>
      <c r="T12" s="40">
        <v>0.48749999999999993</v>
      </c>
      <c r="U12" s="4">
        <f t="shared" si="14"/>
        <v>7.9999999999999716</v>
      </c>
      <c r="V12" s="22">
        <f t="shared" si="13"/>
        <v>99.999999999999972</v>
      </c>
      <c r="W12" s="23">
        <f>T12</f>
        <v>0.48749999999999993</v>
      </c>
      <c r="X12" s="23">
        <f>S13</f>
        <v>0.52916666666666656</v>
      </c>
      <c r="Y12" s="23"/>
      <c r="Z12" s="23"/>
      <c r="AA12" s="627"/>
      <c r="AB12" s="628"/>
      <c r="AC12" s="25"/>
      <c r="AD12" s="25"/>
      <c r="AE12" s="19">
        <f t="shared" si="8"/>
        <v>-59.999999999999545</v>
      </c>
      <c r="AF12" s="21">
        <f t="shared" si="9"/>
        <v>0.9600000000000003</v>
      </c>
      <c r="AG12" s="637"/>
    </row>
    <row r="13" spans="1:33" ht="15.75" customHeight="1">
      <c r="A13" s="659" t="s">
        <v>51</v>
      </c>
      <c r="B13" s="42" t="s">
        <v>96</v>
      </c>
      <c r="C13" s="660" t="s">
        <v>100</v>
      </c>
      <c r="D13" s="661"/>
      <c r="E13" s="42">
        <v>39.619999999999997</v>
      </c>
      <c r="F13" s="38">
        <v>1768</v>
      </c>
      <c r="G13" s="4">
        <f t="shared" si="11"/>
        <v>70048.159999999989</v>
      </c>
      <c r="H13" s="37" t="s">
        <v>91</v>
      </c>
      <c r="I13" s="16">
        <v>19</v>
      </c>
      <c r="J13" s="39">
        <v>1500</v>
      </c>
      <c r="K13" s="17">
        <f t="shared" si="1"/>
        <v>78.94736842105263</v>
      </c>
      <c r="L13" s="16">
        <v>19</v>
      </c>
      <c r="M13" s="18">
        <f t="shared" si="12"/>
        <v>1433.5135135135124</v>
      </c>
      <c r="N13" s="17">
        <f t="shared" si="3"/>
        <v>75.44807965860592</v>
      </c>
      <c r="O13" s="19">
        <f t="shared" si="4"/>
        <v>0</v>
      </c>
      <c r="P13" s="20">
        <f t="shared" si="5"/>
        <v>-3.4992887624467102</v>
      </c>
      <c r="Q13" s="21">
        <f t="shared" si="6"/>
        <v>0.95567567567567502</v>
      </c>
      <c r="R13" s="637"/>
      <c r="S13" s="40">
        <v>0.52916666666666656</v>
      </c>
      <c r="T13" s="40">
        <v>0.58055555555555549</v>
      </c>
      <c r="U13" s="4">
        <f t="shared" si="14"/>
        <v>59.999999999999943</v>
      </c>
      <c r="V13" s="22">
        <f t="shared" si="13"/>
        <v>74.000000000000057</v>
      </c>
      <c r="W13" s="23"/>
      <c r="X13" s="23"/>
      <c r="Y13" s="26"/>
      <c r="Z13" s="26"/>
      <c r="AA13" s="627"/>
      <c r="AB13" s="628"/>
      <c r="AC13" s="25"/>
      <c r="AD13" s="25"/>
      <c r="AE13" s="19">
        <f t="shared" si="8"/>
        <v>-66.486486486487593</v>
      </c>
      <c r="AF13" s="21">
        <f t="shared" si="9"/>
        <v>0.95567567567567491</v>
      </c>
      <c r="AG13" s="637"/>
    </row>
    <row r="14" spans="1:33" ht="16.5" customHeight="1">
      <c r="A14" s="659" t="s">
        <v>51</v>
      </c>
      <c r="B14" s="42" t="s">
        <v>52</v>
      </c>
      <c r="C14" s="638"/>
      <c r="D14" s="638"/>
      <c r="E14" s="43"/>
      <c r="F14" s="39"/>
      <c r="G14" s="18"/>
      <c r="H14" s="38"/>
      <c r="I14" s="29">
        <v>17.8</v>
      </c>
      <c r="J14" s="39">
        <v>1500</v>
      </c>
      <c r="K14" s="17">
        <f t="shared" si="1"/>
        <v>84.269662921348313</v>
      </c>
      <c r="L14" s="29">
        <v>17.8</v>
      </c>
      <c r="M14" s="18">
        <f>AVERAGE(M9:M13)</f>
        <v>1436.3039562734377</v>
      </c>
      <c r="N14" s="17">
        <f t="shared" si="3"/>
        <v>80.691233498507728</v>
      </c>
      <c r="O14" s="19">
        <f t="shared" si="4"/>
        <v>0</v>
      </c>
      <c r="P14" s="20">
        <f t="shared" si="5"/>
        <v>-3.5784294228405855</v>
      </c>
      <c r="Q14" s="21">
        <f t="shared" si="6"/>
        <v>0.95753597084895836</v>
      </c>
      <c r="R14" s="637"/>
      <c r="S14" s="40"/>
      <c r="T14" s="40"/>
      <c r="U14" s="17"/>
      <c r="V14" s="22"/>
      <c r="W14" s="17"/>
      <c r="X14" s="17"/>
      <c r="Y14" s="30">
        <f>SUM(Y9:Y13)</f>
        <v>0</v>
      </c>
      <c r="Z14" s="30">
        <f>SUM(Z9:Z13)</f>
        <v>0</v>
      </c>
      <c r="AA14" s="631"/>
      <c r="AB14" s="631"/>
      <c r="AC14" s="30">
        <v>5</v>
      </c>
      <c r="AD14" s="30">
        <v>0</v>
      </c>
      <c r="AE14" s="19">
        <f t="shared" si="8"/>
        <v>-63.696043726562266</v>
      </c>
      <c r="AF14" s="21">
        <f t="shared" si="9"/>
        <v>0.95753597084895847</v>
      </c>
      <c r="AG14" s="637"/>
    </row>
    <row r="15" spans="1:33" ht="16.5" customHeight="1">
      <c r="A15" s="657" t="s">
        <v>53</v>
      </c>
      <c r="B15" s="38" t="s">
        <v>101</v>
      </c>
      <c r="C15" s="653" t="s">
        <v>102</v>
      </c>
      <c r="D15" s="653"/>
      <c r="E15" s="42">
        <v>31.11</v>
      </c>
      <c r="F15" s="38">
        <v>3398</v>
      </c>
      <c r="G15" s="4">
        <f t="shared" ref="G15:G21" si="15">E15*F15</f>
        <v>105711.78</v>
      </c>
      <c r="H15" s="37" t="s">
        <v>91</v>
      </c>
      <c r="I15" s="16">
        <v>14</v>
      </c>
      <c r="J15" s="39">
        <v>2000</v>
      </c>
      <c r="K15" s="17">
        <f t="shared" si="1"/>
        <v>142.85714285714286</v>
      </c>
      <c r="L15" s="16">
        <v>14</v>
      </c>
      <c r="M15" s="18">
        <f t="shared" ref="M15:M21" si="16">F15/V15*60</f>
        <v>1905.4205607476636</v>
      </c>
      <c r="N15" s="17">
        <f t="shared" si="3"/>
        <v>136.1014686248331</v>
      </c>
      <c r="O15" s="19">
        <f t="shared" si="4"/>
        <v>0</v>
      </c>
      <c r="P15" s="20">
        <f t="shared" si="5"/>
        <v>-6.7556742323097581</v>
      </c>
      <c r="Q15" s="21">
        <f t="shared" si="6"/>
        <v>0.95271028037383165</v>
      </c>
      <c r="R15" s="637">
        <f>Q22</f>
        <v>0.95653944005299185</v>
      </c>
      <c r="S15" s="40">
        <v>8.3333333333333329E-2</v>
      </c>
      <c r="T15" s="40">
        <v>0.15763888888888888</v>
      </c>
      <c r="U15" s="4"/>
      <c r="V15" s="22">
        <f t="shared" ref="V15:V21" si="17">(T15-S15)*24*60</f>
        <v>107</v>
      </c>
      <c r="W15" s="23">
        <f>T15</f>
        <v>0.15763888888888888</v>
      </c>
      <c r="X15" s="23">
        <f>S16</f>
        <v>0.17638888888888887</v>
      </c>
      <c r="Y15" s="28"/>
      <c r="Z15" s="28"/>
      <c r="AA15" s="632"/>
      <c r="AB15" s="632"/>
      <c r="AC15" s="25">
        <v>7</v>
      </c>
      <c r="AD15" s="25"/>
      <c r="AE15" s="19">
        <f t="shared" si="8"/>
        <v>-94.579439252336442</v>
      </c>
      <c r="AF15" s="21">
        <f t="shared" si="9"/>
        <v>0.95271028037383176</v>
      </c>
      <c r="AG15" s="637">
        <f>AF22</f>
        <v>0.95653944005299196</v>
      </c>
    </row>
    <row r="16" spans="1:33" ht="16.5" customHeight="1">
      <c r="A16" s="658" t="s">
        <v>54</v>
      </c>
      <c r="B16" s="38" t="s">
        <v>103</v>
      </c>
      <c r="C16" s="653" t="s">
        <v>104</v>
      </c>
      <c r="D16" s="653"/>
      <c r="E16" s="42">
        <v>38.619999999999997</v>
      </c>
      <c r="F16" s="38">
        <v>1857</v>
      </c>
      <c r="G16" s="4">
        <f t="shared" si="15"/>
        <v>71717.34</v>
      </c>
      <c r="H16" s="37" t="s">
        <v>91</v>
      </c>
      <c r="I16" s="16">
        <v>24</v>
      </c>
      <c r="J16" s="39">
        <v>1500</v>
      </c>
      <c r="K16" s="17">
        <f t="shared" si="1"/>
        <v>62.5</v>
      </c>
      <c r="L16" s="16">
        <v>24</v>
      </c>
      <c r="M16" s="18">
        <f t="shared" si="16"/>
        <v>1428.4615384615383</v>
      </c>
      <c r="N16" s="17">
        <f t="shared" si="3"/>
        <v>59.519230769230766</v>
      </c>
      <c r="O16" s="19">
        <f t="shared" si="4"/>
        <v>0</v>
      </c>
      <c r="P16" s="20">
        <f t="shared" si="5"/>
        <v>-2.9807692307692335</v>
      </c>
      <c r="Q16" s="21">
        <f t="shared" si="6"/>
        <v>0.9523076923076923</v>
      </c>
      <c r="R16" s="637"/>
      <c r="S16" s="40">
        <v>0.17638888888888887</v>
      </c>
      <c r="T16" s="40">
        <v>0.23055555555555554</v>
      </c>
      <c r="U16" s="4">
        <f t="shared" ref="U16:U21" si="18">IF(S16=TIME(17,0,0),"",(S16-T15)*24*60)</f>
        <v>26.999999999999986</v>
      </c>
      <c r="V16" s="22">
        <f t="shared" si="17"/>
        <v>78</v>
      </c>
      <c r="W16" s="23"/>
      <c r="X16" s="23"/>
      <c r="Y16" s="23"/>
      <c r="Z16" s="23"/>
      <c r="AA16" s="632"/>
      <c r="AB16" s="632"/>
      <c r="AC16" s="25"/>
      <c r="AD16" s="25"/>
      <c r="AE16" s="19">
        <f t="shared" si="8"/>
        <v>-71.538461538461661</v>
      </c>
      <c r="AF16" s="21">
        <f t="shared" si="9"/>
        <v>0.95230769230769219</v>
      </c>
      <c r="AG16" s="637"/>
    </row>
    <row r="17" spans="1:33" ht="16.5" customHeight="1">
      <c r="A17" s="658" t="s">
        <v>53</v>
      </c>
      <c r="B17" s="38" t="s">
        <v>103</v>
      </c>
      <c r="C17" s="653" t="s">
        <v>105</v>
      </c>
      <c r="D17" s="653"/>
      <c r="E17" s="42">
        <v>41</v>
      </c>
      <c r="F17" s="38">
        <v>1447</v>
      </c>
      <c r="G17" s="4">
        <f t="shared" si="15"/>
        <v>59327</v>
      </c>
      <c r="H17" s="37" t="s">
        <v>91</v>
      </c>
      <c r="I17" s="16">
        <v>26</v>
      </c>
      <c r="J17" s="39">
        <v>1500</v>
      </c>
      <c r="K17" s="17">
        <f t="shared" si="1"/>
        <v>57.692307692307693</v>
      </c>
      <c r="L17" s="16">
        <v>26</v>
      </c>
      <c r="M17" s="18">
        <f t="shared" si="16"/>
        <v>1446.9999999999993</v>
      </c>
      <c r="N17" s="17">
        <f t="shared" si="3"/>
        <v>55.653846153846125</v>
      </c>
      <c r="O17" s="19">
        <f t="shared" si="4"/>
        <v>0</v>
      </c>
      <c r="P17" s="20">
        <f t="shared" si="5"/>
        <v>-2.0384615384615685</v>
      </c>
      <c r="Q17" s="21">
        <f t="shared" si="6"/>
        <v>0.96466666666666612</v>
      </c>
      <c r="R17" s="637"/>
      <c r="S17" s="40">
        <v>0.23541666666666666</v>
      </c>
      <c r="T17" s="40">
        <v>0.27708333333333335</v>
      </c>
      <c r="U17" s="4">
        <f t="shared" si="18"/>
        <v>7.0000000000000151</v>
      </c>
      <c r="V17" s="22">
        <f t="shared" si="17"/>
        <v>60.000000000000028</v>
      </c>
      <c r="W17" s="23"/>
      <c r="X17" s="23"/>
      <c r="Y17" s="23"/>
      <c r="Z17" s="23"/>
      <c r="AA17" s="632"/>
      <c r="AB17" s="632"/>
      <c r="AC17" s="25"/>
      <c r="AD17" s="25"/>
      <c r="AE17" s="19">
        <f t="shared" si="8"/>
        <v>-53.000000000000682</v>
      </c>
      <c r="AF17" s="21">
        <f t="shared" si="9"/>
        <v>0.96466666666666623</v>
      </c>
      <c r="AG17" s="637"/>
    </row>
    <row r="18" spans="1:33" ht="16.5" customHeight="1">
      <c r="A18" s="658" t="s">
        <v>53</v>
      </c>
      <c r="B18" s="38" t="s">
        <v>92</v>
      </c>
      <c r="C18" s="653" t="s">
        <v>106</v>
      </c>
      <c r="D18" s="653"/>
      <c r="E18" s="42">
        <v>37.03</v>
      </c>
      <c r="F18" s="38">
        <v>2599</v>
      </c>
      <c r="G18" s="4">
        <f t="shared" si="15"/>
        <v>96240.97</v>
      </c>
      <c r="H18" s="37" t="s">
        <v>91</v>
      </c>
      <c r="I18" s="16">
        <v>13</v>
      </c>
      <c r="J18" s="39">
        <v>1500</v>
      </c>
      <c r="K18" s="17">
        <f t="shared" si="1"/>
        <v>115.38461538461539</v>
      </c>
      <c r="L18" s="16">
        <v>13</v>
      </c>
      <c r="M18" s="18">
        <f t="shared" si="16"/>
        <v>1430.6422018348621</v>
      </c>
      <c r="N18" s="17">
        <f t="shared" si="3"/>
        <v>110.04940014114324</v>
      </c>
      <c r="O18" s="19">
        <f t="shared" si="4"/>
        <v>0</v>
      </c>
      <c r="P18" s="20">
        <f t="shared" si="5"/>
        <v>-5.3352152434721489</v>
      </c>
      <c r="Q18" s="21">
        <f t="shared" si="6"/>
        <v>0.95376146788990801</v>
      </c>
      <c r="R18" s="637"/>
      <c r="S18" s="40">
        <v>0.28125</v>
      </c>
      <c r="T18" s="40">
        <v>0.35694444444444445</v>
      </c>
      <c r="U18" s="4">
        <f t="shared" si="18"/>
        <v>5.9999999999999787</v>
      </c>
      <c r="V18" s="22">
        <f t="shared" si="17"/>
        <v>109.00000000000001</v>
      </c>
      <c r="W18" s="23"/>
      <c r="X18" s="23"/>
      <c r="Y18" s="23"/>
      <c r="Z18" s="23"/>
      <c r="AA18" s="632"/>
      <c r="AB18" s="632"/>
      <c r="AC18" s="25"/>
      <c r="AD18" s="25"/>
      <c r="AE18" s="19">
        <f t="shared" si="8"/>
        <v>-69.357798165137865</v>
      </c>
      <c r="AF18" s="21">
        <f t="shared" si="9"/>
        <v>0.95376146788990812</v>
      </c>
      <c r="AG18" s="637"/>
    </row>
    <row r="19" spans="1:33" ht="16.5" customHeight="1">
      <c r="A19" s="658" t="s">
        <v>55</v>
      </c>
      <c r="B19" s="38" t="s">
        <v>92</v>
      </c>
      <c r="C19" s="653" t="s">
        <v>107</v>
      </c>
      <c r="D19" s="653"/>
      <c r="E19" s="42">
        <v>50.67</v>
      </c>
      <c r="F19" s="38">
        <v>1570</v>
      </c>
      <c r="G19" s="4">
        <f t="shared" si="15"/>
        <v>79551.900000000009</v>
      </c>
      <c r="H19" s="37" t="s">
        <v>91</v>
      </c>
      <c r="I19" s="16">
        <v>17</v>
      </c>
      <c r="J19" s="39">
        <v>2000</v>
      </c>
      <c r="K19" s="17">
        <f t="shared" si="1"/>
        <v>117.64705882352941</v>
      </c>
      <c r="L19" s="16">
        <v>17</v>
      </c>
      <c r="M19" s="18">
        <f t="shared" si="16"/>
        <v>1922.4489795918375</v>
      </c>
      <c r="N19" s="17">
        <f t="shared" si="3"/>
        <v>113.0852340936375</v>
      </c>
      <c r="O19" s="19">
        <f t="shared" si="4"/>
        <v>0</v>
      </c>
      <c r="P19" s="20">
        <f t="shared" si="5"/>
        <v>-4.5618247298919101</v>
      </c>
      <c r="Q19" s="21">
        <f t="shared" si="6"/>
        <v>0.96122448979591879</v>
      </c>
      <c r="R19" s="637"/>
      <c r="S19" s="40">
        <v>0.70833333333333337</v>
      </c>
      <c r="T19" s="40">
        <v>0.74236111111111114</v>
      </c>
      <c r="U19" s="4" t="str">
        <f t="shared" si="18"/>
        <v/>
      </c>
      <c r="V19" s="22">
        <f t="shared" si="17"/>
        <v>48.999999999999986</v>
      </c>
      <c r="W19" s="23"/>
      <c r="X19" s="23"/>
      <c r="Y19" s="23"/>
      <c r="Z19" s="23"/>
      <c r="AA19" s="632"/>
      <c r="AB19" s="632"/>
      <c r="AC19" s="25"/>
      <c r="AD19" s="25"/>
      <c r="AE19" s="19">
        <f t="shared" si="8"/>
        <v>-77.551020408162458</v>
      </c>
      <c r="AF19" s="21">
        <f t="shared" si="9"/>
        <v>0.96122448979591879</v>
      </c>
      <c r="AG19" s="637"/>
    </row>
    <row r="20" spans="1:33" ht="16.5" customHeight="1">
      <c r="A20" s="658" t="s">
        <v>53</v>
      </c>
      <c r="B20" s="38" t="s">
        <v>92</v>
      </c>
      <c r="C20" s="45" t="s">
        <v>108</v>
      </c>
      <c r="D20" s="46"/>
      <c r="E20" s="42">
        <v>54.5</v>
      </c>
      <c r="F20" s="38">
        <v>1906</v>
      </c>
      <c r="G20" s="4">
        <f t="shared" si="15"/>
        <v>103877</v>
      </c>
      <c r="H20" s="37" t="s">
        <v>91</v>
      </c>
      <c r="I20" s="16">
        <v>20</v>
      </c>
      <c r="J20" s="39">
        <v>1500</v>
      </c>
      <c r="K20" s="17">
        <f t="shared" si="1"/>
        <v>75</v>
      </c>
      <c r="L20" s="16">
        <v>20</v>
      </c>
      <c r="M20" s="18">
        <f t="shared" si="16"/>
        <v>1429.4999999999995</v>
      </c>
      <c r="N20" s="17">
        <f t="shared" si="3"/>
        <v>71.47499999999998</v>
      </c>
      <c r="O20" s="19">
        <f t="shared" si="4"/>
        <v>0</v>
      </c>
      <c r="P20" s="20">
        <f t="shared" si="5"/>
        <v>-3.5250000000000199</v>
      </c>
      <c r="Q20" s="21">
        <f t="shared" si="6"/>
        <v>0.95299999999999974</v>
      </c>
      <c r="R20" s="637"/>
      <c r="S20" s="40">
        <v>0.74722222222222223</v>
      </c>
      <c r="T20" s="40">
        <v>0.80277777777777781</v>
      </c>
      <c r="U20" s="4">
        <f t="shared" si="18"/>
        <v>6.9999999999999751</v>
      </c>
      <c r="V20" s="22">
        <f t="shared" si="17"/>
        <v>80.000000000000028</v>
      </c>
      <c r="W20" s="23"/>
      <c r="X20" s="23"/>
      <c r="Y20" s="26"/>
      <c r="Z20" s="26"/>
      <c r="AA20" s="31"/>
      <c r="AB20" s="32"/>
      <c r="AC20" s="25"/>
      <c r="AD20" s="25"/>
      <c r="AE20" s="19">
        <f t="shared" si="8"/>
        <v>-70.500000000000455</v>
      </c>
      <c r="AF20" s="21">
        <f t="shared" si="9"/>
        <v>0.95299999999999974</v>
      </c>
      <c r="AG20" s="637"/>
    </row>
    <row r="21" spans="1:33" ht="16.5" customHeight="1">
      <c r="A21" s="658" t="s">
        <v>55</v>
      </c>
      <c r="B21" s="38" t="s">
        <v>92</v>
      </c>
      <c r="C21" s="45" t="s">
        <v>109</v>
      </c>
      <c r="D21" s="46"/>
      <c r="E21" s="42">
        <v>50.49</v>
      </c>
      <c r="F21" s="38">
        <v>1915</v>
      </c>
      <c r="G21" s="4">
        <f t="shared" si="15"/>
        <v>96688.35</v>
      </c>
      <c r="H21" s="37" t="s">
        <v>91</v>
      </c>
      <c r="I21" s="16">
        <v>15</v>
      </c>
      <c r="J21" s="39">
        <v>2000</v>
      </c>
      <c r="K21" s="17">
        <f t="shared" si="1"/>
        <v>133.33333333333334</v>
      </c>
      <c r="L21" s="16">
        <v>15</v>
      </c>
      <c r="M21" s="18">
        <f t="shared" si="16"/>
        <v>1915.0000000000018</v>
      </c>
      <c r="N21" s="17">
        <f t="shared" si="3"/>
        <v>127.66666666666679</v>
      </c>
      <c r="O21" s="19">
        <f t="shared" si="4"/>
        <v>0</v>
      </c>
      <c r="P21" s="20">
        <f t="shared" si="5"/>
        <v>-5.6666666666665577</v>
      </c>
      <c r="Q21" s="21">
        <f t="shared" si="6"/>
        <v>0.95750000000000079</v>
      </c>
      <c r="R21" s="637"/>
      <c r="S21" s="40">
        <v>0.80763888888888891</v>
      </c>
      <c r="T21" s="40">
        <v>0.84930555555555554</v>
      </c>
      <c r="U21" s="4">
        <f t="shared" si="18"/>
        <v>6.9999999999999751</v>
      </c>
      <c r="V21" s="22">
        <f t="shared" si="17"/>
        <v>59.999999999999943</v>
      </c>
      <c r="W21" s="23"/>
      <c r="X21" s="23"/>
      <c r="Y21" s="26"/>
      <c r="Z21" s="26"/>
      <c r="AA21" s="31"/>
      <c r="AB21" s="32"/>
      <c r="AC21" s="25"/>
      <c r="AD21" s="25"/>
      <c r="AE21" s="19">
        <f t="shared" si="8"/>
        <v>-84.999999999998181</v>
      </c>
      <c r="AF21" s="21">
        <f t="shared" si="9"/>
        <v>0.95750000000000091</v>
      </c>
      <c r="AG21" s="637"/>
    </row>
    <row r="22" spans="1:33" ht="16.5" customHeight="1">
      <c r="A22" s="658" t="s">
        <v>56</v>
      </c>
      <c r="B22" s="42" t="s">
        <v>57</v>
      </c>
      <c r="C22" s="638"/>
      <c r="D22" s="638"/>
      <c r="E22" s="43"/>
      <c r="F22" s="44"/>
      <c r="G22" s="17"/>
      <c r="H22" s="38"/>
      <c r="I22" s="29">
        <v>18.428571428571427</v>
      </c>
      <c r="J22" s="39">
        <v>1714.2857142857142</v>
      </c>
      <c r="K22" s="17">
        <f t="shared" si="1"/>
        <v>93.023255813953497</v>
      </c>
      <c r="L22" s="29">
        <v>18.428571428571427</v>
      </c>
      <c r="M22" s="18">
        <f>AVERAGE(M15:M21)</f>
        <v>1639.7818972337004</v>
      </c>
      <c r="N22" s="17">
        <f t="shared" si="3"/>
        <v>88.980413028185296</v>
      </c>
      <c r="O22" s="19">
        <f t="shared" si="4"/>
        <v>0</v>
      </c>
      <c r="P22" s="20">
        <f t="shared" si="5"/>
        <v>-4.042842785768201</v>
      </c>
      <c r="Q22" s="21">
        <f t="shared" si="6"/>
        <v>0.95653944005299185</v>
      </c>
      <c r="R22" s="637"/>
      <c r="S22" s="40"/>
      <c r="T22" s="40"/>
      <c r="U22" s="4"/>
      <c r="V22" s="22"/>
      <c r="W22" s="17"/>
      <c r="X22" s="17"/>
      <c r="Y22" s="30">
        <f>SUM(Y15:Y21)</f>
        <v>0</v>
      </c>
      <c r="Z22" s="30">
        <f>SUM(Z15:Z21)</f>
        <v>0</v>
      </c>
      <c r="AA22" s="631"/>
      <c r="AB22" s="631"/>
      <c r="AC22" s="30">
        <v>7</v>
      </c>
      <c r="AD22" s="30">
        <v>0</v>
      </c>
      <c r="AE22" s="19">
        <f t="shared" si="8"/>
        <v>-74.503817052013801</v>
      </c>
      <c r="AF22" s="21">
        <f t="shared" si="9"/>
        <v>0.95653944005299196</v>
      </c>
      <c r="AG22" s="637"/>
    </row>
    <row r="23" spans="1:33" ht="15.75" customHeight="1">
      <c r="A23" s="655" t="s">
        <v>58</v>
      </c>
      <c r="B23" s="42" t="s">
        <v>92</v>
      </c>
      <c r="C23" s="653" t="s">
        <v>110</v>
      </c>
      <c r="D23" s="653"/>
      <c r="E23" s="42">
        <v>50.67</v>
      </c>
      <c r="F23" s="38">
        <v>1455</v>
      </c>
      <c r="G23" s="4">
        <f t="shared" ref="G23:G28" si="19">E23*F23</f>
        <v>73724.850000000006</v>
      </c>
      <c r="H23" s="37" t="s">
        <v>91</v>
      </c>
      <c r="I23" s="16">
        <v>17</v>
      </c>
      <c r="J23" s="39">
        <v>2000</v>
      </c>
      <c r="K23" s="17">
        <f t="shared" si="1"/>
        <v>117.64705882352941</v>
      </c>
      <c r="L23" s="16">
        <v>17</v>
      </c>
      <c r="M23" s="18">
        <f t="shared" ref="M23:M28" si="20">F23/V23*60</f>
        <v>1940.0000000000002</v>
      </c>
      <c r="N23" s="17">
        <f t="shared" si="3"/>
        <v>114.11764705882354</v>
      </c>
      <c r="O23" s="19">
        <f t="shared" si="4"/>
        <v>0</v>
      </c>
      <c r="P23" s="20">
        <f t="shared" si="5"/>
        <v>-3.5294117647058698</v>
      </c>
      <c r="Q23" s="21">
        <f t="shared" si="6"/>
        <v>0.97000000000000008</v>
      </c>
      <c r="R23" s="637">
        <f>Q29</f>
        <v>0.95783707993834555</v>
      </c>
      <c r="S23" s="40">
        <v>0.20833333333333334</v>
      </c>
      <c r="T23" s="40">
        <v>0.23958333333333334</v>
      </c>
      <c r="U23" s="4"/>
      <c r="V23" s="22">
        <f t="shared" ref="V23:V28" si="21">(T23-S23)*24*60</f>
        <v>45</v>
      </c>
      <c r="W23" s="23"/>
      <c r="X23" s="23"/>
      <c r="Y23" s="28"/>
      <c r="Z23" s="28"/>
      <c r="AA23" s="632"/>
      <c r="AB23" s="632"/>
      <c r="AC23" s="25">
        <v>6</v>
      </c>
      <c r="AD23" s="25"/>
      <c r="AE23" s="19">
        <f t="shared" si="8"/>
        <v>-59.999999999999773</v>
      </c>
      <c r="AF23" s="21">
        <f t="shared" si="9"/>
        <v>0.97000000000000008</v>
      </c>
      <c r="AG23" s="637">
        <f>AF29</f>
        <v>0.95783707993834555</v>
      </c>
    </row>
    <row r="24" spans="1:33" ht="15.75" customHeight="1">
      <c r="A24" s="656" t="s">
        <v>59</v>
      </c>
      <c r="B24" s="42" t="s">
        <v>92</v>
      </c>
      <c r="C24" s="653" t="s">
        <v>111</v>
      </c>
      <c r="D24" s="653"/>
      <c r="E24" s="42">
        <v>57.73</v>
      </c>
      <c r="F24" s="38">
        <v>2069</v>
      </c>
      <c r="G24" s="4">
        <f t="shared" si="19"/>
        <v>119443.37</v>
      </c>
      <c r="H24" s="37" t="s">
        <v>91</v>
      </c>
      <c r="I24" s="16">
        <v>14</v>
      </c>
      <c r="J24" s="39">
        <v>2000</v>
      </c>
      <c r="K24" s="17">
        <f t="shared" si="1"/>
        <v>142.85714285714286</v>
      </c>
      <c r="L24" s="16">
        <v>14</v>
      </c>
      <c r="M24" s="18">
        <f t="shared" si="20"/>
        <v>1909.8461538461534</v>
      </c>
      <c r="N24" s="17">
        <f t="shared" si="3"/>
        <v>136.41758241758239</v>
      </c>
      <c r="O24" s="19">
        <f t="shared" si="4"/>
        <v>0</v>
      </c>
      <c r="P24" s="20">
        <f t="shared" si="5"/>
        <v>-6.4395604395604664</v>
      </c>
      <c r="Q24" s="21">
        <f t="shared" si="6"/>
        <v>0.95492307692307676</v>
      </c>
      <c r="R24" s="637"/>
      <c r="S24" s="40">
        <v>0.24375000000000002</v>
      </c>
      <c r="T24" s="40">
        <v>0.28888888888888892</v>
      </c>
      <c r="U24" s="4">
        <f t="shared" ref="U24:U28" si="22">IF(S24=TIME(17,0,0),"",(S24-T23)*24*60)</f>
        <v>6.0000000000000187</v>
      </c>
      <c r="V24" s="22">
        <f t="shared" si="21"/>
        <v>65.000000000000014</v>
      </c>
      <c r="W24" s="23"/>
      <c r="X24" s="4"/>
      <c r="Y24" s="4"/>
      <c r="Z24" s="4"/>
      <c r="AA24" s="632"/>
      <c r="AB24" s="632"/>
      <c r="AC24" s="25"/>
      <c r="AD24" s="25"/>
      <c r="AE24" s="19">
        <f t="shared" si="8"/>
        <v>-90.153846153846644</v>
      </c>
      <c r="AF24" s="21">
        <f t="shared" si="9"/>
        <v>0.95492307692307665</v>
      </c>
      <c r="AG24" s="637"/>
    </row>
    <row r="25" spans="1:33" ht="15.75" customHeight="1">
      <c r="A25" s="656" t="s">
        <v>60</v>
      </c>
      <c r="B25" s="42" t="s">
        <v>92</v>
      </c>
      <c r="C25" s="653" t="s">
        <v>112</v>
      </c>
      <c r="D25" s="653"/>
      <c r="E25" s="42">
        <v>53.27</v>
      </c>
      <c r="F25" s="38">
        <v>1121</v>
      </c>
      <c r="G25" s="4">
        <f t="shared" si="19"/>
        <v>59715.670000000006</v>
      </c>
      <c r="H25" s="37" t="s">
        <v>91</v>
      </c>
      <c r="I25" s="16">
        <v>16</v>
      </c>
      <c r="J25" s="39">
        <v>2000</v>
      </c>
      <c r="K25" s="17">
        <f t="shared" si="1"/>
        <v>125</v>
      </c>
      <c r="L25" s="16">
        <v>16</v>
      </c>
      <c r="M25" s="18">
        <f t="shared" si="20"/>
        <v>1921.7142857142837</v>
      </c>
      <c r="N25" s="17">
        <f t="shared" si="3"/>
        <v>120.10714285714273</v>
      </c>
      <c r="O25" s="19">
        <f t="shared" si="4"/>
        <v>0</v>
      </c>
      <c r="P25" s="20">
        <f t="shared" si="5"/>
        <v>-4.8928571428572667</v>
      </c>
      <c r="Q25" s="21">
        <f t="shared" si="6"/>
        <v>0.96085714285714185</v>
      </c>
      <c r="R25" s="637"/>
      <c r="S25" s="40">
        <v>0.29444444444444445</v>
      </c>
      <c r="T25" s="40">
        <v>0.31875000000000003</v>
      </c>
      <c r="U25" s="4">
        <f t="shared" si="22"/>
        <v>7.9999999999999716</v>
      </c>
      <c r="V25" s="22">
        <f t="shared" si="21"/>
        <v>35.000000000000036</v>
      </c>
      <c r="W25" s="23"/>
      <c r="X25" s="4"/>
      <c r="Y25" s="4"/>
      <c r="Z25" s="4"/>
      <c r="AA25" s="632"/>
      <c r="AB25" s="632"/>
      <c r="AC25" s="25"/>
      <c r="AD25" s="25"/>
      <c r="AE25" s="19">
        <f t="shared" si="8"/>
        <v>-78.285714285716267</v>
      </c>
      <c r="AF25" s="21">
        <f t="shared" si="9"/>
        <v>0.96085714285714185</v>
      </c>
      <c r="AG25" s="637"/>
    </row>
    <row r="26" spans="1:33" ht="15.75" customHeight="1">
      <c r="A26" s="656" t="s">
        <v>60</v>
      </c>
      <c r="B26" s="42" t="s">
        <v>92</v>
      </c>
      <c r="C26" s="653" t="s">
        <v>113</v>
      </c>
      <c r="D26" s="653"/>
      <c r="E26" s="42">
        <v>56.43</v>
      </c>
      <c r="F26" s="38">
        <v>1400</v>
      </c>
      <c r="G26" s="4">
        <f t="shared" si="19"/>
        <v>79002</v>
      </c>
      <c r="H26" s="37" t="s">
        <v>91</v>
      </c>
      <c r="I26" s="16">
        <v>13</v>
      </c>
      <c r="J26" s="39">
        <v>2000</v>
      </c>
      <c r="K26" s="17">
        <f t="shared" si="1"/>
        <v>153.84615384615384</v>
      </c>
      <c r="L26" s="16">
        <v>13</v>
      </c>
      <c r="M26" s="18">
        <f t="shared" si="20"/>
        <v>1909.090909090909</v>
      </c>
      <c r="N26" s="17">
        <f t="shared" si="3"/>
        <v>146.85314685314685</v>
      </c>
      <c r="O26" s="19">
        <f t="shared" si="4"/>
        <v>0</v>
      </c>
      <c r="P26" s="20">
        <f t="shared" si="5"/>
        <v>-6.9930069930069862</v>
      </c>
      <c r="Q26" s="21">
        <f t="shared" si="6"/>
        <v>0.95454545454545459</v>
      </c>
      <c r="R26" s="637"/>
      <c r="S26" s="40">
        <v>0.70833333333333337</v>
      </c>
      <c r="T26" s="40">
        <v>0.73888888888888893</v>
      </c>
      <c r="U26" s="4" t="str">
        <f t="shared" si="22"/>
        <v/>
      </c>
      <c r="V26" s="22">
        <f t="shared" si="21"/>
        <v>44</v>
      </c>
      <c r="W26" s="23"/>
      <c r="X26" s="4"/>
      <c r="Y26" s="4"/>
      <c r="Z26" s="4"/>
      <c r="AA26" s="632"/>
      <c r="AB26" s="632"/>
      <c r="AC26" s="25"/>
      <c r="AD26" s="25"/>
      <c r="AE26" s="19">
        <f t="shared" si="8"/>
        <v>-90.909090909090992</v>
      </c>
      <c r="AF26" s="21">
        <f t="shared" si="9"/>
        <v>0.95454545454545447</v>
      </c>
      <c r="AG26" s="637"/>
    </row>
    <row r="27" spans="1:33" ht="15.75" customHeight="1">
      <c r="A27" s="656" t="s">
        <v>60</v>
      </c>
      <c r="B27" s="42" t="s">
        <v>92</v>
      </c>
      <c r="C27" s="653" t="s">
        <v>114</v>
      </c>
      <c r="D27" s="653"/>
      <c r="E27" s="42">
        <v>54.09</v>
      </c>
      <c r="F27" s="38">
        <v>2503</v>
      </c>
      <c r="G27" s="4">
        <f t="shared" si="19"/>
        <v>135387.27000000002</v>
      </c>
      <c r="H27" s="37" t="s">
        <v>91</v>
      </c>
      <c r="I27" s="16">
        <v>18</v>
      </c>
      <c r="J27" s="39">
        <v>2000</v>
      </c>
      <c r="K27" s="17">
        <f t="shared" si="1"/>
        <v>111.11111111111111</v>
      </c>
      <c r="L27" s="16">
        <v>18</v>
      </c>
      <c r="M27" s="18">
        <f t="shared" si="20"/>
        <v>1901.0126582278469</v>
      </c>
      <c r="N27" s="17">
        <f t="shared" si="3"/>
        <v>105.61181434599149</v>
      </c>
      <c r="O27" s="19">
        <f t="shared" si="4"/>
        <v>0</v>
      </c>
      <c r="P27" s="20">
        <f t="shared" si="5"/>
        <v>-5.4992967651196238</v>
      </c>
      <c r="Q27" s="21">
        <f t="shared" si="6"/>
        <v>0.95050632911392341</v>
      </c>
      <c r="R27" s="637"/>
      <c r="S27" s="40">
        <v>0.74236111111111114</v>
      </c>
      <c r="T27" s="40">
        <v>0.79722222222222228</v>
      </c>
      <c r="U27" s="4">
        <f t="shared" si="22"/>
        <v>4.9999999999999822</v>
      </c>
      <c r="V27" s="22">
        <f t="shared" si="21"/>
        <v>79.000000000000043</v>
      </c>
      <c r="W27" s="23"/>
      <c r="X27" s="23"/>
      <c r="Y27" s="4"/>
      <c r="Z27" s="4"/>
      <c r="AA27" s="632"/>
      <c r="AB27" s="632"/>
      <c r="AC27" s="25"/>
      <c r="AD27" s="25"/>
      <c r="AE27" s="19">
        <f t="shared" si="8"/>
        <v>-98.987341772153059</v>
      </c>
      <c r="AF27" s="21">
        <f t="shared" si="9"/>
        <v>0.95050632911392352</v>
      </c>
      <c r="AG27" s="637"/>
    </row>
    <row r="28" spans="1:33" ht="15.75" customHeight="1">
      <c r="A28" s="656" t="s">
        <v>60</v>
      </c>
      <c r="B28" s="42" t="s">
        <v>92</v>
      </c>
      <c r="C28" s="653" t="s">
        <v>115</v>
      </c>
      <c r="D28" s="653"/>
      <c r="E28" s="42">
        <v>57.3</v>
      </c>
      <c r="F28" s="38">
        <v>2008</v>
      </c>
      <c r="G28" s="4">
        <f t="shared" si="19"/>
        <v>115058.4</v>
      </c>
      <c r="H28" s="37" t="s">
        <v>91</v>
      </c>
      <c r="I28" s="16">
        <v>16</v>
      </c>
      <c r="J28" s="39">
        <v>2000</v>
      </c>
      <c r="K28" s="17">
        <f t="shared" si="1"/>
        <v>125</v>
      </c>
      <c r="L28" s="16">
        <v>16</v>
      </c>
      <c r="M28" s="18">
        <f t="shared" si="20"/>
        <v>1912.3809523809543</v>
      </c>
      <c r="N28" s="17">
        <f t="shared" si="3"/>
        <v>119.52380952380965</v>
      </c>
      <c r="O28" s="19">
        <f t="shared" si="4"/>
        <v>0</v>
      </c>
      <c r="P28" s="20">
        <f t="shared" si="5"/>
        <v>-5.4761904761903537</v>
      </c>
      <c r="Q28" s="21">
        <f t="shared" si="6"/>
        <v>0.95619047619047715</v>
      </c>
      <c r="R28" s="637"/>
      <c r="S28" s="40">
        <v>0.80277777777777781</v>
      </c>
      <c r="T28" s="40">
        <v>0.84652777777777777</v>
      </c>
      <c r="U28" s="4">
        <f t="shared" si="22"/>
        <v>7.9999999999999716</v>
      </c>
      <c r="V28" s="22">
        <f t="shared" si="21"/>
        <v>62.999999999999936</v>
      </c>
      <c r="W28" s="23"/>
      <c r="X28" s="28"/>
      <c r="Y28" s="28"/>
      <c r="Z28" s="28"/>
      <c r="AA28" s="632"/>
      <c r="AB28" s="632"/>
      <c r="AC28" s="25"/>
      <c r="AD28" s="25"/>
      <c r="AE28" s="19">
        <f t="shared" si="8"/>
        <v>-87.619047619045659</v>
      </c>
      <c r="AF28" s="21">
        <f t="shared" si="9"/>
        <v>0.95619047619047715</v>
      </c>
      <c r="AG28" s="637"/>
    </row>
    <row r="29" spans="1:33" ht="15.75" customHeight="1">
      <c r="A29" s="656" t="s">
        <v>60</v>
      </c>
      <c r="B29" s="42" t="s">
        <v>61</v>
      </c>
      <c r="C29" s="638"/>
      <c r="D29" s="638"/>
      <c r="E29" s="43"/>
      <c r="F29" s="38"/>
      <c r="G29" s="4"/>
      <c r="H29" s="38"/>
      <c r="I29" s="29">
        <v>15.666666666666666</v>
      </c>
      <c r="J29" s="39">
        <v>2000</v>
      </c>
      <c r="K29" s="17">
        <f t="shared" ref="K29:K58" si="23">J29/I29</f>
        <v>127.65957446808511</v>
      </c>
      <c r="L29" s="29">
        <v>15.666666666666666</v>
      </c>
      <c r="M29" s="18">
        <f>AVERAGE(M23:M28)</f>
        <v>1915.6741598766912</v>
      </c>
      <c r="N29" s="17">
        <f t="shared" ref="N29:N58" si="24">M29/L29</f>
        <v>122.27707403468241</v>
      </c>
      <c r="O29" s="19">
        <f t="shared" ref="O29:O58" si="25">L29-I29</f>
        <v>0</v>
      </c>
      <c r="P29" s="20">
        <f t="shared" ref="P29:P58" si="26">N29-K29</f>
        <v>-5.3825004334026971</v>
      </c>
      <c r="Q29" s="21">
        <f t="shared" ref="Q29:Q58" si="27">N29/K29</f>
        <v>0.95783707993834555</v>
      </c>
      <c r="R29" s="637"/>
      <c r="S29" s="40"/>
      <c r="T29" s="40"/>
      <c r="U29" s="17"/>
      <c r="V29" s="22"/>
      <c r="W29" s="17"/>
      <c r="X29" s="17"/>
      <c r="Y29" s="30">
        <f>SUM(Y23:Y28)</f>
        <v>0</v>
      </c>
      <c r="Z29" s="30">
        <f>SUM(Z23:Z28)</f>
        <v>0</v>
      </c>
      <c r="AA29" s="631"/>
      <c r="AB29" s="631"/>
      <c r="AC29" s="30">
        <v>6</v>
      </c>
      <c r="AD29" s="30">
        <v>0</v>
      </c>
      <c r="AE29" s="19">
        <f t="shared" ref="AE29:AE56" si="28">M29-J29</f>
        <v>-84.325840123308808</v>
      </c>
      <c r="AF29" s="21">
        <f t="shared" ref="AF29:AF58" si="29">M29/J29</f>
        <v>0.95783707993834555</v>
      </c>
      <c r="AG29" s="637"/>
    </row>
    <row r="30" spans="1:33" ht="15.75" customHeight="1">
      <c r="A30" s="654" t="s">
        <v>62</v>
      </c>
      <c r="B30" s="42" t="s">
        <v>116</v>
      </c>
      <c r="C30" s="653" t="s">
        <v>117</v>
      </c>
      <c r="D30" s="653"/>
      <c r="E30" s="42">
        <v>31.29</v>
      </c>
      <c r="F30" s="38">
        <v>4500</v>
      </c>
      <c r="G30" s="4">
        <f t="shared" ref="G30:G36" si="30">E30*F30</f>
        <v>140805</v>
      </c>
      <c r="H30" s="37">
        <v>2</v>
      </c>
      <c r="I30" s="16">
        <v>18</v>
      </c>
      <c r="J30" s="39">
        <v>2400</v>
      </c>
      <c r="K30" s="17">
        <f t="shared" si="23"/>
        <v>133.33333333333334</v>
      </c>
      <c r="L30" s="16">
        <v>18</v>
      </c>
      <c r="M30" s="18">
        <f t="shared" ref="M30:M36" si="31">F30/V30*60</f>
        <v>2288.1355932203392</v>
      </c>
      <c r="N30" s="17">
        <f t="shared" si="24"/>
        <v>127.11864406779662</v>
      </c>
      <c r="O30" s="19">
        <f t="shared" si="25"/>
        <v>0</v>
      </c>
      <c r="P30" s="20">
        <f t="shared" si="26"/>
        <v>-6.2146892655367196</v>
      </c>
      <c r="Q30" s="21">
        <f t="shared" si="27"/>
        <v>0.95338983050847459</v>
      </c>
      <c r="R30" s="637">
        <f>Q37</f>
        <v>0.96015521944475091</v>
      </c>
      <c r="S30" s="40">
        <v>8.3333333333333329E-2</v>
      </c>
      <c r="T30" s="40">
        <v>0.16527777777777777</v>
      </c>
      <c r="U30" s="4"/>
      <c r="V30" s="22">
        <f t="shared" ref="V30:V36" si="32">(T30-S30)*24*60</f>
        <v>118</v>
      </c>
      <c r="W30" s="23">
        <f>T30</f>
        <v>0.16527777777777777</v>
      </c>
      <c r="X30" s="23">
        <f>S31</f>
        <v>0.18333333333333332</v>
      </c>
      <c r="Y30" s="23"/>
      <c r="Z30" s="23"/>
      <c r="AA30" s="632"/>
      <c r="AB30" s="632"/>
      <c r="AC30" s="25">
        <v>7</v>
      </c>
      <c r="AD30" s="25"/>
      <c r="AE30" s="19">
        <f t="shared" si="28"/>
        <v>-111.86440677966084</v>
      </c>
      <c r="AF30" s="21">
        <f t="shared" si="29"/>
        <v>0.9533898305084747</v>
      </c>
      <c r="AG30" s="637">
        <f>AF37</f>
        <v>0.96015521944475102</v>
      </c>
    </row>
    <row r="31" spans="1:33" ht="15.75" customHeight="1">
      <c r="A31" s="654" t="s">
        <v>63</v>
      </c>
      <c r="B31" s="42" t="s">
        <v>116</v>
      </c>
      <c r="C31" s="653" t="s">
        <v>118</v>
      </c>
      <c r="D31" s="653"/>
      <c r="E31" s="42">
        <v>26.37</v>
      </c>
      <c r="F31" s="38">
        <v>5311</v>
      </c>
      <c r="G31" s="4">
        <f t="shared" si="30"/>
        <v>140051.07</v>
      </c>
      <c r="H31" s="37" t="s">
        <v>91</v>
      </c>
      <c r="I31" s="16">
        <v>18</v>
      </c>
      <c r="J31" s="39">
        <v>2400</v>
      </c>
      <c r="K31" s="17">
        <f t="shared" si="23"/>
        <v>133.33333333333334</v>
      </c>
      <c r="L31" s="16">
        <v>18</v>
      </c>
      <c r="M31" s="18">
        <f t="shared" si="31"/>
        <v>2292.5179856115105</v>
      </c>
      <c r="N31" s="17">
        <f t="shared" si="24"/>
        <v>127.36211031175058</v>
      </c>
      <c r="O31" s="19">
        <f t="shared" si="25"/>
        <v>0</v>
      </c>
      <c r="P31" s="20">
        <f t="shared" si="26"/>
        <v>-5.9712230215827589</v>
      </c>
      <c r="Q31" s="21">
        <f t="shared" si="27"/>
        <v>0.95521582733812926</v>
      </c>
      <c r="R31" s="637"/>
      <c r="S31" s="40">
        <v>0.18333333333333332</v>
      </c>
      <c r="T31" s="40">
        <v>0.27986111111111112</v>
      </c>
      <c r="U31" s="4">
        <f t="shared" ref="U31:U36" si="33">(S31-T30)*24*60</f>
        <v>25.999999999999986</v>
      </c>
      <c r="V31" s="22">
        <f t="shared" si="32"/>
        <v>139.00000000000003</v>
      </c>
      <c r="W31" s="23"/>
      <c r="X31" s="23"/>
      <c r="Y31" s="23"/>
      <c r="Z31" s="23"/>
      <c r="AA31" s="632"/>
      <c r="AB31" s="632"/>
      <c r="AC31" s="25"/>
      <c r="AD31" s="25"/>
      <c r="AE31" s="19">
        <f t="shared" si="28"/>
        <v>-107.48201438848946</v>
      </c>
      <c r="AF31" s="21">
        <f t="shared" si="29"/>
        <v>0.95521582733812938</v>
      </c>
      <c r="AG31" s="637"/>
    </row>
    <row r="32" spans="1:33" ht="15.75" customHeight="1">
      <c r="A32" s="654" t="s">
        <v>63</v>
      </c>
      <c r="B32" s="42" t="s">
        <v>116</v>
      </c>
      <c r="C32" s="653" t="s">
        <v>119</v>
      </c>
      <c r="D32" s="653"/>
      <c r="E32" s="42">
        <v>26.18</v>
      </c>
      <c r="F32" s="38">
        <v>6803</v>
      </c>
      <c r="G32" s="4">
        <f t="shared" si="30"/>
        <v>178102.54</v>
      </c>
      <c r="H32" s="37" t="s">
        <v>91</v>
      </c>
      <c r="I32" s="16">
        <v>18</v>
      </c>
      <c r="J32" s="39">
        <v>2400</v>
      </c>
      <c r="K32" s="17">
        <f t="shared" si="23"/>
        <v>133.33333333333334</v>
      </c>
      <c r="L32" s="16">
        <v>18</v>
      </c>
      <c r="M32" s="18">
        <f t="shared" si="31"/>
        <v>2293.1460674157306</v>
      </c>
      <c r="N32" s="17">
        <f t="shared" si="24"/>
        <v>127.39700374531837</v>
      </c>
      <c r="O32" s="19">
        <f t="shared" si="25"/>
        <v>0</v>
      </c>
      <c r="P32" s="20">
        <f t="shared" si="26"/>
        <v>-5.9363295880149707</v>
      </c>
      <c r="Q32" s="21">
        <f t="shared" si="27"/>
        <v>0.95547752808988773</v>
      </c>
      <c r="R32" s="637"/>
      <c r="S32" s="40">
        <v>0.28333333333333333</v>
      </c>
      <c r="T32" s="40">
        <v>0.40694444444444444</v>
      </c>
      <c r="U32" s="4">
        <f t="shared" si="33"/>
        <v>4.9999999999999822</v>
      </c>
      <c r="V32" s="22">
        <f t="shared" si="32"/>
        <v>178</v>
      </c>
      <c r="W32" s="23"/>
      <c r="X32" s="23"/>
      <c r="Y32" s="23"/>
      <c r="Z32" s="23"/>
      <c r="AA32" s="632"/>
      <c r="AB32" s="632"/>
      <c r="AC32" s="25"/>
      <c r="AD32" s="25"/>
      <c r="AE32" s="19">
        <f t="shared" si="28"/>
        <v>-106.85393258426939</v>
      </c>
      <c r="AF32" s="21">
        <f t="shared" si="29"/>
        <v>0.95547752808988773</v>
      </c>
      <c r="AG32" s="637"/>
    </row>
    <row r="33" spans="1:33" ht="15.75" customHeight="1">
      <c r="A33" s="654" t="s">
        <v>63</v>
      </c>
      <c r="B33" s="42" t="s">
        <v>116</v>
      </c>
      <c r="C33" s="653" t="s">
        <v>120</v>
      </c>
      <c r="D33" s="653"/>
      <c r="E33" s="42">
        <v>25.99</v>
      </c>
      <c r="F33" s="38">
        <v>908</v>
      </c>
      <c r="G33" s="4">
        <f t="shared" si="30"/>
        <v>23598.92</v>
      </c>
      <c r="H33" s="37" t="s">
        <v>91</v>
      </c>
      <c r="I33" s="16">
        <v>18</v>
      </c>
      <c r="J33" s="39">
        <v>2400</v>
      </c>
      <c r="K33" s="17">
        <f t="shared" si="23"/>
        <v>133.33333333333334</v>
      </c>
      <c r="L33" s="16">
        <v>18</v>
      </c>
      <c r="M33" s="18">
        <f t="shared" si="31"/>
        <v>2368.695652173913</v>
      </c>
      <c r="N33" s="17">
        <f t="shared" si="24"/>
        <v>131.59420289855072</v>
      </c>
      <c r="O33" s="19">
        <f t="shared" si="25"/>
        <v>0</v>
      </c>
      <c r="P33" s="20">
        <f t="shared" si="26"/>
        <v>-1.7391304347826235</v>
      </c>
      <c r="Q33" s="21">
        <f t="shared" si="27"/>
        <v>0.98695652173913029</v>
      </c>
      <c r="R33" s="637"/>
      <c r="S33" s="40">
        <v>0.41041666666666665</v>
      </c>
      <c r="T33" s="40">
        <v>0.42638888888888887</v>
      </c>
      <c r="U33" s="4">
        <f t="shared" si="33"/>
        <v>4.9999999999999822</v>
      </c>
      <c r="V33" s="22">
        <f t="shared" si="32"/>
        <v>23</v>
      </c>
      <c r="W33" s="23"/>
      <c r="X33" s="23"/>
      <c r="Y33" s="23"/>
      <c r="Z33" s="23"/>
      <c r="AA33" s="632"/>
      <c r="AB33" s="632"/>
      <c r="AC33" s="25"/>
      <c r="AD33" s="25"/>
      <c r="AE33" s="19">
        <f t="shared" si="28"/>
        <v>-31.304347826086996</v>
      </c>
      <c r="AF33" s="21">
        <f t="shared" si="29"/>
        <v>0.9869565217391304</v>
      </c>
      <c r="AG33" s="637"/>
    </row>
    <row r="34" spans="1:33" ht="15.75" customHeight="1">
      <c r="A34" s="654" t="s">
        <v>64</v>
      </c>
      <c r="B34" s="42" t="s">
        <v>116</v>
      </c>
      <c r="C34" s="653" t="s">
        <v>121</v>
      </c>
      <c r="D34" s="653"/>
      <c r="E34" s="42">
        <v>25.99</v>
      </c>
      <c r="F34" s="38">
        <v>3100</v>
      </c>
      <c r="G34" s="4">
        <f t="shared" si="30"/>
        <v>80569</v>
      </c>
      <c r="H34" s="37" t="s">
        <v>91</v>
      </c>
      <c r="I34" s="16">
        <v>14</v>
      </c>
      <c r="J34" s="39">
        <v>2400</v>
      </c>
      <c r="K34" s="17">
        <f t="shared" si="23"/>
        <v>171.42857142857142</v>
      </c>
      <c r="L34" s="16">
        <v>14</v>
      </c>
      <c r="M34" s="18">
        <f t="shared" si="31"/>
        <v>2296.2962962962956</v>
      </c>
      <c r="N34" s="17">
        <f t="shared" si="24"/>
        <v>164.02116402116397</v>
      </c>
      <c r="O34" s="19">
        <f t="shared" si="25"/>
        <v>0</v>
      </c>
      <c r="P34" s="20">
        <f t="shared" si="26"/>
        <v>-7.4074074074074474</v>
      </c>
      <c r="Q34" s="21">
        <f t="shared" si="27"/>
        <v>0.95679012345678993</v>
      </c>
      <c r="R34" s="637"/>
      <c r="S34" s="40">
        <v>0.42986111111111108</v>
      </c>
      <c r="T34" s="40">
        <v>0.4861111111111111</v>
      </c>
      <c r="U34" s="4">
        <f t="shared" si="33"/>
        <v>4.9999999999999822</v>
      </c>
      <c r="V34" s="22">
        <f t="shared" si="32"/>
        <v>81.000000000000028</v>
      </c>
      <c r="W34" s="23"/>
      <c r="X34" s="23"/>
      <c r="Y34" s="23"/>
      <c r="Z34" s="23"/>
      <c r="AA34" s="632"/>
      <c r="AB34" s="632"/>
      <c r="AC34" s="25"/>
      <c r="AD34" s="25"/>
      <c r="AE34" s="19">
        <f t="shared" si="28"/>
        <v>-103.70370370370438</v>
      </c>
      <c r="AF34" s="21">
        <f t="shared" si="29"/>
        <v>0.95679012345678982</v>
      </c>
      <c r="AG34" s="637"/>
    </row>
    <row r="35" spans="1:33" ht="15.75" customHeight="1">
      <c r="A35" s="654" t="s">
        <v>63</v>
      </c>
      <c r="B35" s="42" t="s">
        <v>116</v>
      </c>
      <c r="C35" s="653" t="s">
        <v>122</v>
      </c>
      <c r="D35" s="653"/>
      <c r="E35" s="42">
        <v>20.21</v>
      </c>
      <c r="F35" s="38">
        <v>1723</v>
      </c>
      <c r="G35" s="4">
        <f t="shared" si="30"/>
        <v>34821.83</v>
      </c>
      <c r="H35" s="37" t="s">
        <v>91</v>
      </c>
      <c r="I35" s="16">
        <v>18</v>
      </c>
      <c r="J35" s="39">
        <v>2400</v>
      </c>
      <c r="K35" s="17">
        <f t="shared" si="23"/>
        <v>133.33333333333334</v>
      </c>
      <c r="L35" s="16">
        <v>18</v>
      </c>
      <c r="M35" s="18">
        <f t="shared" si="31"/>
        <v>2297.3333333333371</v>
      </c>
      <c r="N35" s="17">
        <f t="shared" si="24"/>
        <v>127.62962962962985</v>
      </c>
      <c r="O35" s="19">
        <f t="shared" si="25"/>
        <v>0</v>
      </c>
      <c r="P35" s="20">
        <f t="shared" si="26"/>
        <v>-5.7037037037034963</v>
      </c>
      <c r="Q35" s="21">
        <f t="shared" si="27"/>
        <v>0.95722222222222375</v>
      </c>
      <c r="R35" s="637"/>
      <c r="S35" s="40">
        <v>0.48958333333333331</v>
      </c>
      <c r="T35" s="40">
        <v>0.52083333333333326</v>
      </c>
      <c r="U35" s="4">
        <f t="shared" si="33"/>
        <v>4.9999999999999822</v>
      </c>
      <c r="V35" s="22">
        <f t="shared" si="32"/>
        <v>44.999999999999922</v>
      </c>
      <c r="W35" s="23">
        <f>T35</f>
        <v>0.52083333333333326</v>
      </c>
      <c r="X35" s="23">
        <f>S36</f>
        <v>0.56249999999999989</v>
      </c>
      <c r="Y35" s="23"/>
      <c r="Z35" s="23"/>
      <c r="AA35" s="632"/>
      <c r="AB35" s="632"/>
      <c r="AC35" s="25"/>
      <c r="AD35" s="25"/>
      <c r="AE35" s="19">
        <f t="shared" si="28"/>
        <v>-102.66666666666288</v>
      </c>
      <c r="AF35" s="21">
        <f t="shared" si="29"/>
        <v>0.95722222222222375</v>
      </c>
      <c r="AG35" s="637"/>
    </row>
    <row r="36" spans="1:33" ht="15.75" customHeight="1">
      <c r="A36" s="654" t="s">
        <v>63</v>
      </c>
      <c r="B36" s="42" t="s">
        <v>116</v>
      </c>
      <c r="C36" s="653" t="s">
        <v>117</v>
      </c>
      <c r="D36" s="653"/>
      <c r="E36" s="42">
        <v>31.29</v>
      </c>
      <c r="F36" s="38">
        <v>3327</v>
      </c>
      <c r="G36" s="4">
        <f t="shared" si="30"/>
        <v>104101.83</v>
      </c>
      <c r="H36" s="37" t="s">
        <v>91</v>
      </c>
      <c r="I36" s="16">
        <v>18</v>
      </c>
      <c r="J36" s="39">
        <v>2400</v>
      </c>
      <c r="K36" s="17">
        <f t="shared" si="23"/>
        <v>133.33333333333334</v>
      </c>
      <c r="L36" s="16">
        <v>18</v>
      </c>
      <c r="M36" s="18">
        <f t="shared" si="31"/>
        <v>2294.4827586206893</v>
      </c>
      <c r="N36" s="17">
        <f t="shared" si="24"/>
        <v>127.47126436781608</v>
      </c>
      <c r="O36" s="19">
        <f t="shared" si="25"/>
        <v>0</v>
      </c>
      <c r="P36" s="20">
        <f t="shared" si="26"/>
        <v>-5.8620689655172669</v>
      </c>
      <c r="Q36" s="21">
        <f t="shared" si="27"/>
        <v>0.95603448275862046</v>
      </c>
      <c r="R36" s="637"/>
      <c r="S36" s="40">
        <v>0.56249999999999989</v>
      </c>
      <c r="T36" s="40">
        <v>0.62291666666666656</v>
      </c>
      <c r="U36" s="4">
        <f t="shared" si="33"/>
        <v>59.999999999999943</v>
      </c>
      <c r="V36" s="22">
        <f t="shared" si="32"/>
        <v>87.000000000000014</v>
      </c>
      <c r="W36" s="23"/>
      <c r="X36" s="23"/>
      <c r="Y36" s="23"/>
      <c r="Z36" s="23"/>
      <c r="AA36" s="632"/>
      <c r="AB36" s="632"/>
      <c r="AC36" s="25"/>
      <c r="AD36" s="25"/>
      <c r="AE36" s="19">
        <f t="shared" si="28"/>
        <v>-105.51724137931069</v>
      </c>
      <c r="AF36" s="21">
        <f t="shared" si="29"/>
        <v>0.95603448275862057</v>
      </c>
      <c r="AG36" s="637"/>
    </row>
    <row r="37" spans="1:33" ht="15.75" customHeight="1">
      <c r="A37" s="654" t="s">
        <v>63</v>
      </c>
      <c r="B37" s="42" t="s">
        <v>65</v>
      </c>
      <c r="C37" s="638"/>
      <c r="D37" s="638"/>
      <c r="E37" s="43"/>
      <c r="F37" s="38"/>
      <c r="G37" s="4"/>
      <c r="H37" s="38"/>
      <c r="I37" s="29">
        <v>17.428571428571427</v>
      </c>
      <c r="J37" s="39">
        <v>2400</v>
      </c>
      <c r="K37" s="17">
        <f t="shared" si="23"/>
        <v>137.70491803278691</v>
      </c>
      <c r="L37" s="29">
        <v>17.428571428571427</v>
      </c>
      <c r="M37" s="18">
        <f>AVERAGE(M30:M36)</f>
        <v>2304.3725266674023</v>
      </c>
      <c r="N37" s="17">
        <f t="shared" si="24"/>
        <v>132.21809579239195</v>
      </c>
      <c r="O37" s="19">
        <f t="shared" si="25"/>
        <v>0</v>
      </c>
      <c r="P37" s="20">
        <f t="shared" si="26"/>
        <v>-5.4868222403949574</v>
      </c>
      <c r="Q37" s="21">
        <f t="shared" si="27"/>
        <v>0.96015521944475091</v>
      </c>
      <c r="R37" s="637"/>
      <c r="S37" s="40"/>
      <c r="T37" s="40"/>
      <c r="U37" s="4"/>
      <c r="V37" s="22"/>
      <c r="W37" s="4"/>
      <c r="X37" s="4"/>
      <c r="Y37" s="30">
        <f>SUM(Y30:Y36)</f>
        <v>0</v>
      </c>
      <c r="Z37" s="30">
        <f>SUM(Z30:Z36)</f>
        <v>0</v>
      </c>
      <c r="AA37" s="631"/>
      <c r="AB37" s="631"/>
      <c r="AC37" s="30">
        <v>7</v>
      </c>
      <c r="AD37" s="30">
        <v>0</v>
      </c>
      <c r="AE37" s="19">
        <f t="shared" si="28"/>
        <v>-95.627473332597674</v>
      </c>
      <c r="AF37" s="21">
        <f t="shared" si="29"/>
        <v>0.96015521944475102</v>
      </c>
      <c r="AG37" s="637"/>
    </row>
    <row r="38" spans="1:33" ht="15.75" customHeight="1">
      <c r="A38" s="651" t="s">
        <v>66</v>
      </c>
      <c r="B38" s="42" t="s">
        <v>116</v>
      </c>
      <c r="C38" s="633" t="s">
        <v>123</v>
      </c>
      <c r="D38" s="633"/>
      <c r="E38" s="42">
        <v>26.18</v>
      </c>
      <c r="F38" s="38">
        <v>5011</v>
      </c>
      <c r="G38" s="4">
        <f t="shared" ref="G38:G41" si="34">E38*F38</f>
        <v>131187.98000000001</v>
      </c>
      <c r="H38" s="37" t="s">
        <v>91</v>
      </c>
      <c r="I38" s="16">
        <v>20</v>
      </c>
      <c r="J38" s="39">
        <v>2400</v>
      </c>
      <c r="K38" s="17">
        <f t="shared" si="23"/>
        <v>120</v>
      </c>
      <c r="L38" s="16">
        <v>20</v>
      </c>
      <c r="M38" s="18">
        <f t="shared" ref="M38:M41" si="35">F38/V38*60</f>
        <v>2295.1145038167942</v>
      </c>
      <c r="N38" s="17">
        <f t="shared" si="24"/>
        <v>114.75572519083971</v>
      </c>
      <c r="O38" s="19">
        <f t="shared" si="25"/>
        <v>0</v>
      </c>
      <c r="P38" s="20">
        <f t="shared" si="26"/>
        <v>-5.244274809160288</v>
      </c>
      <c r="Q38" s="21">
        <f t="shared" si="27"/>
        <v>0.95629770992366425</v>
      </c>
      <c r="R38" s="637">
        <f>Q42</f>
        <v>0.95753346494343305</v>
      </c>
      <c r="S38" s="40">
        <v>8.3333333333333329E-2</v>
      </c>
      <c r="T38" s="40">
        <v>0.17430555555555555</v>
      </c>
      <c r="U38" s="4"/>
      <c r="V38" s="22">
        <f t="shared" ref="V38:V41" si="36">(T38-S38)*24*60</f>
        <v>131</v>
      </c>
      <c r="W38" s="28">
        <f>T38</f>
        <v>0.17430555555555555</v>
      </c>
      <c r="X38" s="28">
        <f>S39</f>
        <v>0.19444444444444445</v>
      </c>
      <c r="Y38" s="28"/>
      <c r="Z38" s="28"/>
      <c r="AA38" s="632"/>
      <c r="AB38" s="632"/>
      <c r="AC38" s="25">
        <v>4</v>
      </c>
      <c r="AD38" s="25"/>
      <c r="AE38" s="19">
        <f t="shared" si="28"/>
        <v>-104.88549618320576</v>
      </c>
      <c r="AF38" s="21">
        <f t="shared" si="29"/>
        <v>0.95629770992366425</v>
      </c>
      <c r="AG38" s="637">
        <f>AF42</f>
        <v>0.95753346494343305</v>
      </c>
    </row>
    <row r="39" spans="1:33" ht="15.75" customHeight="1">
      <c r="A39" s="651" t="s">
        <v>67</v>
      </c>
      <c r="B39" s="42" t="s">
        <v>116</v>
      </c>
      <c r="C39" s="633" t="s">
        <v>124</v>
      </c>
      <c r="D39" s="633"/>
      <c r="E39" s="42">
        <v>24.43</v>
      </c>
      <c r="F39" s="38">
        <v>6013</v>
      </c>
      <c r="G39" s="4">
        <f t="shared" si="34"/>
        <v>146897.59</v>
      </c>
      <c r="H39" s="37" t="s">
        <v>91</v>
      </c>
      <c r="I39" s="16">
        <v>14</v>
      </c>
      <c r="J39" s="39">
        <v>2400</v>
      </c>
      <c r="K39" s="17">
        <f t="shared" si="23"/>
        <v>171.42857142857142</v>
      </c>
      <c r="L39" s="16">
        <v>14</v>
      </c>
      <c r="M39" s="18">
        <f t="shared" si="35"/>
        <v>2297.9617834394899</v>
      </c>
      <c r="N39" s="17">
        <f t="shared" si="24"/>
        <v>164.14012738853498</v>
      </c>
      <c r="O39" s="19">
        <f t="shared" si="25"/>
        <v>0</v>
      </c>
      <c r="P39" s="20">
        <f t="shared" si="26"/>
        <v>-7.2884440400364383</v>
      </c>
      <c r="Q39" s="21">
        <f t="shared" si="27"/>
        <v>0.95748407643312072</v>
      </c>
      <c r="R39" s="637"/>
      <c r="S39" s="40">
        <v>0.19444444444444445</v>
      </c>
      <c r="T39" s="40">
        <v>0.30347222222222225</v>
      </c>
      <c r="U39" s="4">
        <f t="shared" ref="U39:U41" si="37">(S39-T38)*24*60</f>
        <v>29.000000000000018</v>
      </c>
      <c r="V39" s="22">
        <f t="shared" si="36"/>
        <v>157.00000000000003</v>
      </c>
      <c r="W39" s="4"/>
      <c r="X39" s="4"/>
      <c r="Y39" s="4"/>
      <c r="Z39" s="4"/>
      <c r="AA39" s="632"/>
      <c r="AB39" s="632"/>
      <c r="AC39" s="25"/>
      <c r="AD39" s="25"/>
      <c r="AE39" s="19">
        <f t="shared" si="28"/>
        <v>-102.03821656051014</v>
      </c>
      <c r="AF39" s="21">
        <f t="shared" si="29"/>
        <v>0.95748407643312072</v>
      </c>
      <c r="AG39" s="637"/>
    </row>
    <row r="40" spans="1:33">
      <c r="A40" s="652" t="s">
        <v>67</v>
      </c>
      <c r="B40" s="42" t="s">
        <v>116</v>
      </c>
      <c r="C40" s="633" t="s">
        <v>125</v>
      </c>
      <c r="D40" s="633"/>
      <c r="E40" s="42">
        <v>25.98</v>
      </c>
      <c r="F40" s="38">
        <v>2800</v>
      </c>
      <c r="G40" s="4">
        <f t="shared" si="34"/>
        <v>72744</v>
      </c>
      <c r="H40" s="37" t="s">
        <v>91</v>
      </c>
      <c r="I40" s="16">
        <v>20</v>
      </c>
      <c r="J40" s="39">
        <v>2400</v>
      </c>
      <c r="K40" s="17">
        <f t="shared" si="23"/>
        <v>120</v>
      </c>
      <c r="L40" s="16">
        <v>20</v>
      </c>
      <c r="M40" s="18">
        <f t="shared" si="35"/>
        <v>2301.3698630136987</v>
      </c>
      <c r="N40" s="17">
        <f t="shared" si="24"/>
        <v>115.06849315068493</v>
      </c>
      <c r="O40" s="19">
        <f t="shared" si="25"/>
        <v>0</v>
      </c>
      <c r="P40" s="20">
        <f t="shared" si="26"/>
        <v>-4.9315068493150704</v>
      </c>
      <c r="Q40" s="21">
        <f t="shared" si="27"/>
        <v>0.95890410958904104</v>
      </c>
      <c r="R40" s="637"/>
      <c r="S40" s="40">
        <v>0.30763888888888891</v>
      </c>
      <c r="T40" s="40">
        <v>0.35833333333333334</v>
      </c>
      <c r="U40" s="4">
        <f t="shared" si="37"/>
        <v>5.9999999999999787</v>
      </c>
      <c r="V40" s="22">
        <f t="shared" si="36"/>
        <v>72.999999999999986</v>
      </c>
      <c r="W40" s="4"/>
      <c r="X40" s="4"/>
      <c r="Y40" s="4"/>
      <c r="Z40" s="4"/>
      <c r="AA40" s="632"/>
      <c r="AB40" s="632"/>
      <c r="AC40" s="25"/>
      <c r="AD40" s="25"/>
      <c r="AE40" s="19">
        <f t="shared" si="28"/>
        <v>-98.630136986301295</v>
      </c>
      <c r="AF40" s="21">
        <f t="shared" si="29"/>
        <v>0.95890410958904115</v>
      </c>
      <c r="AG40" s="637"/>
    </row>
    <row r="41" spans="1:33">
      <c r="A41" s="652" t="s">
        <v>66</v>
      </c>
      <c r="B41" s="42" t="s">
        <v>116</v>
      </c>
      <c r="C41" s="633" t="s">
        <v>126</v>
      </c>
      <c r="D41" s="633"/>
      <c r="E41" s="42">
        <v>34.1</v>
      </c>
      <c r="F41" s="38">
        <v>5387</v>
      </c>
      <c r="G41" s="4">
        <f t="shared" si="34"/>
        <v>183696.7</v>
      </c>
      <c r="H41" s="37" t="s">
        <v>91</v>
      </c>
      <c r="I41" s="16">
        <v>17</v>
      </c>
      <c r="J41" s="39">
        <v>1600</v>
      </c>
      <c r="K41" s="17">
        <f t="shared" si="23"/>
        <v>94.117647058823536</v>
      </c>
      <c r="L41" s="16">
        <v>17</v>
      </c>
      <c r="M41" s="18">
        <f t="shared" si="35"/>
        <v>1531.8483412322278</v>
      </c>
      <c r="N41" s="17">
        <f t="shared" si="24"/>
        <v>90.108725954836927</v>
      </c>
      <c r="O41" s="19">
        <f t="shared" si="25"/>
        <v>0</v>
      </c>
      <c r="P41" s="20">
        <f t="shared" si="26"/>
        <v>-4.0089211039866086</v>
      </c>
      <c r="Q41" s="21">
        <f t="shared" si="27"/>
        <v>0.95740521327014227</v>
      </c>
      <c r="R41" s="637"/>
      <c r="S41" s="40">
        <v>0.36180555555555555</v>
      </c>
      <c r="T41" s="40">
        <v>0.5083333333333333</v>
      </c>
      <c r="U41" s="4">
        <f t="shared" si="37"/>
        <v>4.9999999999999822</v>
      </c>
      <c r="V41" s="22">
        <f t="shared" si="36"/>
        <v>210.99999999999997</v>
      </c>
      <c r="W41" s="23"/>
      <c r="X41" s="23"/>
      <c r="Y41" s="23"/>
      <c r="Z41" s="23"/>
      <c r="AA41" s="632"/>
      <c r="AB41" s="632"/>
      <c r="AC41" s="25"/>
      <c r="AD41" s="25"/>
      <c r="AE41" s="19">
        <f t="shared" si="28"/>
        <v>-68.151658767772233</v>
      </c>
      <c r="AF41" s="21">
        <f t="shared" si="29"/>
        <v>0.95740521327014239</v>
      </c>
      <c r="AG41" s="637"/>
    </row>
    <row r="42" spans="1:33">
      <c r="A42" s="652" t="s">
        <v>68</v>
      </c>
      <c r="B42" s="44" t="s">
        <v>69</v>
      </c>
      <c r="C42" s="638"/>
      <c r="D42" s="638"/>
      <c r="E42" s="43"/>
      <c r="F42" s="44"/>
      <c r="G42" s="17"/>
      <c r="H42" s="38"/>
      <c r="I42" s="29">
        <v>17.75</v>
      </c>
      <c r="J42" s="39">
        <v>2200</v>
      </c>
      <c r="K42" s="17">
        <f t="shared" si="23"/>
        <v>123.94366197183099</v>
      </c>
      <c r="L42" s="29">
        <v>17.75</v>
      </c>
      <c r="M42" s="18">
        <f>AVERAGE(M38:M41)</f>
        <v>2106.5736228755527</v>
      </c>
      <c r="N42" s="17">
        <f t="shared" si="24"/>
        <v>118.68020410566494</v>
      </c>
      <c r="O42" s="19">
        <f t="shared" si="25"/>
        <v>0</v>
      </c>
      <c r="P42" s="20">
        <f t="shared" si="26"/>
        <v>-5.2634578661660498</v>
      </c>
      <c r="Q42" s="21">
        <f t="shared" si="27"/>
        <v>0.95753346494343305</v>
      </c>
      <c r="R42" s="637"/>
      <c r="S42" s="40"/>
      <c r="T42" s="40"/>
      <c r="U42" s="17"/>
      <c r="V42" s="22"/>
      <c r="W42" s="17"/>
      <c r="X42" s="17"/>
      <c r="Y42" s="30">
        <f>SUM(Y38:Y41)</f>
        <v>0</v>
      </c>
      <c r="Z42" s="30">
        <f>SUM(Z38:Z41)</f>
        <v>0</v>
      </c>
      <c r="AA42" s="631"/>
      <c r="AB42" s="631"/>
      <c r="AC42" s="30">
        <v>4</v>
      </c>
      <c r="AD42" s="30">
        <v>0</v>
      </c>
      <c r="AE42" s="19">
        <f t="shared" si="28"/>
        <v>-93.426377124447299</v>
      </c>
      <c r="AF42" s="21">
        <f t="shared" si="29"/>
        <v>0.95753346494343305</v>
      </c>
      <c r="AG42" s="637"/>
    </row>
    <row r="43" spans="1:33" ht="15.75" customHeight="1">
      <c r="A43" s="648" t="s">
        <v>70</v>
      </c>
      <c r="B43" s="42" t="s">
        <v>127</v>
      </c>
      <c r="C43" s="625" t="s">
        <v>128</v>
      </c>
      <c r="D43" s="626"/>
      <c r="E43" s="42">
        <v>21.13</v>
      </c>
      <c r="F43" s="38">
        <v>4899</v>
      </c>
      <c r="G43" s="4">
        <f t="shared" ref="G43:G46" si="38">E43*F43</f>
        <v>103515.87</v>
      </c>
      <c r="H43" s="37" t="s">
        <v>91</v>
      </c>
      <c r="I43" s="16">
        <v>10</v>
      </c>
      <c r="J43" s="39">
        <v>3000</v>
      </c>
      <c r="K43" s="17">
        <f t="shared" si="23"/>
        <v>300</v>
      </c>
      <c r="L43" s="16">
        <v>10</v>
      </c>
      <c r="M43" s="18">
        <f t="shared" ref="M43:M46" si="39">F43/V43*60</f>
        <v>2853.7864077669906</v>
      </c>
      <c r="N43" s="18">
        <f t="shared" si="24"/>
        <v>285.37864077669906</v>
      </c>
      <c r="O43" s="19">
        <f t="shared" si="25"/>
        <v>0</v>
      </c>
      <c r="P43" s="20">
        <f t="shared" si="26"/>
        <v>-14.621359223300942</v>
      </c>
      <c r="Q43" s="21">
        <f t="shared" si="27"/>
        <v>0.95126213592233022</v>
      </c>
      <c r="R43" s="643">
        <f>Q47</f>
        <v>0.96050745317250219</v>
      </c>
      <c r="S43" s="40">
        <v>0.20833333333333334</v>
      </c>
      <c r="T43" s="40">
        <v>0.27986111111111112</v>
      </c>
      <c r="U43" s="28"/>
      <c r="V43" s="22">
        <f t="shared" ref="V43:V46" si="40">(T43-S43)*24*60</f>
        <v>103</v>
      </c>
      <c r="W43" s="23"/>
      <c r="X43" s="23"/>
      <c r="Y43" s="26"/>
      <c r="Z43" s="26"/>
      <c r="AA43" s="627"/>
      <c r="AB43" s="628"/>
      <c r="AC43" s="25">
        <v>4</v>
      </c>
      <c r="AD43" s="25"/>
      <c r="AE43" s="19">
        <f t="shared" si="28"/>
        <v>-146.21359223300942</v>
      </c>
      <c r="AF43" s="21">
        <f t="shared" si="29"/>
        <v>0.95126213592233022</v>
      </c>
      <c r="AG43" s="643">
        <f>AF47</f>
        <v>0.96050745317250219</v>
      </c>
    </row>
    <row r="44" spans="1:33" ht="15.75" customHeight="1">
      <c r="A44" s="649" t="s">
        <v>71</v>
      </c>
      <c r="B44" s="42" t="s">
        <v>127</v>
      </c>
      <c r="C44" s="625" t="s">
        <v>129</v>
      </c>
      <c r="D44" s="626"/>
      <c r="E44" s="42">
        <v>27.17</v>
      </c>
      <c r="F44" s="38">
        <v>4303</v>
      </c>
      <c r="G44" s="4">
        <f t="shared" si="38"/>
        <v>116912.51000000001</v>
      </c>
      <c r="H44" s="37" t="s">
        <v>91</v>
      </c>
      <c r="I44" s="16">
        <v>10</v>
      </c>
      <c r="J44" s="39">
        <v>3000</v>
      </c>
      <c r="K44" s="17">
        <f t="shared" si="23"/>
        <v>300</v>
      </c>
      <c r="L44" s="16">
        <v>10</v>
      </c>
      <c r="M44" s="18">
        <f t="shared" si="39"/>
        <v>2868.6666666666665</v>
      </c>
      <c r="N44" s="18">
        <f t="shared" si="24"/>
        <v>286.86666666666667</v>
      </c>
      <c r="O44" s="19">
        <f t="shared" si="25"/>
        <v>0</v>
      </c>
      <c r="P44" s="20">
        <f t="shared" si="26"/>
        <v>-13.133333333333326</v>
      </c>
      <c r="Q44" s="21">
        <f t="shared" si="27"/>
        <v>0.9562222222222222</v>
      </c>
      <c r="R44" s="644"/>
      <c r="S44" s="40">
        <v>0.28333333333333333</v>
      </c>
      <c r="T44" s="40">
        <v>0.34583333333333333</v>
      </c>
      <c r="U44" s="4">
        <f t="shared" ref="U44:U46" si="41">(S44-T43)*24*60</f>
        <v>4.9999999999999822</v>
      </c>
      <c r="V44" s="22">
        <f t="shared" si="40"/>
        <v>90</v>
      </c>
      <c r="W44" s="23"/>
      <c r="X44" s="23"/>
      <c r="Y44" s="26"/>
      <c r="Z44" s="26"/>
      <c r="AA44" s="627"/>
      <c r="AB44" s="628"/>
      <c r="AC44" s="25"/>
      <c r="AD44" s="25"/>
      <c r="AE44" s="19">
        <f t="shared" si="28"/>
        <v>-131.33333333333348</v>
      </c>
      <c r="AF44" s="21">
        <f t="shared" si="29"/>
        <v>0.9562222222222222</v>
      </c>
      <c r="AG44" s="644"/>
    </row>
    <row r="45" spans="1:33" ht="15.75" customHeight="1">
      <c r="A45" s="649" t="s">
        <v>72</v>
      </c>
      <c r="B45" s="42" t="s">
        <v>127</v>
      </c>
      <c r="C45" s="625" t="s">
        <v>130</v>
      </c>
      <c r="D45" s="626"/>
      <c r="E45" s="42">
        <v>35.869999999999997</v>
      </c>
      <c r="F45" s="38">
        <v>1569</v>
      </c>
      <c r="G45" s="4">
        <f t="shared" si="38"/>
        <v>56280.03</v>
      </c>
      <c r="H45" s="37" t="s">
        <v>91</v>
      </c>
      <c r="I45" s="16">
        <v>9</v>
      </c>
      <c r="J45" s="39">
        <v>3000</v>
      </c>
      <c r="K45" s="17">
        <f t="shared" si="23"/>
        <v>333.33333333333331</v>
      </c>
      <c r="L45" s="16">
        <v>9</v>
      </c>
      <c r="M45" s="18">
        <f t="shared" si="39"/>
        <v>2852.7272727272689</v>
      </c>
      <c r="N45" s="18">
        <f t="shared" si="24"/>
        <v>316.96969696969654</v>
      </c>
      <c r="O45" s="19">
        <f t="shared" si="25"/>
        <v>0</v>
      </c>
      <c r="P45" s="20">
        <f t="shared" si="26"/>
        <v>-16.363636363636772</v>
      </c>
      <c r="Q45" s="21">
        <f t="shared" si="27"/>
        <v>0.9509090909090897</v>
      </c>
      <c r="R45" s="644"/>
      <c r="S45" s="40">
        <v>0.35138888888888886</v>
      </c>
      <c r="T45" s="40">
        <v>0.37430555555555556</v>
      </c>
      <c r="U45" s="4">
        <f t="shared" si="41"/>
        <v>7.9999999999999716</v>
      </c>
      <c r="V45" s="22">
        <f t="shared" si="40"/>
        <v>33.000000000000043</v>
      </c>
      <c r="W45" s="23"/>
      <c r="X45" s="23"/>
      <c r="Y45" s="26"/>
      <c r="Z45" s="26"/>
      <c r="AA45" s="627"/>
      <c r="AB45" s="628"/>
      <c r="AC45" s="25"/>
      <c r="AD45" s="25"/>
      <c r="AE45" s="19">
        <f t="shared" si="28"/>
        <v>-147.27272727273112</v>
      </c>
      <c r="AF45" s="21">
        <f t="shared" si="29"/>
        <v>0.95090909090908959</v>
      </c>
      <c r="AG45" s="644"/>
    </row>
    <row r="46" spans="1:33" ht="15.75" customHeight="1">
      <c r="A46" s="649" t="s">
        <v>72</v>
      </c>
      <c r="B46" s="42" t="s">
        <v>127</v>
      </c>
      <c r="C46" s="625" t="s">
        <v>131</v>
      </c>
      <c r="D46" s="626"/>
      <c r="E46" s="42">
        <v>34.35</v>
      </c>
      <c r="F46" s="38">
        <v>541</v>
      </c>
      <c r="G46" s="4">
        <f t="shared" si="38"/>
        <v>18583.350000000002</v>
      </c>
      <c r="H46" s="37" t="s">
        <v>91</v>
      </c>
      <c r="I46" s="16">
        <v>8</v>
      </c>
      <c r="J46" s="39">
        <v>3000</v>
      </c>
      <c r="K46" s="17">
        <f t="shared" si="23"/>
        <v>375</v>
      </c>
      <c r="L46" s="16">
        <v>8</v>
      </c>
      <c r="M46" s="18">
        <f t="shared" si="39"/>
        <v>2950.9090909091015</v>
      </c>
      <c r="N46" s="18">
        <f t="shared" si="24"/>
        <v>368.86363636363768</v>
      </c>
      <c r="O46" s="19">
        <f t="shared" si="25"/>
        <v>0</v>
      </c>
      <c r="P46" s="20">
        <f t="shared" si="26"/>
        <v>-6.1363636363623186</v>
      </c>
      <c r="Q46" s="21">
        <f t="shared" si="27"/>
        <v>0.98363636363636719</v>
      </c>
      <c r="R46" s="644"/>
      <c r="S46" s="40">
        <v>0.37777777777777777</v>
      </c>
      <c r="T46" s="40">
        <v>0.38541666666666663</v>
      </c>
      <c r="U46" s="4">
        <f t="shared" si="41"/>
        <v>4.9999999999999822</v>
      </c>
      <c r="V46" s="22">
        <f t="shared" si="40"/>
        <v>10.999999999999961</v>
      </c>
      <c r="W46" s="23"/>
      <c r="X46" s="23"/>
      <c r="Y46" s="26"/>
      <c r="Z46" s="26"/>
      <c r="AA46" s="627"/>
      <c r="AB46" s="628"/>
      <c r="AC46" s="25"/>
      <c r="AD46" s="25"/>
      <c r="AE46" s="19">
        <f t="shared" si="28"/>
        <v>-49.090909090898549</v>
      </c>
      <c r="AF46" s="21">
        <f t="shared" si="29"/>
        <v>0.98363636363636719</v>
      </c>
      <c r="AG46" s="644"/>
    </row>
    <row r="47" spans="1:33" ht="15.75" customHeight="1">
      <c r="A47" s="650" t="s">
        <v>73</v>
      </c>
      <c r="B47" s="42" t="s">
        <v>74</v>
      </c>
      <c r="C47" s="629"/>
      <c r="D47" s="630"/>
      <c r="E47" s="47"/>
      <c r="F47" s="38"/>
      <c r="G47" s="4"/>
      <c r="H47" s="38"/>
      <c r="I47" s="29">
        <v>9.25</v>
      </c>
      <c r="J47" s="39">
        <v>3000</v>
      </c>
      <c r="K47" s="17">
        <f t="shared" si="23"/>
        <v>324.32432432432432</v>
      </c>
      <c r="L47" s="29">
        <v>9.25</v>
      </c>
      <c r="M47" s="18">
        <f>AVERAGE(M43:M46)</f>
        <v>2881.5223595175066</v>
      </c>
      <c r="N47" s="17">
        <f t="shared" si="24"/>
        <v>311.51593075864935</v>
      </c>
      <c r="O47" s="19">
        <f t="shared" si="25"/>
        <v>0</v>
      </c>
      <c r="P47" s="20">
        <f t="shared" si="26"/>
        <v>-12.808393565674976</v>
      </c>
      <c r="Q47" s="21">
        <f t="shared" si="27"/>
        <v>0.96050745317250219</v>
      </c>
      <c r="R47" s="645"/>
      <c r="S47" s="40"/>
      <c r="T47" s="40"/>
      <c r="U47" s="4"/>
      <c r="V47" s="22"/>
      <c r="W47" s="23"/>
      <c r="X47" s="23"/>
      <c r="Y47" s="30">
        <f>SUM(Y43:Y46)</f>
        <v>0</v>
      </c>
      <c r="Z47" s="30">
        <f>SUM(Z43:Z46)</f>
        <v>0</v>
      </c>
      <c r="AA47" s="646"/>
      <c r="AB47" s="647"/>
      <c r="AC47" s="30">
        <v>4</v>
      </c>
      <c r="AD47" s="30">
        <v>0</v>
      </c>
      <c r="AE47" s="19">
        <f t="shared" si="28"/>
        <v>-118.47764048249337</v>
      </c>
      <c r="AF47" s="21">
        <f t="shared" si="29"/>
        <v>0.96050745317250219</v>
      </c>
      <c r="AG47" s="645"/>
    </row>
    <row r="48" spans="1:33" ht="15.75" customHeight="1">
      <c r="A48" s="641" t="s">
        <v>75</v>
      </c>
      <c r="B48" s="42" t="s">
        <v>103</v>
      </c>
      <c r="C48" s="633" t="s">
        <v>132</v>
      </c>
      <c r="D48" s="633"/>
      <c r="E48" s="42">
        <v>51.44</v>
      </c>
      <c r="F48" s="48">
        <v>7135</v>
      </c>
      <c r="G48" s="4">
        <f t="shared" ref="G48:G56" si="42">E48*F48</f>
        <v>367024.39999999997</v>
      </c>
      <c r="H48" s="37" t="s">
        <v>91</v>
      </c>
      <c r="I48" s="16">
        <v>18</v>
      </c>
      <c r="J48" s="39">
        <v>2000</v>
      </c>
      <c r="K48" s="17">
        <f t="shared" si="23"/>
        <v>111.11111111111111</v>
      </c>
      <c r="L48" s="16">
        <v>18</v>
      </c>
      <c r="M48" s="18">
        <f t="shared" ref="M48" si="43">F48/V48*60</f>
        <v>1902.6666666666667</v>
      </c>
      <c r="N48" s="18">
        <f t="shared" si="24"/>
        <v>105.70370370370371</v>
      </c>
      <c r="O48" s="19">
        <f t="shared" si="25"/>
        <v>0</v>
      </c>
      <c r="P48" s="20">
        <f t="shared" si="26"/>
        <v>-5.4074074074074048</v>
      </c>
      <c r="Q48" s="21">
        <f t="shared" si="27"/>
        <v>0.95133333333333336</v>
      </c>
      <c r="R48" s="637">
        <f>Q57</f>
        <v>0.96441334512606713</v>
      </c>
      <c r="S48" s="40">
        <v>8.3333333333333329E-2</v>
      </c>
      <c r="T48" s="40">
        <v>0.23958333333333331</v>
      </c>
      <c r="U48" s="28"/>
      <c r="V48" s="22">
        <f t="shared" ref="V48:V56" si="44">(T48-S48)*24*60</f>
        <v>225</v>
      </c>
      <c r="W48" s="23">
        <f>T48</f>
        <v>0.23958333333333331</v>
      </c>
      <c r="X48" s="23">
        <f>S49</f>
        <v>0.2583333333333333</v>
      </c>
      <c r="Y48" s="28"/>
      <c r="Z48" s="28"/>
      <c r="AA48" s="632"/>
      <c r="AB48" s="632"/>
      <c r="AC48" s="25">
        <v>9</v>
      </c>
      <c r="AD48" s="25"/>
      <c r="AE48" s="19">
        <f t="shared" si="28"/>
        <v>-97.333333333333258</v>
      </c>
      <c r="AF48" s="21">
        <f t="shared" si="29"/>
        <v>0.95133333333333336</v>
      </c>
      <c r="AG48" s="637">
        <f>AF57</f>
        <v>0.96441334512606713</v>
      </c>
    </row>
    <row r="49" spans="1:33" ht="15.75" customHeight="1">
      <c r="A49" s="641" t="s">
        <v>76</v>
      </c>
      <c r="B49" s="42" t="s">
        <v>92</v>
      </c>
      <c r="C49" s="633" t="s">
        <v>133</v>
      </c>
      <c r="D49" s="633"/>
      <c r="E49" s="42">
        <v>59.04</v>
      </c>
      <c r="F49" s="48">
        <v>1200</v>
      </c>
      <c r="G49" s="4">
        <f t="shared" si="42"/>
        <v>70848</v>
      </c>
      <c r="H49" s="37" t="s">
        <v>91</v>
      </c>
      <c r="I49" s="16">
        <v>19</v>
      </c>
      <c r="J49" s="39">
        <v>2000</v>
      </c>
      <c r="K49" s="17">
        <f t="shared" si="23"/>
        <v>105.26315789473684</v>
      </c>
      <c r="L49" s="16">
        <v>19</v>
      </c>
      <c r="M49" s="18">
        <f>F49/V49*60</f>
        <v>1945.9459459459445</v>
      </c>
      <c r="N49" s="18">
        <f t="shared" si="24"/>
        <v>102.4182076813655</v>
      </c>
      <c r="O49" s="19">
        <f t="shared" si="25"/>
        <v>0</v>
      </c>
      <c r="P49" s="20">
        <f t="shared" si="26"/>
        <v>-2.8449502133713338</v>
      </c>
      <c r="Q49" s="21">
        <f t="shared" si="27"/>
        <v>0.97297297297297236</v>
      </c>
      <c r="R49" s="637"/>
      <c r="S49" s="40">
        <v>0.2583333333333333</v>
      </c>
      <c r="T49" s="40">
        <v>0.28402777777777777</v>
      </c>
      <c r="U49" s="4">
        <f t="shared" ref="U49:U56" si="45">IF(S49=TIME(17,0,0),"",(S49-T48)*24*60)</f>
        <v>26.999999999999986</v>
      </c>
      <c r="V49" s="22">
        <f t="shared" si="44"/>
        <v>37.000000000000028</v>
      </c>
      <c r="W49" s="23"/>
      <c r="X49" s="23"/>
      <c r="Y49" s="23"/>
      <c r="Z49" s="23"/>
      <c r="AA49" s="632"/>
      <c r="AB49" s="632"/>
      <c r="AC49" s="25"/>
      <c r="AD49" s="25"/>
      <c r="AE49" s="19">
        <f t="shared" si="28"/>
        <v>-54.054054054055541</v>
      </c>
      <c r="AF49" s="21">
        <f t="shared" si="29"/>
        <v>0.97297297297297225</v>
      </c>
      <c r="AG49" s="637"/>
    </row>
    <row r="50" spans="1:33" ht="15.75" customHeight="1">
      <c r="A50" s="641" t="s">
        <v>77</v>
      </c>
      <c r="B50" s="42" t="s">
        <v>92</v>
      </c>
      <c r="C50" s="625" t="s">
        <v>134</v>
      </c>
      <c r="D50" s="626"/>
      <c r="E50" s="42">
        <v>56.43</v>
      </c>
      <c r="F50" s="48">
        <v>918</v>
      </c>
      <c r="G50" s="4">
        <f t="shared" si="42"/>
        <v>51802.74</v>
      </c>
      <c r="H50" s="37" t="s">
        <v>91</v>
      </c>
      <c r="I50" s="16">
        <v>22</v>
      </c>
      <c r="J50" s="39">
        <v>2000</v>
      </c>
      <c r="K50" s="17">
        <f t="shared" si="23"/>
        <v>90.909090909090907</v>
      </c>
      <c r="L50" s="16">
        <v>22</v>
      </c>
      <c r="M50" s="18">
        <f t="shared" ref="M50:M56" si="46">F50/V50*60</f>
        <v>1967.1428571428587</v>
      </c>
      <c r="N50" s="18">
        <f t="shared" si="24"/>
        <v>89.41558441558449</v>
      </c>
      <c r="O50" s="19">
        <f t="shared" si="25"/>
        <v>0</v>
      </c>
      <c r="P50" s="20">
        <f t="shared" si="26"/>
        <v>-1.4935064935064162</v>
      </c>
      <c r="Q50" s="21">
        <f t="shared" si="27"/>
        <v>0.98357142857142943</v>
      </c>
      <c r="R50" s="637"/>
      <c r="S50" s="40">
        <v>0.28749999999999998</v>
      </c>
      <c r="T50" s="40">
        <v>0.30694444444444441</v>
      </c>
      <c r="U50" s="4">
        <f t="shared" si="45"/>
        <v>4.9999999999999822</v>
      </c>
      <c r="V50" s="22">
        <f t="shared" si="44"/>
        <v>27.999999999999979</v>
      </c>
      <c r="W50" s="23"/>
      <c r="X50" s="23"/>
      <c r="Y50" s="26"/>
      <c r="Z50" s="26"/>
      <c r="AA50" s="632"/>
      <c r="AB50" s="632"/>
      <c r="AC50" s="25"/>
      <c r="AD50" s="25"/>
      <c r="AE50" s="19">
        <f t="shared" si="28"/>
        <v>-32.857142857141298</v>
      </c>
      <c r="AF50" s="21">
        <f t="shared" si="29"/>
        <v>0.98357142857142932</v>
      </c>
      <c r="AG50" s="637"/>
    </row>
    <row r="51" spans="1:33" ht="15.75" customHeight="1">
      <c r="A51" s="641" t="s">
        <v>78</v>
      </c>
      <c r="B51" s="42" t="s">
        <v>92</v>
      </c>
      <c r="C51" s="49" t="s">
        <v>135</v>
      </c>
      <c r="D51" s="50"/>
      <c r="E51" s="42">
        <v>51.44</v>
      </c>
      <c r="F51" s="48">
        <v>1384</v>
      </c>
      <c r="G51" s="4">
        <f t="shared" si="42"/>
        <v>71192.959999999992</v>
      </c>
      <c r="H51" s="37" t="s">
        <v>91</v>
      </c>
      <c r="I51" s="16">
        <v>25</v>
      </c>
      <c r="J51" s="39">
        <v>2000</v>
      </c>
      <c r="K51" s="17">
        <f t="shared" si="23"/>
        <v>80</v>
      </c>
      <c r="L51" s="16">
        <v>25</v>
      </c>
      <c r="M51" s="18">
        <f t="shared" si="46"/>
        <v>1931.1627906976739</v>
      </c>
      <c r="N51" s="18">
        <f t="shared" si="24"/>
        <v>77.246511627906955</v>
      </c>
      <c r="O51" s="19">
        <f t="shared" si="25"/>
        <v>0</v>
      </c>
      <c r="P51" s="20">
        <f t="shared" si="26"/>
        <v>-2.7534883720930452</v>
      </c>
      <c r="Q51" s="21">
        <f t="shared" si="27"/>
        <v>0.96558139534883691</v>
      </c>
      <c r="R51" s="637"/>
      <c r="S51" s="40">
        <v>0.31041666666666662</v>
      </c>
      <c r="T51" s="40">
        <v>0.34027777777777773</v>
      </c>
      <c r="U51" s="4">
        <f t="shared" si="45"/>
        <v>4.9999999999999822</v>
      </c>
      <c r="V51" s="22">
        <f t="shared" si="44"/>
        <v>43.000000000000007</v>
      </c>
      <c r="W51" s="23"/>
      <c r="X51" s="23"/>
      <c r="Y51" s="26"/>
      <c r="Z51" s="26"/>
      <c r="AA51" s="632"/>
      <c r="AB51" s="632"/>
      <c r="AC51" s="25"/>
      <c r="AD51" s="25"/>
      <c r="AE51" s="19">
        <f t="shared" si="28"/>
        <v>-68.837209302326073</v>
      </c>
      <c r="AF51" s="21">
        <f t="shared" si="29"/>
        <v>0.96558139534883691</v>
      </c>
      <c r="AG51" s="637"/>
    </row>
    <row r="52" spans="1:33" ht="15.75" customHeight="1">
      <c r="A52" s="641" t="s">
        <v>79</v>
      </c>
      <c r="B52" s="42" t="s">
        <v>96</v>
      </c>
      <c r="C52" s="49" t="s">
        <v>136</v>
      </c>
      <c r="D52" s="50"/>
      <c r="E52" s="42">
        <v>46</v>
      </c>
      <c r="F52" s="48">
        <v>1284</v>
      </c>
      <c r="G52" s="4">
        <f t="shared" si="42"/>
        <v>59064</v>
      </c>
      <c r="H52" s="37" t="s">
        <v>91</v>
      </c>
      <c r="I52" s="16">
        <v>16</v>
      </c>
      <c r="J52" s="39">
        <v>2000</v>
      </c>
      <c r="K52" s="17">
        <f t="shared" si="23"/>
        <v>125</v>
      </c>
      <c r="L52" s="16">
        <v>16</v>
      </c>
      <c r="M52" s="18">
        <f t="shared" si="46"/>
        <v>1925.9999999999993</v>
      </c>
      <c r="N52" s="18">
        <f t="shared" si="24"/>
        <v>120.37499999999996</v>
      </c>
      <c r="O52" s="19">
        <f t="shared" si="25"/>
        <v>0</v>
      </c>
      <c r="P52" s="20">
        <f t="shared" si="26"/>
        <v>-4.6250000000000426</v>
      </c>
      <c r="Q52" s="21">
        <f t="shared" si="27"/>
        <v>0.96299999999999963</v>
      </c>
      <c r="R52" s="637"/>
      <c r="S52" s="40">
        <v>0.34513888888888883</v>
      </c>
      <c r="T52" s="40">
        <v>0.37291666666666662</v>
      </c>
      <c r="U52" s="4">
        <f t="shared" si="45"/>
        <v>6.9999999999999751</v>
      </c>
      <c r="V52" s="22">
        <f t="shared" si="44"/>
        <v>40.000000000000014</v>
      </c>
      <c r="W52" s="23"/>
      <c r="X52" s="23"/>
      <c r="Y52" s="26"/>
      <c r="Z52" s="26"/>
      <c r="AA52" s="632"/>
      <c r="AB52" s="632"/>
      <c r="AC52" s="25"/>
      <c r="AD52" s="25"/>
      <c r="AE52" s="19">
        <f t="shared" si="28"/>
        <v>-74.000000000000682</v>
      </c>
      <c r="AF52" s="21">
        <f t="shared" si="29"/>
        <v>0.96299999999999963</v>
      </c>
      <c r="AG52" s="637"/>
    </row>
    <row r="53" spans="1:33" ht="15.75" customHeight="1">
      <c r="A53" s="641" t="s">
        <v>77</v>
      </c>
      <c r="B53" s="42" t="s">
        <v>96</v>
      </c>
      <c r="C53" s="625" t="s">
        <v>137</v>
      </c>
      <c r="D53" s="626"/>
      <c r="E53" s="42">
        <v>46</v>
      </c>
      <c r="F53" s="48">
        <v>1623</v>
      </c>
      <c r="G53" s="4">
        <f t="shared" si="42"/>
        <v>74658</v>
      </c>
      <c r="H53" s="37" t="s">
        <v>91</v>
      </c>
      <c r="I53" s="16">
        <v>17</v>
      </c>
      <c r="J53" s="39">
        <v>2000</v>
      </c>
      <c r="K53" s="17">
        <f t="shared" si="23"/>
        <v>117.64705882352941</v>
      </c>
      <c r="L53" s="16">
        <v>17</v>
      </c>
      <c r="M53" s="18">
        <f t="shared" si="46"/>
        <v>1909.4117647058833</v>
      </c>
      <c r="N53" s="18">
        <f t="shared" si="24"/>
        <v>112.31833910034608</v>
      </c>
      <c r="O53" s="19">
        <f t="shared" si="25"/>
        <v>0</v>
      </c>
      <c r="P53" s="20">
        <f t="shared" si="26"/>
        <v>-5.3287197231833261</v>
      </c>
      <c r="Q53" s="21">
        <f t="shared" si="27"/>
        <v>0.95470588235294174</v>
      </c>
      <c r="R53" s="637"/>
      <c r="S53" s="40">
        <v>0.37777777777777771</v>
      </c>
      <c r="T53" s="40">
        <v>0.41319444444444436</v>
      </c>
      <c r="U53" s="4">
        <f t="shared" si="45"/>
        <v>6.9999999999999751</v>
      </c>
      <c r="V53" s="22">
        <f t="shared" si="44"/>
        <v>50.999999999999979</v>
      </c>
      <c r="W53" s="23"/>
      <c r="X53" s="23"/>
      <c r="Y53" s="26"/>
      <c r="Z53" s="26"/>
      <c r="AA53" s="627"/>
      <c r="AB53" s="628"/>
      <c r="AC53" s="25"/>
      <c r="AD53" s="25"/>
      <c r="AE53" s="19">
        <f t="shared" si="28"/>
        <v>-90.588235294116657</v>
      </c>
      <c r="AF53" s="21">
        <f t="shared" si="29"/>
        <v>0.95470588235294163</v>
      </c>
      <c r="AG53" s="637"/>
    </row>
    <row r="54" spans="1:33" ht="15.75" customHeight="1">
      <c r="A54" s="641" t="s">
        <v>80</v>
      </c>
      <c r="B54" s="42" t="s">
        <v>92</v>
      </c>
      <c r="C54" s="625" t="s">
        <v>138</v>
      </c>
      <c r="D54" s="626"/>
      <c r="E54" s="42">
        <v>55.56</v>
      </c>
      <c r="F54" s="48">
        <v>2354</v>
      </c>
      <c r="G54" s="4">
        <f t="shared" si="42"/>
        <v>130788.24</v>
      </c>
      <c r="H54" s="37" t="s">
        <v>91</v>
      </c>
      <c r="I54" s="16">
        <v>17</v>
      </c>
      <c r="J54" s="39">
        <v>2000</v>
      </c>
      <c r="K54" s="17">
        <f t="shared" si="23"/>
        <v>117.64705882352941</v>
      </c>
      <c r="L54" s="16">
        <v>17</v>
      </c>
      <c r="M54" s="18">
        <f t="shared" si="46"/>
        <v>1908.6486486486472</v>
      </c>
      <c r="N54" s="18">
        <f t="shared" si="24"/>
        <v>112.27344992050865</v>
      </c>
      <c r="O54" s="19">
        <f t="shared" si="25"/>
        <v>0</v>
      </c>
      <c r="P54" s="20">
        <f t="shared" si="26"/>
        <v>-5.3736089030207523</v>
      </c>
      <c r="Q54" s="21">
        <f t="shared" si="27"/>
        <v>0.95432432432432357</v>
      </c>
      <c r="R54" s="637"/>
      <c r="S54" s="40">
        <v>0.70833333333333337</v>
      </c>
      <c r="T54" s="40">
        <v>0.7597222222222223</v>
      </c>
      <c r="U54" s="4" t="str">
        <f t="shared" si="45"/>
        <v/>
      </c>
      <c r="V54" s="22">
        <f t="shared" si="44"/>
        <v>74.000000000000057</v>
      </c>
      <c r="W54" s="23"/>
      <c r="X54" s="23"/>
      <c r="Y54" s="26"/>
      <c r="Z54" s="26"/>
      <c r="AA54" s="627"/>
      <c r="AB54" s="628"/>
      <c r="AC54" s="25"/>
      <c r="AD54" s="25"/>
      <c r="AE54" s="19">
        <f t="shared" si="28"/>
        <v>-91.351351351352832</v>
      </c>
      <c r="AF54" s="21">
        <f t="shared" si="29"/>
        <v>0.95432432432432357</v>
      </c>
      <c r="AG54" s="637"/>
    </row>
    <row r="55" spans="1:33" ht="15.75" customHeight="1">
      <c r="A55" s="641" t="s">
        <v>81</v>
      </c>
      <c r="B55" s="42" t="s">
        <v>92</v>
      </c>
      <c r="C55" s="625" t="s">
        <v>139</v>
      </c>
      <c r="D55" s="626"/>
      <c r="E55" s="42">
        <v>54.09</v>
      </c>
      <c r="F55" s="48">
        <v>853</v>
      </c>
      <c r="G55" s="4">
        <f t="shared" si="42"/>
        <v>46138.770000000004</v>
      </c>
      <c r="H55" s="37" t="s">
        <v>91</v>
      </c>
      <c r="I55" s="16">
        <v>13</v>
      </c>
      <c r="J55" s="39">
        <v>2000</v>
      </c>
      <c r="K55" s="17">
        <f t="shared" si="23"/>
        <v>153.84615384615384</v>
      </c>
      <c r="L55" s="16">
        <v>13</v>
      </c>
      <c r="M55" s="18">
        <f t="shared" si="46"/>
        <v>1968.4615384615333</v>
      </c>
      <c r="N55" s="18">
        <f t="shared" si="24"/>
        <v>151.42011834319487</v>
      </c>
      <c r="O55" s="19">
        <f t="shared" si="25"/>
        <v>0</v>
      </c>
      <c r="P55" s="20">
        <f t="shared" si="26"/>
        <v>-2.4260355029589675</v>
      </c>
      <c r="Q55" s="21">
        <f t="shared" si="27"/>
        <v>0.98423076923076669</v>
      </c>
      <c r="R55" s="637"/>
      <c r="S55" s="40">
        <v>0.76319444444444451</v>
      </c>
      <c r="T55" s="40">
        <v>0.78125000000000011</v>
      </c>
      <c r="U55" s="4">
        <f t="shared" si="45"/>
        <v>4.9999999999999822</v>
      </c>
      <c r="V55" s="22">
        <f t="shared" si="44"/>
        <v>26.000000000000068</v>
      </c>
      <c r="W55" s="23"/>
      <c r="X55" s="23"/>
      <c r="Y55" s="26"/>
      <c r="Z55" s="26"/>
      <c r="AA55" s="627"/>
      <c r="AB55" s="628"/>
      <c r="AC55" s="25"/>
      <c r="AD55" s="25"/>
      <c r="AE55" s="19">
        <f t="shared" si="28"/>
        <v>-31.538461538466663</v>
      </c>
      <c r="AF55" s="21">
        <f t="shared" si="29"/>
        <v>0.98423076923076669</v>
      </c>
      <c r="AG55" s="637"/>
    </row>
    <row r="56" spans="1:33">
      <c r="A56" s="641" t="s">
        <v>78</v>
      </c>
      <c r="B56" s="42" t="s">
        <v>92</v>
      </c>
      <c r="C56" s="49" t="s">
        <v>140</v>
      </c>
      <c r="D56" s="50"/>
      <c r="E56" s="42">
        <v>51.06</v>
      </c>
      <c r="F56" s="48">
        <v>3230</v>
      </c>
      <c r="G56" s="4">
        <f t="shared" si="42"/>
        <v>164923.80000000002</v>
      </c>
      <c r="H56" s="37" t="s">
        <v>91</v>
      </c>
      <c r="I56" s="16">
        <v>13</v>
      </c>
      <c r="J56" s="39">
        <v>2000</v>
      </c>
      <c r="K56" s="17">
        <f t="shared" si="23"/>
        <v>153.84615384615384</v>
      </c>
      <c r="L56" s="16">
        <v>13</v>
      </c>
      <c r="M56" s="18">
        <f t="shared" si="46"/>
        <v>1900.0000000000007</v>
      </c>
      <c r="N56" s="18">
        <f t="shared" si="24"/>
        <v>146.15384615384622</v>
      </c>
      <c r="O56" s="19">
        <f t="shared" si="25"/>
        <v>0</v>
      </c>
      <c r="P56" s="20">
        <f t="shared" si="26"/>
        <v>-7.6923076923076223</v>
      </c>
      <c r="Q56" s="21">
        <f t="shared" si="27"/>
        <v>0.9500000000000004</v>
      </c>
      <c r="R56" s="637"/>
      <c r="S56" s="40">
        <v>0.78541666666666676</v>
      </c>
      <c r="T56" s="40">
        <v>0.85625000000000007</v>
      </c>
      <c r="U56" s="4">
        <f t="shared" si="45"/>
        <v>5.9999999999999787</v>
      </c>
      <c r="V56" s="22">
        <f t="shared" si="44"/>
        <v>101.99999999999996</v>
      </c>
      <c r="W56" s="23"/>
      <c r="X56" s="23"/>
      <c r="Y56" s="26"/>
      <c r="Z56" s="26"/>
      <c r="AA56" s="31"/>
      <c r="AB56" s="32"/>
      <c r="AC56" s="25"/>
      <c r="AD56" s="25"/>
      <c r="AE56" s="19">
        <f t="shared" si="28"/>
        <v>-99.999999999999318</v>
      </c>
      <c r="AF56" s="21">
        <f t="shared" si="29"/>
        <v>0.95000000000000029</v>
      </c>
      <c r="AG56" s="637"/>
    </row>
    <row r="57" spans="1:33">
      <c r="A57" s="642" t="s">
        <v>78</v>
      </c>
      <c r="B57" s="42" t="s">
        <v>82</v>
      </c>
      <c r="C57" s="638"/>
      <c r="D57" s="638"/>
      <c r="E57" s="43"/>
      <c r="F57" s="44"/>
      <c r="G57" s="17"/>
      <c r="H57" s="38"/>
      <c r="I57" s="29">
        <v>17.777777777777779</v>
      </c>
      <c r="J57" s="39">
        <v>2000</v>
      </c>
      <c r="K57" s="17">
        <f t="shared" si="23"/>
        <v>112.5</v>
      </c>
      <c r="L57" s="29">
        <v>17.777777777777779</v>
      </c>
      <c r="M57" s="18">
        <f>AVERAGE(M48:M56)</f>
        <v>1928.8266902521343</v>
      </c>
      <c r="N57" s="17">
        <f t="shared" si="24"/>
        <v>108.49650132668255</v>
      </c>
      <c r="O57" s="19">
        <f t="shared" si="25"/>
        <v>0</v>
      </c>
      <c r="P57" s="20">
        <f t="shared" si="26"/>
        <v>-4.003498673317452</v>
      </c>
      <c r="Q57" s="21">
        <f t="shared" si="27"/>
        <v>0.96441334512606713</v>
      </c>
      <c r="R57" s="637"/>
      <c r="S57" s="40"/>
      <c r="T57" s="40"/>
      <c r="U57" s="4"/>
      <c r="V57" s="22"/>
      <c r="W57" s="17"/>
      <c r="X57" s="17"/>
      <c r="Y57" s="30">
        <f>SUM(Y48:Y56)</f>
        <v>0</v>
      </c>
      <c r="Z57" s="30">
        <f>SUM(Z48:Z56)</f>
        <v>0</v>
      </c>
      <c r="AA57" s="631"/>
      <c r="AB57" s="631"/>
      <c r="AC57" s="30">
        <v>9</v>
      </c>
      <c r="AD57" s="30">
        <v>0</v>
      </c>
      <c r="AE57" s="19">
        <f>M57-J57</f>
        <v>-71.173309747865687</v>
      </c>
      <c r="AF57" s="21">
        <f t="shared" si="29"/>
        <v>0.96441334512606713</v>
      </c>
      <c r="AG57" s="637"/>
    </row>
    <row r="58" spans="1:33" ht="15.75" customHeight="1">
      <c r="A58" s="639" t="s">
        <v>83</v>
      </c>
      <c r="B58" s="38" t="s">
        <v>127</v>
      </c>
      <c r="C58" s="633" t="s">
        <v>141</v>
      </c>
      <c r="D58" s="633"/>
      <c r="E58" s="42">
        <v>35.119999999999997</v>
      </c>
      <c r="F58" s="48">
        <v>3880</v>
      </c>
      <c r="G58" s="4">
        <f t="shared" ref="G58:G61" si="47">E58*F58</f>
        <v>136265.59999999998</v>
      </c>
      <c r="H58" s="37" t="s">
        <v>91</v>
      </c>
      <c r="I58" s="16">
        <v>10</v>
      </c>
      <c r="J58" s="39">
        <v>3000</v>
      </c>
      <c r="K58" s="17">
        <f t="shared" si="23"/>
        <v>300</v>
      </c>
      <c r="L58" s="16">
        <v>10</v>
      </c>
      <c r="M58" s="18">
        <f t="shared" ref="M58:M61" si="48">F58/V58*60</f>
        <v>2874.0740740740744</v>
      </c>
      <c r="N58" s="17">
        <f t="shared" si="24"/>
        <v>287.40740740740745</v>
      </c>
      <c r="O58" s="19">
        <f t="shared" si="25"/>
        <v>0</v>
      </c>
      <c r="P58" s="20">
        <f t="shared" si="26"/>
        <v>-12.592592592592553</v>
      </c>
      <c r="Q58" s="21">
        <f t="shared" si="27"/>
        <v>0.95802469135802482</v>
      </c>
      <c r="R58" s="637">
        <f>Q62</f>
        <v>0.95940884539842886</v>
      </c>
      <c r="S58" s="40">
        <v>0.20833333333333334</v>
      </c>
      <c r="T58" s="40">
        <v>0.26458333333333334</v>
      </c>
      <c r="U58" s="4"/>
      <c r="V58" s="22">
        <f t="shared" ref="V58:V61" si="49">(T58-S58)*24*60</f>
        <v>80.999999999999986</v>
      </c>
      <c r="W58" s="23"/>
      <c r="X58" s="23"/>
      <c r="Y58" s="28"/>
      <c r="Z58" s="28"/>
      <c r="AA58" s="632"/>
      <c r="AB58" s="632"/>
      <c r="AC58" s="25">
        <v>4</v>
      </c>
      <c r="AD58" s="25"/>
      <c r="AE58" s="19">
        <f t="shared" ref="AE58:AE71" si="50">M58-J58</f>
        <v>-125.92592592592564</v>
      </c>
      <c r="AF58" s="21">
        <f t="shared" si="29"/>
        <v>0.95802469135802482</v>
      </c>
      <c r="AG58" s="637">
        <f>AF62</f>
        <v>0.95940884539842897</v>
      </c>
    </row>
    <row r="59" spans="1:33" ht="15.75" customHeight="1">
      <c r="A59" s="639" t="s">
        <v>84</v>
      </c>
      <c r="B59" s="38" t="s">
        <v>127</v>
      </c>
      <c r="C59" s="633" t="s">
        <v>142</v>
      </c>
      <c r="D59" s="633"/>
      <c r="E59" s="42">
        <v>26.78</v>
      </c>
      <c r="F59" s="48">
        <v>2095</v>
      </c>
      <c r="G59" s="4">
        <f t="shared" si="47"/>
        <v>56104.100000000006</v>
      </c>
      <c r="H59" s="37" t="s">
        <v>91</v>
      </c>
      <c r="I59" s="16">
        <v>10</v>
      </c>
      <c r="J59" s="39">
        <v>3000</v>
      </c>
      <c r="K59" s="17">
        <f t="shared" ref="K59:K71" si="51">J59/I59</f>
        <v>300</v>
      </c>
      <c r="L59" s="16">
        <v>10</v>
      </c>
      <c r="M59" s="18">
        <f t="shared" si="48"/>
        <v>2856.818181818182</v>
      </c>
      <c r="N59" s="17">
        <f t="shared" ref="N59:N71" si="52">M59/L59</f>
        <v>285.68181818181819</v>
      </c>
      <c r="O59" s="19">
        <f t="shared" ref="O59:O71" si="53">L59-I59</f>
        <v>0</v>
      </c>
      <c r="P59" s="20">
        <f t="shared" ref="P59:P71" si="54">N59-K59</f>
        <v>-14.318181818181813</v>
      </c>
      <c r="Q59" s="21">
        <f t="shared" ref="Q59:Q71" si="55">N59/K59</f>
        <v>0.95227272727272727</v>
      </c>
      <c r="R59" s="637"/>
      <c r="S59" s="40">
        <v>0.26944444444444443</v>
      </c>
      <c r="T59" s="40">
        <v>0.3</v>
      </c>
      <c r="U59" s="4">
        <f t="shared" ref="U59:U61" si="56">(S59-T58)*24*60</f>
        <v>6.9999999999999751</v>
      </c>
      <c r="V59" s="22">
        <f t="shared" si="49"/>
        <v>44</v>
      </c>
      <c r="W59" s="4"/>
      <c r="X59" s="4"/>
      <c r="Y59" s="4"/>
      <c r="Z59" s="4"/>
      <c r="AA59" s="632"/>
      <c r="AB59" s="632"/>
      <c r="AC59" s="25"/>
      <c r="AD59" s="25"/>
      <c r="AE59" s="19">
        <f t="shared" si="50"/>
        <v>-143.18181818181802</v>
      </c>
      <c r="AF59" s="21">
        <f t="shared" ref="AF59:AF71" si="57">M59/J59</f>
        <v>0.95227272727272738</v>
      </c>
      <c r="AG59" s="637"/>
    </row>
    <row r="60" spans="1:33" ht="15.75" customHeight="1">
      <c r="A60" s="639" t="s">
        <v>83</v>
      </c>
      <c r="B60" s="38" t="s">
        <v>127</v>
      </c>
      <c r="C60" s="633" t="s">
        <v>143</v>
      </c>
      <c r="D60" s="633"/>
      <c r="E60" s="42">
        <v>36.14</v>
      </c>
      <c r="F60" s="48">
        <v>1318</v>
      </c>
      <c r="G60" s="4">
        <f t="shared" si="47"/>
        <v>47632.520000000004</v>
      </c>
      <c r="H60" s="37" t="s">
        <v>91</v>
      </c>
      <c r="I60" s="16">
        <v>11</v>
      </c>
      <c r="J60" s="39">
        <v>3000</v>
      </c>
      <c r="K60" s="17">
        <f t="shared" si="51"/>
        <v>272.72727272727275</v>
      </c>
      <c r="L60" s="16">
        <v>11</v>
      </c>
      <c r="M60" s="18">
        <f t="shared" si="48"/>
        <v>2928.8888888888905</v>
      </c>
      <c r="N60" s="17">
        <f t="shared" si="52"/>
        <v>266.26262626262638</v>
      </c>
      <c r="O60" s="19">
        <f t="shared" si="53"/>
        <v>0</v>
      </c>
      <c r="P60" s="20">
        <f t="shared" si="54"/>
        <v>-6.4646464646463642</v>
      </c>
      <c r="Q60" s="21">
        <f t="shared" si="55"/>
        <v>0.97629629629629666</v>
      </c>
      <c r="R60" s="637"/>
      <c r="S60" s="40">
        <v>0.3034722222222222</v>
      </c>
      <c r="T60" s="40">
        <v>0.32222222222222219</v>
      </c>
      <c r="U60" s="4">
        <f t="shared" si="56"/>
        <v>4.9999999999999822</v>
      </c>
      <c r="V60" s="22">
        <f t="shared" si="49"/>
        <v>26.999999999999986</v>
      </c>
      <c r="W60" s="4"/>
      <c r="X60" s="4"/>
      <c r="Y60" s="4"/>
      <c r="Z60" s="4"/>
      <c r="AA60" s="632"/>
      <c r="AB60" s="632"/>
      <c r="AC60" s="25"/>
      <c r="AD60" s="25"/>
      <c r="AE60" s="19">
        <f t="shared" si="50"/>
        <v>-71.111111111109494</v>
      </c>
      <c r="AF60" s="21">
        <f t="shared" si="57"/>
        <v>0.97629629629629688</v>
      </c>
      <c r="AG60" s="637"/>
    </row>
    <row r="61" spans="1:33" ht="15.75" customHeight="1">
      <c r="A61" s="639" t="s">
        <v>83</v>
      </c>
      <c r="B61" s="38" t="s">
        <v>127</v>
      </c>
      <c r="C61" s="633" t="s">
        <v>144</v>
      </c>
      <c r="D61" s="633"/>
      <c r="E61" s="42">
        <v>35.869999999999997</v>
      </c>
      <c r="F61" s="48">
        <v>4565</v>
      </c>
      <c r="G61" s="4">
        <f t="shared" si="47"/>
        <v>163746.54999999999</v>
      </c>
      <c r="H61" s="37" t="s">
        <v>91</v>
      </c>
      <c r="I61" s="16">
        <v>10</v>
      </c>
      <c r="J61" s="39">
        <v>3000</v>
      </c>
      <c r="K61" s="17">
        <f t="shared" si="51"/>
        <v>300</v>
      </c>
      <c r="L61" s="16">
        <v>10</v>
      </c>
      <c r="M61" s="18">
        <f t="shared" si="48"/>
        <v>2853.1250000000009</v>
      </c>
      <c r="N61" s="17">
        <f t="shared" si="52"/>
        <v>285.31250000000011</v>
      </c>
      <c r="O61" s="19">
        <f t="shared" si="53"/>
        <v>0</v>
      </c>
      <c r="P61" s="20">
        <f t="shared" si="54"/>
        <v>-14.687499999999886</v>
      </c>
      <c r="Q61" s="21">
        <f t="shared" si="55"/>
        <v>0.95104166666666701</v>
      </c>
      <c r="R61" s="637"/>
      <c r="S61" s="40">
        <v>0.32708333333333328</v>
      </c>
      <c r="T61" s="40">
        <v>0.39374999999999993</v>
      </c>
      <c r="U61" s="4">
        <f t="shared" si="56"/>
        <v>6.9999999999999751</v>
      </c>
      <c r="V61" s="22">
        <f t="shared" si="49"/>
        <v>95.999999999999972</v>
      </c>
      <c r="W61" s="4"/>
      <c r="X61" s="4"/>
      <c r="Y61" s="4"/>
      <c r="Z61" s="4"/>
      <c r="AA61" s="632"/>
      <c r="AB61" s="632"/>
      <c r="AC61" s="25"/>
      <c r="AD61" s="25"/>
      <c r="AE61" s="19">
        <f t="shared" si="50"/>
        <v>-146.87499999999909</v>
      </c>
      <c r="AF61" s="21">
        <f t="shared" si="57"/>
        <v>0.95104166666666701</v>
      </c>
      <c r="AG61" s="637"/>
    </row>
    <row r="62" spans="1:33">
      <c r="A62" s="640" t="s">
        <v>85</v>
      </c>
      <c r="B62" s="42" t="s">
        <v>82</v>
      </c>
      <c r="C62" s="638"/>
      <c r="D62" s="638"/>
      <c r="E62" s="43"/>
      <c r="F62" s="44"/>
      <c r="G62" s="17"/>
      <c r="H62" s="38"/>
      <c r="I62" s="29">
        <v>10.25</v>
      </c>
      <c r="J62" s="39">
        <v>3000</v>
      </c>
      <c r="K62" s="17">
        <f t="shared" si="51"/>
        <v>292.6829268292683</v>
      </c>
      <c r="L62" s="29">
        <v>10.25</v>
      </c>
      <c r="M62" s="18">
        <f>AVERAGE(M58:M61)</f>
        <v>2878.2265361952868</v>
      </c>
      <c r="N62" s="17">
        <f t="shared" si="52"/>
        <v>280.80258889710115</v>
      </c>
      <c r="O62" s="19">
        <f t="shared" si="53"/>
        <v>0</v>
      </c>
      <c r="P62" s="20">
        <f t="shared" si="54"/>
        <v>-11.880337932167151</v>
      </c>
      <c r="Q62" s="21">
        <f t="shared" si="55"/>
        <v>0.95940884539842886</v>
      </c>
      <c r="R62" s="637"/>
      <c r="S62" s="40"/>
      <c r="T62" s="40"/>
      <c r="U62" s="17"/>
      <c r="V62" s="22"/>
      <c r="W62" s="17"/>
      <c r="X62" s="17"/>
      <c r="Y62" s="30">
        <f>SUM(Y58:Y61)</f>
        <v>0</v>
      </c>
      <c r="Z62" s="30">
        <f>SUM(Z58:Z61)</f>
        <v>0</v>
      </c>
      <c r="AA62" s="631"/>
      <c r="AB62" s="631"/>
      <c r="AC62" s="30">
        <v>4</v>
      </c>
      <c r="AD62" s="30">
        <v>0</v>
      </c>
      <c r="AE62" s="19">
        <f t="shared" si="50"/>
        <v>-121.77346380471317</v>
      </c>
      <c r="AF62" s="21">
        <f t="shared" si="57"/>
        <v>0.95940884539842897</v>
      </c>
      <c r="AG62" s="637"/>
    </row>
    <row r="63" spans="1:33" ht="15.75" customHeight="1">
      <c r="A63" s="634" t="s">
        <v>86</v>
      </c>
      <c r="B63" s="38" t="s">
        <v>116</v>
      </c>
      <c r="C63" s="633" t="s">
        <v>145</v>
      </c>
      <c r="D63" s="633"/>
      <c r="E63" s="42">
        <v>19.02</v>
      </c>
      <c r="F63" s="38">
        <v>4800</v>
      </c>
      <c r="G63" s="4">
        <f t="shared" ref="G63:G70" si="58">E63*F63</f>
        <v>91296</v>
      </c>
      <c r="H63" s="37">
        <v>2</v>
      </c>
      <c r="I63" s="16">
        <v>14</v>
      </c>
      <c r="J63" s="39">
        <v>2400</v>
      </c>
      <c r="K63" s="17">
        <f t="shared" si="51"/>
        <v>171.42857142857142</v>
      </c>
      <c r="L63" s="16">
        <v>14</v>
      </c>
      <c r="M63" s="18">
        <f t="shared" ref="M63:M70" si="59">F63/V63*60</f>
        <v>2285.7142857142858</v>
      </c>
      <c r="N63" s="17">
        <f t="shared" si="52"/>
        <v>163.26530612244898</v>
      </c>
      <c r="O63" s="19">
        <f t="shared" si="53"/>
        <v>0</v>
      </c>
      <c r="P63" s="20">
        <f t="shared" si="54"/>
        <v>-8.1632653061224403</v>
      </c>
      <c r="Q63" s="21">
        <f t="shared" si="55"/>
        <v>0.95238095238095244</v>
      </c>
      <c r="R63" s="637">
        <f>Q71</f>
        <v>0.95519652180452863</v>
      </c>
      <c r="S63" s="40">
        <v>8.3333333333333329E-2</v>
      </c>
      <c r="T63" s="40">
        <v>0.17083333333333334</v>
      </c>
      <c r="U63" s="28"/>
      <c r="V63" s="22">
        <f t="shared" ref="V63:V70" si="60">(T63-S63)*24*60</f>
        <v>126</v>
      </c>
      <c r="W63" s="23">
        <f>T63</f>
        <v>0.17083333333333334</v>
      </c>
      <c r="X63" s="23">
        <f>S64</f>
        <v>0.18958333333333333</v>
      </c>
      <c r="Y63" s="23"/>
      <c r="Z63" s="23"/>
      <c r="AA63" s="632"/>
      <c r="AB63" s="632"/>
      <c r="AC63" s="25">
        <v>8</v>
      </c>
      <c r="AD63" s="25"/>
      <c r="AE63" s="19">
        <f t="shared" si="50"/>
        <v>-114.28571428571422</v>
      </c>
      <c r="AF63" s="21">
        <f t="shared" si="57"/>
        <v>0.95238095238095244</v>
      </c>
      <c r="AG63" s="637">
        <f>AF71</f>
        <v>0.95519652180452852</v>
      </c>
    </row>
    <row r="64" spans="1:33" ht="15.75" customHeight="1">
      <c r="A64" s="635" t="s">
        <v>87</v>
      </c>
      <c r="B64" s="38" t="s">
        <v>116</v>
      </c>
      <c r="C64" s="633" t="s">
        <v>146</v>
      </c>
      <c r="D64" s="633"/>
      <c r="E64" s="42">
        <v>20.36</v>
      </c>
      <c r="F64" s="38">
        <v>3180</v>
      </c>
      <c r="G64" s="4">
        <f t="shared" si="58"/>
        <v>64744.799999999996</v>
      </c>
      <c r="H64" s="37" t="s">
        <v>91</v>
      </c>
      <c r="I64" s="16">
        <v>17</v>
      </c>
      <c r="J64" s="39">
        <v>2400</v>
      </c>
      <c r="K64" s="17">
        <f t="shared" si="51"/>
        <v>141.1764705882353</v>
      </c>
      <c r="L64" s="16">
        <v>17</v>
      </c>
      <c r="M64" s="18">
        <f t="shared" si="59"/>
        <v>2298.7951807228919</v>
      </c>
      <c r="N64" s="17">
        <f t="shared" si="52"/>
        <v>135.22324592487598</v>
      </c>
      <c r="O64" s="19">
        <f t="shared" si="53"/>
        <v>0</v>
      </c>
      <c r="P64" s="20">
        <f t="shared" si="54"/>
        <v>-5.9532246633593218</v>
      </c>
      <c r="Q64" s="21">
        <f t="shared" si="55"/>
        <v>0.95783132530120485</v>
      </c>
      <c r="R64" s="637"/>
      <c r="S64" s="40">
        <v>0.18958333333333333</v>
      </c>
      <c r="T64" s="40">
        <v>0.2472222222222222</v>
      </c>
      <c r="U64" s="4">
        <f t="shared" ref="U64:U70" si="61">(S64-T63)*24*60</f>
        <v>26.999999999999986</v>
      </c>
      <c r="V64" s="22">
        <f t="shared" si="60"/>
        <v>82.999999999999986</v>
      </c>
      <c r="W64" s="23"/>
      <c r="X64" s="23"/>
      <c r="Y64" s="23"/>
      <c r="Z64" s="23"/>
      <c r="AA64" s="632"/>
      <c r="AB64" s="632"/>
      <c r="AC64" s="25"/>
      <c r="AD64" s="25"/>
      <c r="AE64" s="19">
        <f t="shared" si="50"/>
        <v>-101.20481927710807</v>
      </c>
      <c r="AF64" s="21">
        <f t="shared" si="57"/>
        <v>0.95783132530120496</v>
      </c>
      <c r="AG64" s="637"/>
    </row>
    <row r="65" spans="1:33" ht="15.75" customHeight="1">
      <c r="A65" s="635" t="s">
        <v>87</v>
      </c>
      <c r="B65" s="38" t="s">
        <v>116</v>
      </c>
      <c r="C65" s="633" t="s">
        <v>147</v>
      </c>
      <c r="D65" s="633"/>
      <c r="E65" s="42">
        <v>25.98</v>
      </c>
      <c r="F65" s="38">
        <v>2285</v>
      </c>
      <c r="G65" s="4">
        <f t="shared" si="58"/>
        <v>59364.3</v>
      </c>
      <c r="H65" s="37" t="s">
        <v>91</v>
      </c>
      <c r="I65" s="16">
        <v>17</v>
      </c>
      <c r="J65" s="39">
        <v>2400</v>
      </c>
      <c r="K65" s="17">
        <f t="shared" si="51"/>
        <v>141.1764705882353</v>
      </c>
      <c r="L65" s="16">
        <v>17</v>
      </c>
      <c r="M65" s="18">
        <f t="shared" si="59"/>
        <v>2284.9999999999991</v>
      </c>
      <c r="N65" s="17">
        <f t="shared" si="52"/>
        <v>134.41176470588229</v>
      </c>
      <c r="O65" s="19">
        <f t="shared" si="53"/>
        <v>0</v>
      </c>
      <c r="P65" s="20">
        <f t="shared" si="54"/>
        <v>-6.7647058823530131</v>
      </c>
      <c r="Q65" s="21">
        <f t="shared" si="55"/>
        <v>0.95208333333333284</v>
      </c>
      <c r="R65" s="637"/>
      <c r="S65" s="40">
        <v>0.25138888888888888</v>
      </c>
      <c r="T65" s="40">
        <v>0.29305555555555557</v>
      </c>
      <c r="U65" s="4">
        <f t="shared" si="61"/>
        <v>6.0000000000000187</v>
      </c>
      <c r="V65" s="22">
        <f t="shared" si="60"/>
        <v>60.000000000000028</v>
      </c>
      <c r="W65" s="23"/>
      <c r="X65" s="23"/>
      <c r="Y65" s="23"/>
      <c r="Z65" s="23"/>
      <c r="AA65" s="632"/>
      <c r="AB65" s="632"/>
      <c r="AC65" s="25"/>
      <c r="AD65" s="25"/>
      <c r="AE65" s="19">
        <f t="shared" si="50"/>
        <v>-115.00000000000091</v>
      </c>
      <c r="AF65" s="21">
        <f t="shared" si="57"/>
        <v>0.95208333333333295</v>
      </c>
      <c r="AG65" s="637"/>
    </row>
    <row r="66" spans="1:33" ht="15.75" customHeight="1">
      <c r="A66" s="635" t="s">
        <v>86</v>
      </c>
      <c r="B66" s="38" t="s">
        <v>116</v>
      </c>
      <c r="C66" s="633" t="s">
        <v>148</v>
      </c>
      <c r="D66" s="633"/>
      <c r="E66" s="42">
        <v>28.29</v>
      </c>
      <c r="F66" s="38">
        <v>3889</v>
      </c>
      <c r="G66" s="4">
        <f t="shared" si="58"/>
        <v>110019.81</v>
      </c>
      <c r="H66" s="37" t="s">
        <v>91</v>
      </c>
      <c r="I66" s="16">
        <v>21</v>
      </c>
      <c r="J66" s="39">
        <v>2400</v>
      </c>
      <c r="K66" s="17">
        <f t="shared" si="51"/>
        <v>114.28571428571429</v>
      </c>
      <c r="L66" s="16">
        <v>21</v>
      </c>
      <c r="M66" s="18">
        <f t="shared" si="59"/>
        <v>2287.6470588235284</v>
      </c>
      <c r="N66" s="17">
        <f t="shared" si="52"/>
        <v>108.93557422969182</v>
      </c>
      <c r="O66" s="19">
        <f t="shared" si="53"/>
        <v>0</v>
      </c>
      <c r="P66" s="20">
        <f t="shared" si="54"/>
        <v>-5.3501400560224681</v>
      </c>
      <c r="Q66" s="21">
        <f t="shared" si="55"/>
        <v>0.95318627450980342</v>
      </c>
      <c r="R66" s="637"/>
      <c r="S66" s="40">
        <v>0.29652777777777778</v>
      </c>
      <c r="T66" s="40">
        <v>0.36736111111111114</v>
      </c>
      <c r="U66" s="4">
        <f t="shared" si="61"/>
        <v>4.9999999999999822</v>
      </c>
      <c r="V66" s="22">
        <f t="shared" si="60"/>
        <v>102.00000000000004</v>
      </c>
      <c r="W66" s="23"/>
      <c r="X66" s="23"/>
      <c r="Y66" s="23"/>
      <c r="Z66" s="23"/>
      <c r="AA66" s="632"/>
      <c r="AB66" s="632"/>
      <c r="AC66" s="25"/>
      <c r="AD66" s="25"/>
      <c r="AE66" s="19">
        <f t="shared" si="50"/>
        <v>-112.35294117647163</v>
      </c>
      <c r="AF66" s="21">
        <f t="shared" si="57"/>
        <v>0.95318627450980353</v>
      </c>
      <c r="AG66" s="637"/>
    </row>
    <row r="67" spans="1:33" ht="15.75" customHeight="1">
      <c r="A67" s="635" t="s">
        <v>87</v>
      </c>
      <c r="B67" s="38" t="s">
        <v>116</v>
      </c>
      <c r="C67" s="633" t="s">
        <v>149</v>
      </c>
      <c r="D67" s="633"/>
      <c r="E67" s="42">
        <v>24.25</v>
      </c>
      <c r="F67" s="38">
        <v>4174</v>
      </c>
      <c r="G67" s="4">
        <f t="shared" si="58"/>
        <v>101219.5</v>
      </c>
      <c r="H67" s="37" t="s">
        <v>91</v>
      </c>
      <c r="I67" s="16">
        <v>17</v>
      </c>
      <c r="J67" s="39">
        <v>2400</v>
      </c>
      <c r="K67" s="17">
        <f t="shared" si="51"/>
        <v>141.1764705882353</v>
      </c>
      <c r="L67" s="16">
        <v>17</v>
      </c>
      <c r="M67" s="18">
        <f t="shared" si="59"/>
        <v>2297.6146788990823</v>
      </c>
      <c r="N67" s="17">
        <f t="shared" si="52"/>
        <v>135.15380464112249</v>
      </c>
      <c r="O67" s="19">
        <f t="shared" si="53"/>
        <v>0</v>
      </c>
      <c r="P67" s="20">
        <f t="shared" si="54"/>
        <v>-6.022665947112813</v>
      </c>
      <c r="Q67" s="21">
        <f t="shared" si="55"/>
        <v>0.95733944954128425</v>
      </c>
      <c r="R67" s="637"/>
      <c r="S67" s="40">
        <v>0.37083333333333335</v>
      </c>
      <c r="T67" s="40">
        <v>0.4465277777777778</v>
      </c>
      <c r="U67" s="4">
        <f t="shared" si="61"/>
        <v>4.9999999999999822</v>
      </c>
      <c r="V67" s="22">
        <f t="shared" si="60"/>
        <v>109.00000000000001</v>
      </c>
      <c r="W67" s="23"/>
      <c r="X67" s="23"/>
      <c r="Y67" s="23"/>
      <c r="Z67" s="23"/>
      <c r="AA67" s="632"/>
      <c r="AB67" s="632"/>
      <c r="AC67" s="25"/>
      <c r="AD67" s="25"/>
      <c r="AE67" s="19">
        <f t="shared" si="50"/>
        <v>-102.38532110091774</v>
      </c>
      <c r="AF67" s="21">
        <f t="shared" si="57"/>
        <v>0.95733944954128425</v>
      </c>
      <c r="AG67" s="637"/>
    </row>
    <row r="68" spans="1:33" ht="15.75" customHeight="1">
      <c r="A68" s="635" t="s">
        <v>88</v>
      </c>
      <c r="B68" s="38" t="s">
        <v>116</v>
      </c>
      <c r="C68" s="633" t="s">
        <v>150</v>
      </c>
      <c r="D68" s="633"/>
      <c r="E68" s="42">
        <v>23.89</v>
      </c>
      <c r="F68" s="38">
        <v>3800</v>
      </c>
      <c r="G68" s="4">
        <f t="shared" si="58"/>
        <v>90782</v>
      </c>
      <c r="H68" s="37">
        <v>2</v>
      </c>
      <c r="I68" s="16">
        <v>13</v>
      </c>
      <c r="J68" s="39">
        <v>2400</v>
      </c>
      <c r="K68" s="17">
        <f t="shared" si="51"/>
        <v>184.61538461538461</v>
      </c>
      <c r="L68" s="16">
        <v>13</v>
      </c>
      <c r="M68" s="18">
        <f t="shared" si="59"/>
        <v>2303.0303030303021</v>
      </c>
      <c r="N68" s="17">
        <f t="shared" si="52"/>
        <v>177.15617715617708</v>
      </c>
      <c r="O68" s="19">
        <f t="shared" si="53"/>
        <v>0</v>
      </c>
      <c r="P68" s="20">
        <f t="shared" si="54"/>
        <v>-7.4592074592075335</v>
      </c>
      <c r="Q68" s="21">
        <f t="shared" si="55"/>
        <v>0.95959595959595922</v>
      </c>
      <c r="R68" s="637"/>
      <c r="S68" s="40">
        <v>0.45208333333333334</v>
      </c>
      <c r="T68" s="40">
        <v>0.52083333333333337</v>
      </c>
      <c r="U68" s="4">
        <f t="shared" si="61"/>
        <v>7.9999999999999716</v>
      </c>
      <c r="V68" s="22">
        <f t="shared" si="60"/>
        <v>99.000000000000043</v>
      </c>
      <c r="W68" s="23">
        <f>T68</f>
        <v>0.52083333333333337</v>
      </c>
      <c r="X68" s="23">
        <f>S69</f>
        <v>0.56111111111111112</v>
      </c>
      <c r="Y68" s="23"/>
      <c r="Z68" s="23"/>
      <c r="AA68" s="632"/>
      <c r="AB68" s="632"/>
      <c r="AC68" s="25"/>
      <c r="AD68" s="25"/>
      <c r="AE68" s="19">
        <f t="shared" si="50"/>
        <v>-96.969696969697907</v>
      </c>
      <c r="AF68" s="21">
        <f t="shared" si="57"/>
        <v>0.95959595959595922</v>
      </c>
      <c r="AG68" s="637"/>
    </row>
    <row r="69" spans="1:33" ht="15.75" customHeight="1">
      <c r="A69" s="635" t="s">
        <v>86</v>
      </c>
      <c r="B69" s="38" t="s">
        <v>116</v>
      </c>
      <c r="C69" s="625" t="s">
        <v>145</v>
      </c>
      <c r="D69" s="626"/>
      <c r="E69" s="42">
        <v>19.02</v>
      </c>
      <c r="F69" s="38">
        <v>3862</v>
      </c>
      <c r="G69" s="4">
        <f t="shared" si="58"/>
        <v>73455.240000000005</v>
      </c>
      <c r="H69" s="37" t="s">
        <v>91</v>
      </c>
      <c r="I69" s="16">
        <v>14</v>
      </c>
      <c r="J69" s="39">
        <v>2400</v>
      </c>
      <c r="K69" s="17">
        <f t="shared" si="51"/>
        <v>171.42857142857142</v>
      </c>
      <c r="L69" s="16">
        <v>14</v>
      </c>
      <c r="M69" s="18">
        <f t="shared" si="59"/>
        <v>2294.2574257425749</v>
      </c>
      <c r="N69" s="17">
        <f t="shared" si="52"/>
        <v>163.87553041018393</v>
      </c>
      <c r="O69" s="19">
        <f t="shared" si="53"/>
        <v>0</v>
      </c>
      <c r="P69" s="20">
        <f t="shared" si="54"/>
        <v>-7.5530410183874892</v>
      </c>
      <c r="Q69" s="21">
        <f t="shared" si="55"/>
        <v>0.95594059405940635</v>
      </c>
      <c r="R69" s="637"/>
      <c r="S69" s="40">
        <v>0.56111111111111112</v>
      </c>
      <c r="T69" s="40">
        <v>0.63124999999999998</v>
      </c>
      <c r="U69" s="4">
        <f t="shared" si="61"/>
        <v>57.999999999999957</v>
      </c>
      <c r="V69" s="22">
        <f t="shared" si="60"/>
        <v>100.99999999999996</v>
      </c>
      <c r="W69" s="23"/>
      <c r="X69" s="23"/>
      <c r="Y69" s="26"/>
      <c r="Z69" s="26"/>
      <c r="AA69" s="627"/>
      <c r="AB69" s="628"/>
      <c r="AC69" s="25"/>
      <c r="AD69" s="25"/>
      <c r="AE69" s="19">
        <f t="shared" si="50"/>
        <v>-105.74257425742508</v>
      </c>
      <c r="AF69" s="21">
        <f t="shared" si="57"/>
        <v>0.95594059405940623</v>
      </c>
      <c r="AG69" s="637"/>
    </row>
    <row r="70" spans="1:33" ht="15.75" customHeight="1">
      <c r="A70" s="635" t="s">
        <v>86</v>
      </c>
      <c r="B70" s="38" t="s">
        <v>116</v>
      </c>
      <c r="C70" s="625" t="s">
        <v>150</v>
      </c>
      <c r="D70" s="626"/>
      <c r="E70" s="42">
        <v>23.89</v>
      </c>
      <c r="F70" s="38">
        <v>2669</v>
      </c>
      <c r="G70" s="4">
        <f t="shared" si="58"/>
        <v>63762.41</v>
      </c>
      <c r="H70" s="37" t="s">
        <v>91</v>
      </c>
      <c r="I70" s="16">
        <v>13</v>
      </c>
      <c r="J70" s="39">
        <v>2400</v>
      </c>
      <c r="K70" s="17">
        <f t="shared" si="51"/>
        <v>184.61538461538461</v>
      </c>
      <c r="L70" s="16">
        <v>13</v>
      </c>
      <c r="M70" s="18">
        <f t="shared" si="59"/>
        <v>2287.7142857142835</v>
      </c>
      <c r="N70" s="17">
        <f t="shared" si="52"/>
        <v>175.97802197802181</v>
      </c>
      <c r="O70" s="19">
        <f t="shared" si="53"/>
        <v>0</v>
      </c>
      <c r="P70" s="20">
        <f t="shared" si="54"/>
        <v>-8.6373626373627985</v>
      </c>
      <c r="Q70" s="21">
        <f t="shared" si="55"/>
        <v>0.95321428571428479</v>
      </c>
      <c r="R70" s="637"/>
      <c r="S70" s="40">
        <v>0.63541666666666663</v>
      </c>
      <c r="T70" s="40">
        <v>0.68402777777777779</v>
      </c>
      <c r="U70" s="4">
        <f t="shared" si="61"/>
        <v>5.9999999999999787</v>
      </c>
      <c r="V70" s="22">
        <f t="shared" si="60"/>
        <v>70.000000000000071</v>
      </c>
      <c r="W70" s="23"/>
      <c r="X70" s="23"/>
      <c r="Y70" s="26"/>
      <c r="Z70" s="26"/>
      <c r="AA70" s="627"/>
      <c r="AB70" s="628"/>
      <c r="AC70" s="25"/>
      <c r="AD70" s="25"/>
      <c r="AE70" s="19">
        <f t="shared" si="50"/>
        <v>-112.28571428571649</v>
      </c>
      <c r="AF70" s="21">
        <f t="shared" si="57"/>
        <v>0.95321428571428479</v>
      </c>
      <c r="AG70" s="637"/>
    </row>
    <row r="71" spans="1:33" ht="16.5" customHeight="1">
      <c r="A71" s="636" t="s">
        <v>89</v>
      </c>
      <c r="B71" s="42" t="s">
        <v>82</v>
      </c>
      <c r="C71" s="629"/>
      <c r="D71" s="630"/>
      <c r="E71" s="43"/>
      <c r="F71" s="44"/>
      <c r="G71" s="17"/>
      <c r="H71" s="38"/>
      <c r="I71" s="29">
        <v>15.75</v>
      </c>
      <c r="J71" s="39">
        <v>2400</v>
      </c>
      <c r="K71" s="17">
        <f t="shared" si="51"/>
        <v>152.38095238095238</v>
      </c>
      <c r="L71" s="29">
        <v>15.75</v>
      </c>
      <c r="M71" s="18">
        <f>AVERAGE(M63:M70)</f>
        <v>2292.4716523308684</v>
      </c>
      <c r="N71" s="17">
        <f t="shared" si="52"/>
        <v>145.55375570354721</v>
      </c>
      <c r="O71" s="19">
        <f t="shared" si="53"/>
        <v>0</v>
      </c>
      <c r="P71" s="20">
        <f t="shared" si="54"/>
        <v>-6.8271966774051691</v>
      </c>
      <c r="Q71" s="21">
        <f t="shared" si="55"/>
        <v>0.95519652180452863</v>
      </c>
      <c r="R71" s="637"/>
      <c r="S71" s="40"/>
      <c r="T71" s="40"/>
      <c r="U71" s="17"/>
      <c r="V71" s="22"/>
      <c r="W71" s="17"/>
      <c r="X71" s="17"/>
      <c r="Y71" s="30">
        <f>SUM(Y63:Y70)</f>
        <v>0</v>
      </c>
      <c r="Z71" s="30">
        <f>SUM(Z63:Z70)</f>
        <v>0</v>
      </c>
      <c r="AA71" s="631"/>
      <c r="AB71" s="631"/>
      <c r="AC71" s="30">
        <v>8</v>
      </c>
      <c r="AD71" s="30">
        <v>0</v>
      </c>
      <c r="AE71" s="19">
        <f t="shared" si="50"/>
        <v>-107.52834766913156</v>
      </c>
      <c r="AF71" s="21">
        <f t="shared" si="57"/>
        <v>0.95519652180452852</v>
      </c>
      <c r="AG71" s="637"/>
    </row>
    <row r="72" spans="1:33">
      <c r="D72" s="33"/>
      <c r="E72" s="33"/>
    </row>
  </sheetData>
  <mergeCells count="189">
    <mergeCell ref="AG63:AG71"/>
    <mergeCell ref="C64:D64"/>
    <mergeCell ref="AA64:AB64"/>
    <mergeCell ref="C65:D65"/>
    <mergeCell ref="AA65:AB65"/>
    <mergeCell ref="C66:D66"/>
    <mergeCell ref="AA63:AB63"/>
    <mergeCell ref="AA68:AB68"/>
    <mergeCell ref="C69:D69"/>
    <mergeCell ref="C68:D68"/>
    <mergeCell ref="AG48:AG57"/>
    <mergeCell ref="C49:D49"/>
    <mergeCell ref="AA49:AB49"/>
    <mergeCell ref="C50:D50"/>
    <mergeCell ref="AA50:AB50"/>
    <mergeCell ref="AA51:AB51"/>
    <mergeCell ref="A58:A62"/>
    <mergeCell ref="C58:D58"/>
    <mergeCell ref="R58:R62"/>
    <mergeCell ref="AA58:AB58"/>
    <mergeCell ref="AA52:AB52"/>
    <mergeCell ref="C53:D53"/>
    <mergeCell ref="AA53:AB53"/>
    <mergeCell ref="C54:D54"/>
    <mergeCell ref="AA54:AB54"/>
    <mergeCell ref="C55:D55"/>
    <mergeCell ref="AA55:AB55"/>
    <mergeCell ref="A48:A57"/>
    <mergeCell ref="C48:D48"/>
    <mergeCell ref="R48:R57"/>
    <mergeCell ref="AA48:AB48"/>
    <mergeCell ref="C62:D62"/>
    <mergeCell ref="AA62:AB62"/>
    <mergeCell ref="AG58:AG62"/>
    <mergeCell ref="C57:D57"/>
    <mergeCell ref="AA57:AB57"/>
    <mergeCell ref="A43:A47"/>
    <mergeCell ref="C43:D43"/>
    <mergeCell ref="R43:R47"/>
    <mergeCell ref="AA43:AB43"/>
    <mergeCell ref="A63:A71"/>
    <mergeCell ref="C63:D63"/>
    <mergeCell ref="R63:R71"/>
    <mergeCell ref="C59:D59"/>
    <mergeCell ref="AA59:AB59"/>
    <mergeCell ref="C60:D60"/>
    <mergeCell ref="AA60:AB60"/>
    <mergeCell ref="C61:D61"/>
    <mergeCell ref="AA61:AB61"/>
    <mergeCell ref="AA66:AB66"/>
    <mergeCell ref="C67:D67"/>
    <mergeCell ref="AA67:AB67"/>
    <mergeCell ref="C71:D71"/>
    <mergeCell ref="AA71:AB71"/>
    <mergeCell ref="AA69:AB69"/>
    <mergeCell ref="C70:D70"/>
    <mergeCell ref="AA70:AB70"/>
    <mergeCell ref="AG43:AG47"/>
    <mergeCell ref="C44:D44"/>
    <mergeCell ref="AA44:AB44"/>
    <mergeCell ref="C45:D45"/>
    <mergeCell ref="AA45:AB45"/>
    <mergeCell ref="C46:D46"/>
    <mergeCell ref="C42:D42"/>
    <mergeCell ref="AA42:AB42"/>
    <mergeCell ref="AA41:AB41"/>
    <mergeCell ref="C47:D47"/>
    <mergeCell ref="AA47:AB47"/>
    <mergeCell ref="AA46:AB46"/>
    <mergeCell ref="A38:A42"/>
    <mergeCell ref="C38:D38"/>
    <mergeCell ref="R38:R42"/>
    <mergeCell ref="AA38:AB38"/>
    <mergeCell ref="AG38:AG42"/>
    <mergeCell ref="C39:D39"/>
    <mergeCell ref="AA39:AB39"/>
    <mergeCell ref="C40:D40"/>
    <mergeCell ref="AA40:AB40"/>
    <mergeCell ref="C41:D41"/>
    <mergeCell ref="AG30:AG37"/>
    <mergeCell ref="C31:D31"/>
    <mergeCell ref="AA31:AB31"/>
    <mergeCell ref="C32:D32"/>
    <mergeCell ref="AA32:AB32"/>
    <mergeCell ref="C33:D33"/>
    <mergeCell ref="AA33:AB33"/>
    <mergeCell ref="C34:D34"/>
    <mergeCell ref="AA34:AB34"/>
    <mergeCell ref="C35:D35"/>
    <mergeCell ref="A23:A29"/>
    <mergeCell ref="C23:D23"/>
    <mergeCell ref="R23:R29"/>
    <mergeCell ref="AA23:AB23"/>
    <mergeCell ref="C29:D29"/>
    <mergeCell ref="AA29:AB29"/>
    <mergeCell ref="A30:A37"/>
    <mergeCell ref="C30:D30"/>
    <mergeCell ref="R30:R37"/>
    <mergeCell ref="AA30:AB30"/>
    <mergeCell ref="AA35:AB35"/>
    <mergeCell ref="C36:D36"/>
    <mergeCell ref="AA36:AB36"/>
    <mergeCell ref="C37:D37"/>
    <mergeCell ref="AA37:AB37"/>
    <mergeCell ref="AG23:AG29"/>
    <mergeCell ref="C24:D24"/>
    <mergeCell ref="AA24:AB24"/>
    <mergeCell ref="C25:D25"/>
    <mergeCell ref="AA25:AB25"/>
    <mergeCell ref="C26:D26"/>
    <mergeCell ref="C22:D22"/>
    <mergeCell ref="AA22:AB22"/>
    <mergeCell ref="AG15:AG22"/>
    <mergeCell ref="C16:D16"/>
    <mergeCell ref="AA16:AB16"/>
    <mergeCell ref="C17:D17"/>
    <mergeCell ref="AA17:AB17"/>
    <mergeCell ref="C18:D18"/>
    <mergeCell ref="AA18:AB18"/>
    <mergeCell ref="C19:D19"/>
    <mergeCell ref="AA19:AB19"/>
    <mergeCell ref="AA26:AB26"/>
    <mergeCell ref="C27:D27"/>
    <mergeCell ref="AA27:AB27"/>
    <mergeCell ref="C28:D28"/>
    <mergeCell ref="AA28:AB28"/>
    <mergeCell ref="A15:A22"/>
    <mergeCell ref="C15:D15"/>
    <mergeCell ref="R15:R22"/>
    <mergeCell ref="AA15:AB15"/>
    <mergeCell ref="AA12:AB12"/>
    <mergeCell ref="C13:D13"/>
    <mergeCell ref="AA13:AB13"/>
    <mergeCell ref="A9:A14"/>
    <mergeCell ref="C9:D9"/>
    <mergeCell ref="R9:R14"/>
    <mergeCell ref="AA9:AB9"/>
    <mergeCell ref="AG9:AG14"/>
    <mergeCell ref="C10:D10"/>
    <mergeCell ref="AA10:AB10"/>
    <mergeCell ref="C11:D11"/>
    <mergeCell ref="AA11:AB11"/>
    <mergeCell ref="C12:D12"/>
    <mergeCell ref="C8:D8"/>
    <mergeCell ref="AA8:AB8"/>
    <mergeCell ref="C7:D7"/>
    <mergeCell ref="AA7:AB7"/>
    <mergeCell ref="C14:D14"/>
    <mergeCell ref="AA14:AB14"/>
    <mergeCell ref="A5:A8"/>
    <mergeCell ref="C5:D5"/>
    <mergeCell ref="R5:R8"/>
    <mergeCell ref="AA5:AB5"/>
    <mergeCell ref="AG5:AG8"/>
    <mergeCell ref="C6:D6"/>
    <mergeCell ref="AA6:AB6"/>
    <mergeCell ref="U3:U4"/>
    <mergeCell ref="V3:V4"/>
    <mergeCell ref="W3:X3"/>
    <mergeCell ref="Y3:Z3"/>
    <mergeCell ref="AA3:AB4"/>
    <mergeCell ref="AC3:AD3"/>
    <mergeCell ref="N3:N4"/>
    <mergeCell ref="O3:O4"/>
    <mergeCell ref="P3:P4"/>
    <mergeCell ref="Q3:Q4"/>
    <mergeCell ref="R3:R4"/>
    <mergeCell ref="S3:T3"/>
    <mergeCell ref="H3:H4"/>
    <mergeCell ref="I3:I4"/>
    <mergeCell ref="A3:A4"/>
    <mergeCell ref="B3:B4"/>
    <mergeCell ref="C3:D4"/>
    <mergeCell ref="E3:E4"/>
    <mergeCell ref="F3:F4"/>
    <mergeCell ref="G3:G4"/>
    <mergeCell ref="AE3:AE4"/>
    <mergeCell ref="AF3:AF4"/>
    <mergeCell ref="AG3:AG4"/>
    <mergeCell ref="I1:K2"/>
    <mergeCell ref="L1:N2"/>
    <mergeCell ref="O1:R2"/>
    <mergeCell ref="S1:X2"/>
    <mergeCell ref="AA1:AB2"/>
    <mergeCell ref="AE1:AG2"/>
    <mergeCell ref="J3:J4"/>
    <mergeCell ref="K3:K4"/>
    <mergeCell ref="L3:L4"/>
    <mergeCell ref="M3:M4"/>
  </mergeCells>
  <phoneticPr fontId="3" type="noConversion"/>
  <conditionalFormatting sqref="O61:O68 O57:O58 O71 O5:O9 O14:O16 O22:O53">
    <cfRule type="cellIs" dxfId="146" priority="210" operator="greaterThan">
      <formula>0</formula>
    </cfRule>
  </conditionalFormatting>
  <conditionalFormatting sqref="P5:P7 P61 AE61 P63:P68 P30:P36 P58 P9 P14:P16 P23:P28 P48:P53 P38:P46 AE5:AE58 AE63:AE71">
    <cfRule type="cellIs" dxfId="145" priority="214" operator="lessThan">
      <formula>0</formula>
    </cfRule>
  </conditionalFormatting>
  <conditionalFormatting sqref="AF61 Q61:Q68 Q57:Q58 Q71 Q5:Q9 Q14:Q16 Q22:Q53 AF5:AF58 AF63:AF71">
    <cfRule type="cellIs" dxfId="144" priority="211" operator="greaterThan">
      <formula>1</formula>
    </cfRule>
    <cfRule type="cellIs" dxfId="143" priority="212" operator="lessThan">
      <formula>0.8</formula>
    </cfRule>
  </conditionalFormatting>
  <conditionalFormatting sqref="AG15:AG16 R15:R16 AG61 R61:R68 AG57:AG58 R57:R58 R71 AG5:AG9 R5:R9 AG22:AG53 R22:R53">
    <cfRule type="cellIs" dxfId="142" priority="216" operator="lessThan">
      <formula>0.8</formula>
    </cfRule>
  </conditionalFormatting>
  <conditionalFormatting sqref="AG43">
    <cfRule type="cellIs" dxfId="141" priority="218" operator="lessThan">
      <formula>0.8</formula>
    </cfRule>
  </conditionalFormatting>
  <conditionalFormatting sqref="AG23:AG28">
    <cfRule type="cellIs" dxfId="140" priority="215" operator="lessThan">
      <formula>0.8</formula>
    </cfRule>
  </conditionalFormatting>
  <conditionalFormatting sqref="AG30">
    <cfRule type="cellIs" dxfId="139" priority="217" operator="lessThan">
      <formula>0.8</formula>
    </cfRule>
  </conditionalFormatting>
  <conditionalFormatting sqref="AG38:AG41">
    <cfRule type="cellIs" dxfId="138" priority="213" operator="lessThan">
      <formula>0.8</formula>
    </cfRule>
  </conditionalFormatting>
  <conditionalFormatting sqref="AE62">
    <cfRule type="cellIs" dxfId="137" priority="209" operator="lessThan">
      <formula>0</formula>
    </cfRule>
  </conditionalFormatting>
  <conditionalFormatting sqref="AF62">
    <cfRule type="cellIs" dxfId="136" priority="207" operator="greaterThan">
      <formula>1</formula>
    </cfRule>
    <cfRule type="cellIs" dxfId="135" priority="208" operator="lessThan">
      <formula>0.8</formula>
    </cfRule>
  </conditionalFormatting>
  <conditionalFormatting sqref="O17:O18">
    <cfRule type="cellIs" dxfId="134" priority="202" operator="greaterThan">
      <formula>0</formula>
    </cfRule>
  </conditionalFormatting>
  <conditionalFormatting sqref="P17:P18">
    <cfRule type="cellIs" dxfId="133" priority="205" operator="lessThan">
      <formula>0</formula>
    </cfRule>
  </conditionalFormatting>
  <conditionalFormatting sqref="Q17:Q18">
    <cfRule type="cellIs" dxfId="132" priority="203" operator="greaterThan">
      <formula>1</formula>
    </cfRule>
    <cfRule type="cellIs" dxfId="131" priority="204" operator="lessThan">
      <formula>0.8</formula>
    </cfRule>
  </conditionalFormatting>
  <conditionalFormatting sqref="R17:R18 AG17:AG18">
    <cfRule type="cellIs" dxfId="130" priority="206" operator="lessThan">
      <formula>0.8</formula>
    </cfRule>
  </conditionalFormatting>
  <conditionalFormatting sqref="O10:O13">
    <cfRule type="cellIs" dxfId="129" priority="198" operator="greaterThan">
      <formula>0</formula>
    </cfRule>
  </conditionalFormatting>
  <conditionalFormatting sqref="P10:P13">
    <cfRule type="cellIs" dxfId="128" priority="201" operator="lessThan">
      <formula>0</formula>
    </cfRule>
  </conditionalFormatting>
  <conditionalFormatting sqref="Q10:Q13">
    <cfRule type="cellIs" dxfId="127" priority="199" operator="greaterThan">
      <formula>1</formula>
    </cfRule>
    <cfRule type="cellIs" dxfId="126" priority="200" operator="lessThan">
      <formula>0.8</formula>
    </cfRule>
  </conditionalFormatting>
  <conditionalFormatting sqref="O54">
    <cfRule type="cellIs" dxfId="125" priority="193" operator="greaterThan">
      <formula>0</formula>
    </cfRule>
  </conditionalFormatting>
  <conditionalFormatting sqref="P54">
    <cfRule type="cellIs" dxfId="124" priority="196" operator="lessThan">
      <formula>0</formula>
    </cfRule>
  </conditionalFormatting>
  <conditionalFormatting sqref="Q54">
    <cfRule type="cellIs" dxfId="123" priority="194" operator="greaterThan">
      <formula>1</formula>
    </cfRule>
    <cfRule type="cellIs" dxfId="122" priority="195" operator="lessThan">
      <formula>0.8</formula>
    </cfRule>
  </conditionalFormatting>
  <conditionalFormatting sqref="R54 AG54">
    <cfRule type="cellIs" dxfId="121" priority="197" operator="lessThan">
      <formula>0.8</formula>
    </cfRule>
  </conditionalFormatting>
  <conditionalFormatting sqref="O60">
    <cfRule type="cellIs" dxfId="120" priority="180" operator="greaterThan">
      <formula>0</formula>
    </cfRule>
  </conditionalFormatting>
  <conditionalFormatting sqref="P60 AE60">
    <cfRule type="cellIs" dxfId="119" priority="183" operator="lessThan">
      <formula>0</formula>
    </cfRule>
  </conditionalFormatting>
  <conditionalFormatting sqref="Q60 AF60">
    <cfRule type="cellIs" dxfId="118" priority="181" operator="greaterThan">
      <formula>1</formula>
    </cfRule>
    <cfRule type="cellIs" dxfId="117" priority="182" operator="lessThan">
      <formula>0.8</formula>
    </cfRule>
  </conditionalFormatting>
  <conditionalFormatting sqref="R60 AG60">
    <cfRule type="cellIs" dxfId="116" priority="184" operator="lessThan">
      <formula>0.8</formula>
    </cfRule>
  </conditionalFormatting>
  <conditionalFormatting sqref="O69">
    <cfRule type="cellIs" dxfId="115" priority="153" operator="greaterThan">
      <formula>0</formula>
    </cfRule>
  </conditionalFormatting>
  <conditionalFormatting sqref="P69">
    <cfRule type="cellIs" dxfId="114" priority="156" operator="lessThan">
      <formula>0</formula>
    </cfRule>
  </conditionalFormatting>
  <conditionalFormatting sqref="Q69">
    <cfRule type="cellIs" dxfId="113" priority="154" operator="greaterThan">
      <formula>1</formula>
    </cfRule>
    <cfRule type="cellIs" dxfId="112" priority="155" operator="lessThan">
      <formula>0.8</formula>
    </cfRule>
  </conditionalFormatting>
  <conditionalFormatting sqref="R69">
    <cfRule type="cellIs" dxfId="111" priority="157" operator="lessThan">
      <formula>0.8</formula>
    </cfRule>
  </conditionalFormatting>
  <conditionalFormatting sqref="O19:O20">
    <cfRule type="cellIs" dxfId="110" priority="148" operator="greaterThan">
      <formula>0</formula>
    </cfRule>
  </conditionalFormatting>
  <conditionalFormatting sqref="P19:P20">
    <cfRule type="cellIs" dxfId="109" priority="151" operator="lessThan">
      <formula>0</formula>
    </cfRule>
  </conditionalFormatting>
  <conditionalFormatting sqref="Q19:Q20">
    <cfRule type="cellIs" dxfId="108" priority="149" operator="greaterThan">
      <formula>1</formula>
    </cfRule>
    <cfRule type="cellIs" dxfId="107" priority="150" operator="lessThan">
      <formula>0.8</formula>
    </cfRule>
  </conditionalFormatting>
  <conditionalFormatting sqref="R19:R20 AG19:AG20">
    <cfRule type="cellIs" dxfId="106" priority="152" operator="lessThan">
      <formula>0.8</formula>
    </cfRule>
  </conditionalFormatting>
  <conditionalFormatting sqref="O55">
    <cfRule type="cellIs" dxfId="105" priority="126" operator="greaterThan">
      <formula>0</formula>
    </cfRule>
  </conditionalFormatting>
  <conditionalFormatting sqref="P55">
    <cfRule type="cellIs" dxfId="104" priority="129" operator="lessThan">
      <formula>0</formula>
    </cfRule>
  </conditionalFormatting>
  <conditionalFormatting sqref="Q55">
    <cfRule type="cellIs" dxfId="103" priority="127" operator="greaterThan">
      <formula>1</formula>
    </cfRule>
    <cfRule type="cellIs" dxfId="102" priority="128" operator="lessThan">
      <formula>0.8</formula>
    </cfRule>
  </conditionalFormatting>
  <conditionalFormatting sqref="AG55 R55">
    <cfRule type="cellIs" dxfId="101" priority="130" operator="lessThan">
      <formula>0.8</formula>
    </cfRule>
  </conditionalFormatting>
  <conditionalFormatting sqref="O59">
    <cfRule type="cellIs" dxfId="100" priority="91" operator="greaterThan">
      <formula>0</formula>
    </cfRule>
  </conditionalFormatting>
  <conditionalFormatting sqref="P59 AE59">
    <cfRule type="cellIs" dxfId="99" priority="94" operator="lessThan">
      <formula>0</formula>
    </cfRule>
  </conditionalFormatting>
  <conditionalFormatting sqref="Q59 AF59">
    <cfRule type="cellIs" dxfId="98" priority="92" operator="greaterThan">
      <formula>1</formula>
    </cfRule>
    <cfRule type="cellIs" dxfId="97" priority="93" operator="lessThan">
      <formula>0.8</formula>
    </cfRule>
  </conditionalFormatting>
  <conditionalFormatting sqref="R59 AG59">
    <cfRule type="cellIs" dxfId="96" priority="95" operator="lessThan">
      <formula>0.8</formula>
    </cfRule>
  </conditionalFormatting>
  <conditionalFormatting sqref="O21">
    <cfRule type="cellIs" dxfId="95" priority="86" operator="greaterThan">
      <formula>0</formula>
    </cfRule>
  </conditionalFormatting>
  <conditionalFormatting sqref="P21">
    <cfRule type="cellIs" dxfId="94" priority="89" operator="lessThan">
      <formula>0</formula>
    </cfRule>
  </conditionalFormatting>
  <conditionalFormatting sqref="Q21">
    <cfRule type="cellIs" dxfId="93" priority="87" operator="greaterThan">
      <formula>1</formula>
    </cfRule>
    <cfRule type="cellIs" dxfId="92" priority="88" operator="lessThan">
      <formula>0.8</formula>
    </cfRule>
  </conditionalFormatting>
  <conditionalFormatting sqref="AG21 R21">
    <cfRule type="cellIs" dxfId="91" priority="90" operator="lessThan">
      <formula>0.8</formula>
    </cfRule>
  </conditionalFormatting>
  <conditionalFormatting sqref="P8">
    <cfRule type="cellIs" dxfId="90" priority="77" operator="lessThan">
      <formula>0</formula>
    </cfRule>
  </conditionalFormatting>
  <conditionalFormatting sqref="P22">
    <cfRule type="cellIs" dxfId="89" priority="75" operator="lessThan">
      <formula>0</formula>
    </cfRule>
  </conditionalFormatting>
  <conditionalFormatting sqref="P29">
    <cfRule type="cellIs" dxfId="88" priority="74" operator="lessThan">
      <formula>0</formula>
    </cfRule>
  </conditionalFormatting>
  <conditionalFormatting sqref="P37">
    <cfRule type="cellIs" dxfId="87" priority="73" operator="lessThan">
      <formula>0</formula>
    </cfRule>
  </conditionalFormatting>
  <conditionalFormatting sqref="P47">
    <cfRule type="cellIs" dxfId="86" priority="72" operator="lessThan">
      <formula>0</formula>
    </cfRule>
  </conditionalFormatting>
  <conditionalFormatting sqref="P57">
    <cfRule type="cellIs" dxfId="85" priority="71" operator="lessThan">
      <formula>0</formula>
    </cfRule>
  </conditionalFormatting>
  <conditionalFormatting sqref="P62">
    <cfRule type="cellIs" dxfId="84" priority="70" operator="lessThan">
      <formula>0</formula>
    </cfRule>
  </conditionalFormatting>
  <conditionalFormatting sqref="P71">
    <cfRule type="cellIs" dxfId="83" priority="69" operator="lessThan">
      <formula>0</formula>
    </cfRule>
  </conditionalFormatting>
  <conditionalFormatting sqref="O70">
    <cfRule type="cellIs" dxfId="82" priority="57" operator="greaterThan">
      <formula>0</formula>
    </cfRule>
  </conditionalFormatting>
  <conditionalFormatting sqref="P70">
    <cfRule type="cellIs" dxfId="81" priority="60" operator="lessThan">
      <formula>0</formula>
    </cfRule>
  </conditionalFormatting>
  <conditionalFormatting sqref="Q70">
    <cfRule type="cellIs" dxfId="80" priority="58" operator="greaterThan">
      <formula>1</formula>
    </cfRule>
    <cfRule type="cellIs" dxfId="79" priority="59" operator="lessThan">
      <formula>0.8</formula>
    </cfRule>
  </conditionalFormatting>
  <conditionalFormatting sqref="R70">
    <cfRule type="cellIs" dxfId="78" priority="61" operator="lessThan">
      <formula>0.8</formula>
    </cfRule>
  </conditionalFormatting>
  <conditionalFormatting sqref="O56">
    <cfRule type="cellIs" dxfId="77" priority="30" operator="greaterThan">
      <formula>0</formula>
    </cfRule>
  </conditionalFormatting>
  <conditionalFormatting sqref="P56">
    <cfRule type="cellIs" dxfId="76" priority="33" operator="lessThan">
      <formula>0</formula>
    </cfRule>
  </conditionalFormatting>
  <conditionalFormatting sqref="Q56">
    <cfRule type="cellIs" dxfId="75" priority="31" operator="greaterThan">
      <formula>1</formula>
    </cfRule>
    <cfRule type="cellIs" dxfId="74" priority="32" operator="lessThan">
      <formula>0.8</formula>
    </cfRule>
  </conditionalFormatting>
  <conditionalFormatting sqref="AG56 R56">
    <cfRule type="cellIs" dxfId="73" priority="34" operator="lessThan">
      <formula>0.8</formula>
    </cfRule>
  </conditionalFormatting>
  <dataValidations count="1">
    <dataValidation type="list" allowBlank="1" showInputMessage="1" showErrorMessage="1" sqref="AB8 AA5:AB7 AA8:AA61 AB10:AB58 AA62:AB71">
      <formula1>#REF!</formula1>
    </dataValidation>
  </dataValidations>
  <pageMargins left="0" right="0" top="0" bottom="0" header="0" footer="0"/>
  <pageSetup paperSize="9" scale="21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9C4647-399D-46AC-ABED-7A8F7CABF3B6}"/>
</file>

<file path=customXml/itemProps2.xml><?xml version="1.0" encoding="utf-8"?>
<ds:datastoreItem xmlns:ds="http://schemas.openxmlformats.org/officeDocument/2006/customXml" ds:itemID="{BE22087D-236C-4F2F-B742-D962D588F088}"/>
</file>

<file path=customXml/itemProps3.xml><?xml version="1.0" encoding="utf-8"?>
<ds:datastoreItem xmlns:ds="http://schemas.openxmlformats.org/officeDocument/2006/customXml" ds:itemID="{F94C0251-316F-4EDB-8CC3-2AC604BC9F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62</vt:i4>
      </vt:variant>
    </vt:vector>
  </HeadingPairs>
  <TitlesOfParts>
    <vt:vector size="62" baseType="lpstr">
      <vt:lpstr>0831</vt:lpstr>
      <vt:lpstr>0831 4度C</vt:lpstr>
      <vt:lpstr>0830</vt:lpstr>
      <vt:lpstr>0830 4度C</vt:lpstr>
      <vt:lpstr>0829</vt:lpstr>
      <vt:lpstr>0829 4度C</vt:lpstr>
      <vt:lpstr>0828</vt:lpstr>
      <vt:lpstr>0828 4度C</vt:lpstr>
      <vt:lpstr>0827</vt:lpstr>
      <vt:lpstr>0827 4度C</vt:lpstr>
      <vt:lpstr>0826</vt:lpstr>
      <vt:lpstr>0826 4度C</vt:lpstr>
      <vt:lpstr>0825</vt:lpstr>
      <vt:lpstr>0825 4度C</vt:lpstr>
      <vt:lpstr>0824</vt:lpstr>
      <vt:lpstr>0824 4度C</vt:lpstr>
      <vt:lpstr>0823</vt:lpstr>
      <vt:lpstr>0823 4度C</vt:lpstr>
      <vt:lpstr>0822</vt:lpstr>
      <vt:lpstr>0822 4度C</vt:lpstr>
      <vt:lpstr>0821</vt:lpstr>
      <vt:lpstr>0821 4度C</vt:lpstr>
      <vt:lpstr>0820</vt:lpstr>
      <vt:lpstr>0820 4度C</vt:lpstr>
      <vt:lpstr>0819</vt:lpstr>
      <vt:lpstr>0819 4度C</vt:lpstr>
      <vt:lpstr>0818</vt:lpstr>
      <vt:lpstr>0818 4度C</vt:lpstr>
      <vt:lpstr>0817</vt:lpstr>
      <vt:lpstr>0817 4度C</vt:lpstr>
      <vt:lpstr>0816</vt:lpstr>
      <vt:lpstr>0816 4度C</vt:lpstr>
      <vt:lpstr>0815</vt:lpstr>
      <vt:lpstr>0815 4度C</vt:lpstr>
      <vt:lpstr>0814</vt:lpstr>
      <vt:lpstr>0814 4度C</vt:lpstr>
      <vt:lpstr>0813</vt:lpstr>
      <vt:lpstr>0813 4度C</vt:lpstr>
      <vt:lpstr>0812</vt:lpstr>
      <vt:lpstr>0812 4度C</vt:lpstr>
      <vt:lpstr>0811</vt:lpstr>
      <vt:lpstr>0811 4度C</vt:lpstr>
      <vt:lpstr>0810</vt:lpstr>
      <vt:lpstr>0810 4度C</vt:lpstr>
      <vt:lpstr>0809</vt:lpstr>
      <vt:lpstr>0809 4度C</vt:lpstr>
      <vt:lpstr>0808</vt:lpstr>
      <vt:lpstr>0808 4度C</vt:lpstr>
      <vt:lpstr>0807</vt:lpstr>
      <vt:lpstr>0807 4度C</vt:lpstr>
      <vt:lpstr>0806</vt:lpstr>
      <vt:lpstr>0806 4度C</vt:lpstr>
      <vt:lpstr>0805</vt:lpstr>
      <vt:lpstr>0805 4度C</vt:lpstr>
      <vt:lpstr>0804</vt:lpstr>
      <vt:lpstr>0804 4度C</vt:lpstr>
      <vt:lpstr>0803</vt:lpstr>
      <vt:lpstr>0803 4度C</vt:lpstr>
      <vt:lpstr>0802</vt:lpstr>
      <vt:lpstr>0802 4度C</vt:lpstr>
      <vt:lpstr>0801</vt:lpstr>
      <vt:lpstr>0801 4度C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新豐生管04</dc:creator>
  <cp:lastModifiedBy>新豐生管04</cp:lastModifiedBy>
  <dcterms:created xsi:type="dcterms:W3CDTF">2026-08-02T01:35:55Z</dcterms:created>
  <dcterms:modified xsi:type="dcterms:W3CDTF">2026-09-01T02:26:25Z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