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aouj\Desktop\Open Data\Données_MEF\"/>
    </mc:Choice>
  </mc:AlternateContent>
  <xr:revisionPtr revIDLastSave="0" documentId="8_{9AD93AC6-08FC-4EF6-BC21-27E764800146}" xr6:coauthVersionLast="47" xr6:coauthVersionMax="47" xr10:uidLastSave="{00000000-0000-0000-0000-000000000000}"/>
  <bookViews>
    <workbookView xWindow="-120" yWindow="-120" windowWidth="29040" windowHeight="15840" xr2:uid="{1AC8290E-1FB5-4E55-9B95-9E336709D02F}"/>
  </bookViews>
  <sheets>
    <sheet name="MAJ site(sectoriel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BQ4.1" hidden="1">#REF!</definedName>
    <definedName name="_ct1">#N/A</definedName>
    <definedName name="_Toc205882729" localSheetId="0">[13]Graph!#REF!</definedName>
    <definedName name="_Toc205882729">[13]Graph!#REF!</definedName>
    <definedName name="_Toc240454453" localSheetId="0">[13]Graph!#REF!</definedName>
    <definedName name="_Toc240454453">[13]Graph!#REF!</definedName>
    <definedName name="_Toc240454459" localSheetId="0">#REF!</definedName>
    <definedName name="_Toc240454459">#REF!</definedName>
    <definedName name="_Toc240454476" localSheetId="0">[13]Graph!#REF!</definedName>
    <definedName name="_Toc240454476">[13]Graph!#REF!</definedName>
    <definedName name="_Toc274738822">[37]Feuil1!$A$874</definedName>
    <definedName name="_Toc293412904">[37]Feuil1!$A$689</definedName>
    <definedName name="_Toc301910645">[37]Feuil1!$A$822</definedName>
    <definedName name="_Toc301910646" localSheetId="0">[13]Graph!#REF!</definedName>
    <definedName name="_Toc301910646">[13]Graph!#REF!</definedName>
    <definedName name="_Toc301910647">[37]Feuil1!$A$840</definedName>
    <definedName name="_Toc301910648">[37]Feuil1!$A$858</definedName>
    <definedName name="_Toc301910650">[37]Feuil1!$A$894</definedName>
    <definedName name="_Toc301910652">[37]Feuil1!$A$910</definedName>
    <definedName name="_Toc301910653">[37]Feuil1!$A$659</definedName>
    <definedName name="_Toc301910657">[37]Feuil1!$A$927</definedName>
    <definedName name="_Toc301910658">[37]Feuil1!$A$939</definedName>
    <definedName name="_Toc301910659">[37]Feuil1!$A$732</definedName>
    <definedName name="_Toc301910660">[37]Feuil1!$A$959</definedName>
    <definedName name="_Toc301910661">[37]Feuil1!$A$976</definedName>
    <definedName name="_Toc301910662">[37]Feuil1!$A$991</definedName>
    <definedName name="_Toc301910663">[37]Feuil1!$A$1006</definedName>
    <definedName name="_Toc334550841">[37]Feuil1!$A$6</definedName>
    <definedName name="_Toc367377263">[37]Feuil1!$A$40</definedName>
    <definedName name="_Toc367377266">[37]Feuil1!$A$114</definedName>
    <definedName name="_Toc367377267">[37]Feuil1!$A$137</definedName>
    <definedName name="_Toc367377268">[37]Feuil1!$A$166</definedName>
    <definedName name="_Toc367377269">[37]Feuil1!$A$98</definedName>
    <definedName name="_Toc367377270">[37]Feuil1!$A$197</definedName>
    <definedName name="_Toc367377274">[37]Feuil1!$A$214</definedName>
    <definedName name="_Toc367377275">[13]Graph!#REF!</definedName>
    <definedName name="_Toc367377276">[13]Graph!#REF!</definedName>
    <definedName name="_Toc367377278">[13]Graph!#REF!</definedName>
    <definedName name="_Toc367377279">[37]Feuil1!$A$271</definedName>
    <definedName name="_Toc367377280">[37]Feuil1!$A$287</definedName>
    <definedName name="_Toc367377281">[37]Feuil1!$A$304</definedName>
    <definedName name="_Toc367377282">[37]Feuil1!$A$316</definedName>
    <definedName name="_Toc367377283">[37]Feuil1!$A$329</definedName>
    <definedName name="_Toc367377285">[37]Feuil1!$A$342</definedName>
    <definedName name="_Toc367377287">[37]Feuil1!$A$371</definedName>
    <definedName name="_Toc367377288">[37]Feuil1!$A$391</definedName>
    <definedName name="_Toc367377289">[37]Feuil1!$A$404</definedName>
    <definedName name="_Toc367377290">[37]Feuil1!$A$417</definedName>
    <definedName name="_Toc367377291">[37]Feuil1!$A$433</definedName>
    <definedName name="_Toc430076685">[13]Graph!#REF!</definedName>
    <definedName name="_Toc430076686">[13]Graph!#REF!</definedName>
    <definedName name="_Toc66015669" localSheetId="0">#REF!</definedName>
    <definedName name="_Toc66015669">#REF!</definedName>
    <definedName name="AAA">#N/A</definedName>
    <definedName name="aaaa" localSheetId="0">OFFSET(Full_Print,0,0,'MAJ site(sectoriel)'!Last_Row)</definedName>
    <definedName name="aaaa">OFFSET(Full_Print,0,0,Last_Row)</definedName>
    <definedName name="Beg_Bal">'[38]Amortissement de prêt'!$C$18:$C$377</definedName>
    <definedName name="cdmt" localSheetId="0">MATCH(0.01,End_Bal,-1)+1</definedName>
    <definedName name="cdmt">MATCH(0.01,End_Bal,-1)+1</definedName>
    <definedName name="Data">'[38]Amortissement de prêt'!$A$18:$I$377</definedName>
    <definedName name="End_Bal">'[38]Amortissement de prêt'!$I$18:$I$377</definedName>
    <definedName name="Extra_Pay">'[38]Amortissement de prêt'!$E$18:$E$377</definedName>
    <definedName name="Full_Print">'[38]Amortissement de prêt'!$A$1:$I$377</definedName>
    <definedName name="gk" localSheetId="0">DATE(YEAR([39]!Loan_Start),MONTH([39]!Loan_Start)+Payment_Number,DAY([39]!Loan_Start))</definedName>
    <definedName name="gk">DATE(YEAR([39]!Loan_Start),MONTH([39]!Loan_Start)+Payment_Number,DAY([39]!Loan_Start))</definedName>
    <definedName name="graph" localSheetId="0">#REF!</definedName>
    <definedName name="graph">#REF!</definedName>
    <definedName name="Header_Row">ROW('[38]Amortissement de prêt'!$A$17:$IV$17)</definedName>
    <definedName name="_xlnm.Print_Titles" localSheetId="0">#REF!</definedName>
    <definedName name="_xlnm.Print_Titles">#REF!</definedName>
    <definedName name="Int">'[38]Amortissement de prêt'!$H$18:$H$377</definedName>
    <definedName name="Interest_Rate">'[38]Amortissement de prêt'!$D$7</definedName>
    <definedName name="international" localSheetId="0">#REF!</definedName>
    <definedName name="international">#REF!</definedName>
    <definedName name="Last_Row" localSheetId="0">IF('MAJ site(sectoriel)'!Values_Entered,Header_Row+'MAJ site(sectoriel)'!Number_of_Payments,Header_Row)</definedName>
    <definedName name="Last_Row">IF([39]!Values_Entered,Header_Row+[39]!Number_of_Payments,Header_Row)</definedName>
    <definedName name="Loan_Amount">'[38]Amortissement de prêt'!$D$6</definedName>
    <definedName name="Loan_Start">'[38]Amortissement de prêt'!$D$10</definedName>
    <definedName name="Loan_Years">'[38]Amortissement de prêt'!$D$8</definedName>
    <definedName name="Num_Pmt_Per_Year">'[38]Amortissement de prêt'!$D$9</definedName>
    <definedName name="Number_of_Payments" localSheetId="0">MATCH(0.01,End_Bal,-1)+1</definedName>
    <definedName name="Number_of_Payments">MATCH(0.01,End_Bal,-1)+1</definedName>
    <definedName name="paiement" localSheetId="0">DATE(YEAR([39]!Loan_Start),MONTH([39]!Loan_Start)+Payment_Number,DAY([39]!Loan_Start))</definedName>
    <definedName name="paiement">DATE(YEAR([39]!Loan_Start),MONTH([39]!Loan_Start)+Payment_Number,DAY([39]!Loan_Start))</definedName>
    <definedName name="Pay_Date">'[38]Amortissement de prêt'!$B$18:$B$377</definedName>
    <definedName name="Pay_Num">'[38]Amortissement de prêt'!$A$18:$A$377</definedName>
    <definedName name="Payment_Date" localSheetId="0">DATE(YEAR([39]!Loan_Start),MONTH([39]!Loan_Start)+Payment_Number,DAY([39]!Loan_Start))</definedName>
    <definedName name="Payment_Date">DATE(YEAR(Loan_Start),MONTH(Loan_Start)+Payment_Number,DAY(Loan_Start))</definedName>
    <definedName name="Princ">'[38]Amortissement de prêt'!$G$18:$G$377</definedName>
    <definedName name="Print_Area_Reset" localSheetId="0">OFFSET(Full_Print,0,0,'MAJ site(sectoriel)'!Last_Row)</definedName>
    <definedName name="Print_Area_Reset">OFFSET(Full_Print,0,0,Last_Row)</definedName>
    <definedName name="Sched_Pay">'[38]Amortissement de prêt'!$D$18:$D$377</definedName>
    <definedName name="Scheduled_Extra_Payments">'[38]Amortissement de prêt'!$D$11</definedName>
    <definedName name="Scheduled_Interest_Rate">'[38]Amortissement de prêt'!$D$7</definedName>
    <definedName name="Scheduled_Monthly_Payment">'[38]Amortissement de prêt'!$H$6</definedName>
    <definedName name="social2" localSheetId="0">DATE(YEAR([39]!Loan_Start),MONTH([39]!Loan_Start)+Payment_Number,DAY([39]!Loan_Start))</definedName>
    <definedName name="social2">DATE(YEAR(Loan_Start),MONTH(Loan_Start)+Payment_Number,DAY(Loan_Start))</definedName>
    <definedName name="Total_Interest">'[38]Amortissement de prêt'!$H$10</definedName>
    <definedName name="Total_Pay">'[38]Amortissement de prêt'!$F$18:$F$377</definedName>
    <definedName name="Total_Payment" localSheetId="0">Scheduled_Payment+Extra_Payment</definedName>
    <definedName name="Total_Payment">Scheduled_Payment+Extra_Payment</definedName>
    <definedName name="Values_Entered" localSheetId="0">IF(Loan_Amount*Interest_Rate*Loan_Years*Loan_Start&gt;0,1,0)</definedName>
    <definedName name="Values_Entered">IF(Loan_Amount*Interest_Rate*Loan_Years*Loan_Start&gt;0,1,0)</definedName>
    <definedName name="x" localSheetId="0">#REF!</definedName>
    <definedName name="x">#REF!</definedName>
    <definedName name="zone">#REF!</definedName>
    <definedName name="_xlnm.Print_Area" localSheetId="0">'MAJ site(sectoriel)'!$A$1:$H$425</definedName>
    <definedName name="_xlnm.Print_Area">#REF!</definedName>
    <definedName name="لا578" localSheetId="0">#REF!</definedName>
    <definedName name="لا578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H36" i="1"/>
  <c r="C37" i="1"/>
  <c r="D37" i="1"/>
  <c r="E37" i="1"/>
  <c r="F37" i="1"/>
  <c r="G37" i="1"/>
  <c r="C38" i="1"/>
  <c r="D38" i="1"/>
  <c r="E38" i="1"/>
  <c r="F38" i="1"/>
  <c r="G38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5" i="1"/>
  <c r="D55" i="1"/>
  <c r="E55" i="1"/>
  <c r="F55" i="1"/>
  <c r="G55" i="1"/>
  <c r="C56" i="1"/>
  <c r="D56" i="1"/>
  <c r="E56" i="1"/>
  <c r="F56" i="1"/>
  <c r="G56" i="1"/>
  <c r="G68" i="1"/>
  <c r="H68" i="1"/>
  <c r="C69" i="1"/>
  <c r="C68" i="1" s="1"/>
  <c r="D69" i="1"/>
  <c r="E69" i="1"/>
  <c r="F69" i="1"/>
  <c r="G69" i="1"/>
  <c r="H69" i="1"/>
  <c r="C70" i="1"/>
  <c r="D70" i="1"/>
  <c r="D68" i="1" s="1"/>
  <c r="E70" i="1"/>
  <c r="E68" i="1" s="1"/>
  <c r="F70" i="1"/>
  <c r="G70" i="1"/>
  <c r="H70" i="1"/>
  <c r="C71" i="1"/>
  <c r="D71" i="1"/>
  <c r="E71" i="1"/>
  <c r="F71" i="1"/>
  <c r="F68" i="1" s="1"/>
  <c r="G71" i="1"/>
  <c r="H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H88" i="1"/>
  <c r="C89" i="1"/>
  <c r="D89" i="1"/>
  <c r="E89" i="1"/>
  <c r="F89" i="1"/>
  <c r="G89" i="1"/>
  <c r="C93" i="1"/>
  <c r="D93" i="1"/>
  <c r="E93" i="1"/>
  <c r="F93" i="1"/>
  <c r="G93" i="1"/>
  <c r="H93" i="1"/>
  <c r="C94" i="1"/>
  <c r="C100" i="1" s="1"/>
  <c r="D94" i="1"/>
  <c r="D100" i="1" s="1"/>
  <c r="E94" i="1"/>
  <c r="E100" i="1" s="1"/>
  <c r="F94" i="1"/>
  <c r="G94" i="1"/>
  <c r="H94" i="1"/>
  <c r="C96" i="1"/>
  <c r="D96" i="1"/>
  <c r="E96" i="1"/>
  <c r="F96" i="1"/>
  <c r="G96" i="1"/>
  <c r="C97" i="1"/>
  <c r="D97" i="1"/>
  <c r="E97" i="1"/>
  <c r="F97" i="1"/>
  <c r="G97" i="1"/>
  <c r="C98" i="1"/>
  <c r="C99" i="1" s="1"/>
  <c r="D98" i="1"/>
  <c r="D99" i="1" s="1"/>
  <c r="E98" i="1"/>
  <c r="E99" i="1" s="1"/>
  <c r="F98" i="1"/>
  <c r="G98" i="1"/>
  <c r="F99" i="1"/>
  <c r="G99" i="1"/>
  <c r="F100" i="1"/>
  <c r="G100" i="1"/>
  <c r="H100" i="1"/>
  <c r="C102" i="1" a="1"/>
  <c r="C102" i="1"/>
  <c r="D102" i="1"/>
  <c r="E102" i="1"/>
  <c r="F102" i="1"/>
  <c r="G102" i="1"/>
  <c r="H102" i="1"/>
  <c r="C103" i="1"/>
  <c r="D103" i="1"/>
  <c r="E103" i="1"/>
  <c r="F103" i="1"/>
  <c r="G103" i="1"/>
  <c r="H103" i="1"/>
  <c r="D104" i="1"/>
  <c r="C117" i="1"/>
  <c r="D117" i="1"/>
  <c r="E117" i="1"/>
  <c r="F117" i="1"/>
  <c r="G117" i="1"/>
  <c r="H117" i="1"/>
  <c r="C118" i="1"/>
  <c r="D118" i="1"/>
  <c r="E118" i="1"/>
  <c r="F118" i="1"/>
  <c r="G118" i="1"/>
  <c r="H118" i="1"/>
  <c r="C119" i="1"/>
  <c r="D119" i="1"/>
  <c r="E119" i="1"/>
  <c r="F119" i="1"/>
  <c r="G119" i="1"/>
  <c r="H119" i="1"/>
  <c r="C122" i="1"/>
  <c r="C140" i="1" s="1"/>
  <c r="D122" i="1"/>
  <c r="D140" i="1" s="1"/>
  <c r="E122" i="1"/>
  <c r="F122" i="1"/>
  <c r="G122" i="1"/>
  <c r="C124" i="1"/>
  <c r="D124" i="1"/>
  <c r="E124" i="1"/>
  <c r="F124" i="1"/>
  <c r="G124" i="1"/>
  <c r="C125" i="1"/>
  <c r="D125" i="1"/>
  <c r="E125" i="1"/>
  <c r="F125" i="1"/>
  <c r="G125" i="1"/>
  <c r="D126" i="1"/>
  <c r="E126" i="1"/>
  <c r="F126" i="1"/>
  <c r="G126" i="1"/>
  <c r="C127" i="1"/>
  <c r="D127" i="1"/>
  <c r="E127" i="1"/>
  <c r="F127" i="1"/>
  <c r="G127" i="1"/>
  <c r="C128" i="1"/>
  <c r="C129" i="1"/>
  <c r="C130" i="1"/>
  <c r="C131" i="1"/>
  <c r="C132" i="1"/>
  <c r="C133" i="1"/>
  <c r="C134" i="1"/>
  <c r="D134" i="1"/>
  <c r="E134" i="1"/>
  <c r="F134" i="1"/>
  <c r="F140" i="1" s="1"/>
  <c r="G134" i="1"/>
  <c r="G140" i="1" s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E140" i="1"/>
  <c r="C141" i="1"/>
  <c r="D141" i="1"/>
  <c r="E141" i="1"/>
  <c r="F141" i="1"/>
  <c r="G141" i="1"/>
  <c r="C143" i="1"/>
  <c r="D143" i="1"/>
  <c r="E143" i="1"/>
  <c r="F143" i="1"/>
  <c r="G143" i="1"/>
  <c r="H143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C157" i="1"/>
  <c r="D157" i="1"/>
  <c r="E157" i="1"/>
  <c r="F157" i="1"/>
  <c r="G157" i="1"/>
  <c r="C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C163" i="1"/>
  <c r="D163" i="1"/>
  <c r="E163" i="1"/>
  <c r="F163" i="1"/>
  <c r="G163" i="1"/>
  <c r="H163" i="1"/>
  <c r="C184" i="1"/>
  <c r="D184" i="1"/>
  <c r="E184" i="1"/>
  <c r="F184" i="1"/>
  <c r="G184" i="1"/>
  <c r="H184" i="1"/>
  <c r="C185" i="1"/>
  <c r="D185" i="1"/>
  <c r="E185" i="1"/>
  <c r="F185" i="1"/>
  <c r="G185" i="1"/>
  <c r="H185" i="1"/>
  <c r="C187" i="1"/>
  <c r="D187" i="1"/>
  <c r="E187" i="1"/>
  <c r="F187" i="1"/>
  <c r="G187" i="1"/>
  <c r="H187" i="1"/>
  <c r="C188" i="1"/>
  <c r="C191" i="1" s="1"/>
  <c r="D188" i="1"/>
  <c r="D191" i="1" s="1"/>
  <c r="E188" i="1"/>
  <c r="F188" i="1"/>
  <c r="G188" i="1"/>
  <c r="H188" i="1"/>
  <c r="C189" i="1"/>
  <c r="D189" i="1"/>
  <c r="E189" i="1"/>
  <c r="E191" i="1" s="1"/>
  <c r="F189" i="1"/>
  <c r="F191" i="1" s="1"/>
  <c r="G189" i="1"/>
  <c r="H189" i="1"/>
  <c r="C190" i="1"/>
  <c r="D190" i="1"/>
  <c r="E190" i="1"/>
  <c r="F190" i="1"/>
  <c r="G190" i="1"/>
  <c r="G191" i="1" s="1"/>
  <c r="H190" i="1"/>
  <c r="H191" i="1"/>
  <c r="C192" i="1"/>
  <c r="D192" i="1"/>
  <c r="E192" i="1"/>
  <c r="F192" i="1"/>
  <c r="G192" i="1"/>
  <c r="H192" i="1"/>
  <c r="C194" i="1"/>
  <c r="D194" i="1"/>
  <c r="E194" i="1"/>
  <c r="F194" i="1"/>
  <c r="G194" i="1"/>
  <c r="H194" i="1"/>
  <c r="C195" i="1"/>
  <c r="D195" i="1"/>
  <c r="E195" i="1"/>
  <c r="F195" i="1"/>
  <c r="F198" i="1" s="1"/>
  <c r="G195" i="1"/>
  <c r="G198" i="1" s="1"/>
  <c r="H195" i="1"/>
  <c r="H198" i="1" s="1"/>
  <c r="C196" i="1"/>
  <c r="D196" i="1"/>
  <c r="E196" i="1"/>
  <c r="F196" i="1"/>
  <c r="G196" i="1"/>
  <c r="H196" i="1"/>
  <c r="C197" i="1"/>
  <c r="C198" i="1" s="1"/>
  <c r="D197" i="1"/>
  <c r="E197" i="1"/>
  <c r="F197" i="1"/>
  <c r="G197" i="1"/>
  <c r="H197" i="1"/>
  <c r="D198" i="1"/>
  <c r="E198" i="1"/>
  <c r="C199" i="1"/>
  <c r="D199" i="1"/>
  <c r="E199" i="1"/>
  <c r="F199" i="1"/>
  <c r="G199" i="1"/>
  <c r="H199" i="1"/>
  <c r="C201" i="1"/>
  <c r="D201" i="1"/>
  <c r="E201" i="1"/>
  <c r="F201" i="1"/>
  <c r="G201" i="1"/>
  <c r="H201" i="1"/>
  <c r="C202" i="1"/>
  <c r="C205" i="1" s="1"/>
  <c r="D202" i="1"/>
  <c r="D205" i="1" s="1"/>
  <c r="E202" i="1"/>
  <c r="F202" i="1"/>
  <c r="G202" i="1"/>
  <c r="H202" i="1"/>
  <c r="C203" i="1"/>
  <c r="D203" i="1"/>
  <c r="E203" i="1"/>
  <c r="E205" i="1" s="1"/>
  <c r="F203" i="1"/>
  <c r="F205" i="1" s="1"/>
  <c r="G203" i="1"/>
  <c r="H203" i="1"/>
  <c r="C204" i="1"/>
  <c r="D204" i="1"/>
  <c r="E204" i="1"/>
  <c r="F204" i="1"/>
  <c r="G204" i="1"/>
  <c r="G205" i="1" s="1"/>
  <c r="H204" i="1"/>
  <c r="H205" i="1"/>
  <c r="C206" i="1"/>
  <c r="D206" i="1"/>
  <c r="E206" i="1"/>
  <c r="F206" i="1"/>
  <c r="G206" i="1"/>
  <c r="H206" i="1"/>
  <c r="C208" i="1"/>
  <c r="D208" i="1"/>
  <c r="E208" i="1"/>
  <c r="F208" i="1"/>
  <c r="G208" i="1"/>
  <c r="H208" i="1"/>
  <c r="C209" i="1"/>
  <c r="D209" i="1"/>
  <c r="E209" i="1"/>
  <c r="F209" i="1"/>
  <c r="G209" i="1"/>
  <c r="H209" i="1"/>
  <c r="C214" i="1"/>
  <c r="D214" i="1"/>
  <c r="E214" i="1"/>
  <c r="F214" i="1"/>
  <c r="G214" i="1"/>
  <c r="H214" i="1"/>
  <c r="C216" i="1"/>
  <c r="D216" i="1"/>
  <c r="E216" i="1"/>
  <c r="F216" i="1"/>
  <c r="G216" i="1"/>
  <c r="H216" i="1"/>
  <c r="C217" i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C224" i="1"/>
  <c r="C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47" i="1"/>
  <c r="D247" i="1"/>
  <c r="E247" i="1"/>
  <c r="F247" i="1"/>
  <c r="G247" i="1"/>
  <c r="H247" i="1"/>
  <c r="C248" i="1"/>
  <c r="D248" i="1"/>
  <c r="E248" i="1"/>
  <c r="F248" i="1"/>
  <c r="G248" i="1"/>
  <c r="H248" i="1"/>
  <c r="C250" i="1"/>
  <c r="D250" i="1"/>
  <c r="E250" i="1"/>
  <c r="F250" i="1"/>
  <c r="G250" i="1"/>
  <c r="H250" i="1"/>
  <c r="H252" i="1" s="1"/>
  <c r="C251" i="1"/>
  <c r="C252" i="1" s="1"/>
  <c r="D251" i="1"/>
  <c r="E251" i="1"/>
  <c r="F251" i="1"/>
  <c r="G251" i="1"/>
  <c r="H251" i="1"/>
  <c r="D252" i="1"/>
  <c r="E252" i="1"/>
  <c r="F252" i="1"/>
  <c r="G252" i="1"/>
  <c r="C255" i="1"/>
  <c r="D255" i="1"/>
  <c r="E255" i="1"/>
  <c r="F255" i="1"/>
  <c r="G255" i="1"/>
  <c r="C256" i="1"/>
  <c r="C257" i="1"/>
  <c r="C266" i="1"/>
  <c r="D266" i="1"/>
  <c r="E266" i="1"/>
  <c r="F266" i="1"/>
  <c r="G266" i="1"/>
  <c r="H266" i="1"/>
  <c r="C267" i="1"/>
  <c r="D267" i="1"/>
  <c r="E267" i="1"/>
  <c r="F267" i="1"/>
  <c r="G267" i="1"/>
  <c r="H267" i="1"/>
  <c r="C268" i="1"/>
  <c r="D268" i="1"/>
  <c r="E268" i="1"/>
  <c r="F268" i="1"/>
  <c r="D270" i="1"/>
  <c r="E270" i="1"/>
  <c r="F270" i="1"/>
  <c r="V270" i="1"/>
  <c r="W270" i="1"/>
  <c r="X270" i="1"/>
  <c r="Y270" i="1"/>
  <c r="Z270" i="1"/>
  <c r="AA270" i="1"/>
  <c r="C270" i="1" s="1"/>
  <c r="AB270" i="1"/>
  <c r="AC270" i="1"/>
  <c r="AD270" i="1"/>
  <c r="AE270" i="1"/>
  <c r="AF270" i="1"/>
  <c r="AG270" i="1"/>
  <c r="AH270" i="1"/>
  <c r="AI270" i="1"/>
  <c r="D271" i="1"/>
  <c r="E271" i="1"/>
  <c r="F271" i="1"/>
  <c r="V271" i="1"/>
  <c r="W271" i="1"/>
  <c r="X271" i="1"/>
  <c r="Y271" i="1"/>
  <c r="Z271" i="1"/>
  <c r="AA271" i="1"/>
  <c r="C271" i="1" s="1"/>
  <c r="AB271" i="1"/>
  <c r="AC271" i="1"/>
  <c r="AD271" i="1"/>
  <c r="AE271" i="1"/>
  <c r="AF271" i="1"/>
  <c r="AG271" i="1"/>
  <c r="AH271" i="1"/>
  <c r="AI271" i="1"/>
  <c r="D272" i="1"/>
  <c r="E272" i="1"/>
  <c r="F272" i="1"/>
  <c r="V272" i="1"/>
  <c r="W272" i="1"/>
  <c r="X272" i="1"/>
  <c r="Y272" i="1"/>
  <c r="Z272" i="1"/>
  <c r="AA272" i="1"/>
  <c r="C272" i="1" s="1"/>
  <c r="AB272" i="1"/>
  <c r="AC272" i="1"/>
  <c r="AD272" i="1"/>
  <c r="AE272" i="1"/>
  <c r="AF272" i="1"/>
  <c r="AG272" i="1"/>
  <c r="AH272" i="1"/>
  <c r="AI272" i="1"/>
  <c r="D273" i="1"/>
  <c r="E273" i="1"/>
  <c r="F273" i="1"/>
  <c r="V273" i="1"/>
  <c r="W273" i="1"/>
  <c r="X273" i="1"/>
  <c r="Y273" i="1"/>
  <c r="Z273" i="1"/>
  <c r="AA273" i="1"/>
  <c r="AB273" i="1"/>
  <c r="AC273" i="1"/>
  <c r="AD273" i="1"/>
  <c r="AE273" i="1"/>
  <c r="AF273" i="1"/>
  <c r="C273" i="1" s="1"/>
  <c r="AG273" i="1"/>
  <c r="AH273" i="1"/>
  <c r="AI273" i="1"/>
  <c r="D274" i="1"/>
  <c r="E274" i="1"/>
  <c r="F274" i="1"/>
  <c r="V274" i="1"/>
  <c r="W274" i="1"/>
  <c r="X274" i="1"/>
  <c r="Y274" i="1"/>
  <c r="Z274" i="1"/>
  <c r="AA274" i="1"/>
  <c r="C274" i="1" s="1"/>
  <c r="AB274" i="1"/>
  <c r="AC274" i="1"/>
  <c r="AD274" i="1"/>
  <c r="AE274" i="1"/>
  <c r="AF274" i="1"/>
  <c r="AG274" i="1"/>
  <c r="AH274" i="1"/>
  <c r="AI274" i="1"/>
  <c r="D275" i="1"/>
  <c r="E275" i="1"/>
  <c r="F275" i="1"/>
  <c r="V275" i="1"/>
  <c r="W275" i="1"/>
  <c r="X275" i="1"/>
  <c r="Y275" i="1"/>
  <c r="Z275" i="1"/>
  <c r="AA275" i="1"/>
  <c r="C275" i="1" s="1"/>
  <c r="AB275" i="1"/>
  <c r="AC275" i="1"/>
  <c r="AD275" i="1"/>
  <c r="AE275" i="1"/>
  <c r="AF275" i="1"/>
  <c r="AG275" i="1"/>
  <c r="AH275" i="1"/>
  <c r="AI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307" i="1"/>
  <c r="D307" i="1"/>
  <c r="E307" i="1"/>
  <c r="F307" i="1"/>
  <c r="G307" i="1"/>
  <c r="C308" i="1"/>
  <c r="D308" i="1"/>
  <c r="E308" i="1"/>
  <c r="F308" i="1"/>
  <c r="G308" i="1"/>
  <c r="C309" i="1"/>
  <c r="D309" i="1"/>
  <c r="E309" i="1"/>
  <c r="F309" i="1"/>
  <c r="G309" i="1"/>
  <c r="C310" i="1"/>
  <c r="D310" i="1"/>
  <c r="E310" i="1"/>
  <c r="F310" i="1"/>
  <c r="G310" i="1"/>
  <c r="C315" i="1"/>
  <c r="D315" i="1"/>
  <c r="E315" i="1"/>
  <c r="F315" i="1"/>
  <c r="G315" i="1"/>
  <c r="C316" i="1"/>
  <c r="D316" i="1"/>
  <c r="E316" i="1"/>
  <c r="F316" i="1"/>
  <c r="G316" i="1"/>
  <c r="C317" i="1"/>
  <c r="D317" i="1"/>
  <c r="E317" i="1"/>
  <c r="F317" i="1"/>
  <c r="G317" i="1"/>
  <c r="C318" i="1"/>
  <c r="D318" i="1"/>
  <c r="E318" i="1"/>
  <c r="F318" i="1"/>
  <c r="G318" i="1"/>
  <c r="C320" i="1"/>
  <c r="D320" i="1"/>
  <c r="E320" i="1"/>
  <c r="F320" i="1"/>
  <c r="G320" i="1"/>
  <c r="H320" i="1"/>
  <c r="C321" i="1"/>
  <c r="D321" i="1"/>
  <c r="E321" i="1"/>
  <c r="F321" i="1"/>
  <c r="G321" i="1"/>
  <c r="H321" i="1"/>
  <c r="C322" i="1"/>
  <c r="D322" i="1"/>
  <c r="E322" i="1"/>
  <c r="F322" i="1"/>
  <c r="G322" i="1"/>
  <c r="H322" i="1"/>
  <c r="C324" i="1"/>
  <c r="D324" i="1"/>
  <c r="E324" i="1"/>
  <c r="F324" i="1"/>
  <c r="G324" i="1"/>
  <c r="H324" i="1"/>
  <c r="C325" i="1"/>
  <c r="D325" i="1"/>
  <c r="E325" i="1"/>
  <c r="F325" i="1"/>
  <c r="G325" i="1"/>
  <c r="H325" i="1"/>
  <c r="C326" i="1"/>
  <c r="D326" i="1"/>
  <c r="E326" i="1"/>
  <c r="F326" i="1"/>
  <c r="G326" i="1"/>
  <c r="H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6" i="1"/>
  <c r="D336" i="1"/>
  <c r="E336" i="1"/>
  <c r="F336" i="1"/>
  <c r="G336" i="1"/>
  <c r="C337" i="1"/>
  <c r="D337" i="1"/>
  <c r="E337" i="1"/>
  <c r="F337" i="1"/>
  <c r="G337" i="1"/>
  <c r="H337" i="1"/>
  <c r="C338" i="1"/>
  <c r="D338" i="1"/>
  <c r="E338" i="1"/>
  <c r="F338" i="1"/>
  <c r="G338" i="1"/>
  <c r="H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V339" i="1"/>
  <c r="W339" i="1"/>
  <c r="X339" i="1"/>
  <c r="Y339" i="1"/>
  <c r="Z339" i="1"/>
  <c r="AA339" i="1"/>
  <c r="AB339" i="1"/>
  <c r="AC339" i="1"/>
  <c r="AD339" i="1"/>
  <c r="AE339" i="1"/>
  <c r="AF339" i="1"/>
  <c r="C341" i="1"/>
  <c r="D341" i="1"/>
  <c r="E341" i="1"/>
  <c r="F341" i="1"/>
  <c r="G341" i="1"/>
  <c r="H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C349" i="1"/>
  <c r="D349" i="1"/>
  <c r="E349" i="1"/>
  <c r="F349" i="1"/>
  <c r="G349" i="1"/>
  <c r="H349" i="1"/>
  <c r="C350" i="1"/>
  <c r="D350" i="1"/>
  <c r="E350" i="1"/>
  <c r="F350" i="1"/>
  <c r="G350" i="1"/>
  <c r="H350" i="1"/>
  <c r="C351" i="1"/>
  <c r="D351" i="1"/>
  <c r="E351" i="1"/>
  <c r="F351" i="1"/>
  <c r="G351" i="1"/>
  <c r="H351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H355" i="1"/>
  <c r="C368" i="1"/>
  <c r="D368" i="1"/>
  <c r="E368" i="1"/>
  <c r="F368" i="1"/>
  <c r="G368" i="1"/>
  <c r="H368" i="1"/>
  <c r="C369" i="1"/>
  <c r="D369" i="1"/>
  <c r="E369" i="1"/>
  <c r="F369" i="1"/>
  <c r="G369" i="1"/>
  <c r="H369" i="1"/>
  <c r="C370" i="1"/>
  <c r="D370" i="1"/>
  <c r="E370" i="1"/>
  <c r="F370" i="1"/>
  <c r="G370" i="1"/>
  <c r="H370" i="1"/>
  <c r="C371" i="1"/>
  <c r="C372" i="1"/>
  <c r="D372" i="1"/>
  <c r="D371" i="1" s="1"/>
  <c r="E372" i="1"/>
  <c r="E371" i="1" s="1"/>
  <c r="F372" i="1"/>
  <c r="F371" i="1" s="1"/>
  <c r="G372" i="1"/>
  <c r="G371" i="1" s="1"/>
  <c r="H372" i="1"/>
  <c r="H371" i="1" s="1"/>
  <c r="C373" i="1"/>
  <c r="D373" i="1"/>
  <c r="E373" i="1"/>
  <c r="F373" i="1"/>
  <c r="G373" i="1"/>
  <c r="H373" i="1"/>
  <c r="C374" i="1"/>
  <c r="D374" i="1"/>
  <c r="E374" i="1"/>
  <c r="F374" i="1"/>
  <c r="G374" i="1"/>
  <c r="H374" i="1"/>
  <c r="C376" i="1"/>
  <c r="D376" i="1"/>
  <c r="E376" i="1"/>
  <c r="F376" i="1"/>
  <c r="G376" i="1"/>
  <c r="H376" i="1"/>
  <c r="C377" i="1"/>
  <c r="D377" i="1"/>
  <c r="E377" i="1"/>
  <c r="F377" i="1"/>
  <c r="G377" i="1"/>
  <c r="H377" i="1"/>
  <c r="C378" i="1"/>
  <c r="D378" i="1"/>
  <c r="E378" i="1"/>
  <c r="F378" i="1"/>
  <c r="G378" i="1"/>
  <c r="H378" i="1"/>
  <c r="C379" i="1"/>
  <c r="D379" i="1"/>
  <c r="E379" i="1"/>
  <c r="F379" i="1"/>
  <c r="G379" i="1"/>
  <c r="H379" i="1"/>
  <c r="C380" i="1"/>
  <c r="D380" i="1"/>
  <c r="E380" i="1"/>
  <c r="F380" i="1"/>
  <c r="G380" i="1"/>
  <c r="H380" i="1"/>
</calcChain>
</file>

<file path=xl/sharedStrings.xml><?xml version="1.0" encoding="utf-8"?>
<sst xmlns="http://schemas.openxmlformats.org/spreadsheetml/2006/main" count="329" uniqueCount="245">
  <si>
    <t>- Autorité de Contrôle des Assurances et de la Prévoyance Sociale</t>
  </si>
  <si>
    <t>- Agence Nationale de Réglementation des Télécommunications (ANRT)</t>
  </si>
  <si>
    <r>
      <t>Source</t>
    </r>
    <r>
      <rPr>
        <sz val="16"/>
        <rFont val="Times New Roman"/>
        <family val="1"/>
      </rPr>
      <t xml:space="preserve"> : Calcul de la DEPF sur la base des données de :</t>
    </r>
  </si>
  <si>
    <t xml:space="preserve">  - Accidents corporels</t>
  </si>
  <si>
    <t>Dont :  - Automobile</t>
  </si>
  <si>
    <t>Assurance non vie (En %)</t>
  </si>
  <si>
    <t>Assurance vie et capitalisation (En %)</t>
  </si>
  <si>
    <t>Chiffre d'affaires des sociétés d'assurances (En millions dh)</t>
  </si>
  <si>
    <t>9- Assurances</t>
  </si>
  <si>
    <t>Nombre d'abonnés Intenet (En milliers)</t>
  </si>
  <si>
    <t>Téléphone mobile</t>
  </si>
  <si>
    <t>Téléphone fixe</t>
  </si>
  <si>
    <t>Densité du téléphone (fixe + mobile) (En %)</t>
  </si>
  <si>
    <t>Nombre d'abonnés (En milliers)</t>
  </si>
  <si>
    <t>8- Télécommunications</t>
  </si>
  <si>
    <t>2012-17</t>
  </si>
  <si>
    <t>Moyenne</t>
  </si>
  <si>
    <t>Indicateurs sectoriels (Fin)</t>
  </si>
  <si>
    <t>- Direction Générale de la Sûreté Nationale</t>
  </si>
  <si>
    <t>-  Office National des Aéroports, Royal Air Maroc, Agence Nationale des Ports</t>
  </si>
  <si>
    <t>- Office National des Transports, Office National des Chemins du Fer,</t>
  </si>
  <si>
    <t>- Haut Commissariat au Plan</t>
  </si>
  <si>
    <t>- Ministère du Tourisme, de l’Artisanat, du Transport aérien et de l’Économie sociale</t>
  </si>
  <si>
    <t>Recettes touristiques (En millions de dh)</t>
  </si>
  <si>
    <t>Tourisme interne</t>
  </si>
  <si>
    <t>Tourisme étranger</t>
  </si>
  <si>
    <t>Structure (En %)</t>
  </si>
  <si>
    <t>Nuitées touristiques dans les hôtels classés (En milliers)</t>
  </si>
  <si>
    <t>Touristes étrangers</t>
  </si>
  <si>
    <t>Marocains résidents à l'étranger</t>
  </si>
  <si>
    <t>Dont (En %) :</t>
  </si>
  <si>
    <t>Entrées de voyageurs contrôlés aux frontières (En milliers)</t>
  </si>
  <si>
    <t>Pays arabes</t>
  </si>
  <si>
    <t>Etats-Unis</t>
  </si>
  <si>
    <t>Italie</t>
  </si>
  <si>
    <t>Allemagne</t>
  </si>
  <si>
    <t>Espagne</t>
  </si>
  <si>
    <t>France</t>
  </si>
  <si>
    <t>Structure selon les principaux pays (En %)</t>
  </si>
  <si>
    <t>Taux de croissance (En %)</t>
  </si>
  <si>
    <t>Arrivées (hors MRE) (En milliers)</t>
  </si>
  <si>
    <t>Taux d'occupation (En %)</t>
  </si>
  <si>
    <t>Capacité hôtelière (En lits)</t>
  </si>
  <si>
    <t xml:space="preserve">7- Tourisme </t>
  </si>
  <si>
    <t>Blessés Légers</t>
  </si>
  <si>
    <t>Blessés graves</t>
  </si>
  <si>
    <t>Tuées</t>
  </si>
  <si>
    <t>Nombre de victimes</t>
  </si>
  <si>
    <t>Part des accidents mortels (En %)</t>
  </si>
  <si>
    <t>Accidents de la circulation (En nombre)</t>
  </si>
  <si>
    <t xml:space="preserve">Transport aérien </t>
  </si>
  <si>
    <t xml:space="preserve">Transport maritime </t>
  </si>
  <si>
    <t>Transport ferroviaire</t>
  </si>
  <si>
    <t>Trafic de marchandises (En milliers de tonnes)</t>
  </si>
  <si>
    <t>Transport aérien</t>
  </si>
  <si>
    <t>Trafic de voyageurs  (En milliers)</t>
  </si>
  <si>
    <t>Routes Provinciales</t>
  </si>
  <si>
    <t>Routes Régionales</t>
  </si>
  <si>
    <t>Routes Nationales et autoroutes</t>
  </si>
  <si>
    <t>Trafic routier en millions de véhicules.Km/jour</t>
  </si>
  <si>
    <t>Routes Nationales</t>
  </si>
  <si>
    <t>Trafic routier (En million véhicules / jour)</t>
  </si>
  <si>
    <t>Part des voitures de tourisme (En %)</t>
  </si>
  <si>
    <t>Parc des véhicules (En milliers)</t>
  </si>
  <si>
    <t>Longueur des autoroutes (En Km)</t>
  </si>
  <si>
    <t>Réseau routier revêtu (En milliers de Km)</t>
  </si>
  <si>
    <t>6- Transports</t>
  </si>
  <si>
    <t>Indicateurs sectoriels (Suite 5)</t>
  </si>
  <si>
    <t>- Association Professionnelle des Cimentiers du Maroc</t>
  </si>
  <si>
    <t>- Conseil  Oliécole International</t>
  </si>
  <si>
    <t>- Office National Interprofessionnel des Céréales et des Légumineuses</t>
  </si>
  <si>
    <t>- Ministère de l’Industrie, du Commerce, de l’Économie verte et numérique</t>
  </si>
  <si>
    <t>Valeur prévue (En millions de DH)</t>
  </si>
  <si>
    <t>Surface du plancher (En milliers de m²)</t>
  </si>
  <si>
    <t>Surface bâtie (En milliers de m²)</t>
  </si>
  <si>
    <t>Autres</t>
  </si>
  <si>
    <t>Bâtiments administratifs</t>
  </si>
  <si>
    <t xml:space="preserve">Bâtiments du commerce et de l'industrie </t>
  </si>
  <si>
    <t>Habitation type marocain</t>
  </si>
  <si>
    <t xml:space="preserve">Villas </t>
  </si>
  <si>
    <t>Immeubles</t>
  </si>
  <si>
    <t>-</t>
  </si>
  <si>
    <t>Autorisations de construire (En nombre)</t>
  </si>
  <si>
    <t>Taux de variation des ventes totales de ciment (En %)</t>
  </si>
  <si>
    <t>Ventes totales de ciment (En milliers de tonnes)</t>
  </si>
  <si>
    <t xml:space="preserve">Activité des cimenteries </t>
  </si>
  <si>
    <t>5 - Bâtiment et travaux publics</t>
  </si>
  <si>
    <t>Part des voitures montées localement (En %)</t>
  </si>
  <si>
    <t>Ventes totales de véhicules sur le marché local (En nombre)</t>
  </si>
  <si>
    <t xml:space="preserve">              En % de la production totale</t>
  </si>
  <si>
    <t>Volume du lait traité (En millions de litres)</t>
  </si>
  <si>
    <t>Production du lait frais (En millions de litres)</t>
  </si>
  <si>
    <t>Activité de l'industrie laitière</t>
  </si>
  <si>
    <t>Taux d'exportation en volume (En %)</t>
  </si>
  <si>
    <t xml:space="preserve"> Exportation</t>
  </si>
  <si>
    <t xml:space="preserve"> Production </t>
  </si>
  <si>
    <t>Activité de l'industrie oléicole (En milliers de tonnes)</t>
  </si>
  <si>
    <t xml:space="preserve">       dont Blé tendre </t>
  </si>
  <si>
    <t xml:space="preserve">Ecrasement du blé </t>
  </si>
  <si>
    <t>Activité des minoteries industrielles (En milliers de qx)</t>
  </si>
  <si>
    <t>Indicateurs sectoriels (Suite 4)</t>
  </si>
  <si>
    <t>sucre en ligots et en morceaux</t>
  </si>
  <si>
    <t>Sucre en pains</t>
  </si>
  <si>
    <t>Sucre granulé</t>
  </si>
  <si>
    <t>Consommation de sucre</t>
  </si>
  <si>
    <t>Sucre en morçeaux et lingots</t>
  </si>
  <si>
    <t>Production du sucre raffiné</t>
  </si>
  <si>
    <t xml:space="preserve">      dont betteraves</t>
  </si>
  <si>
    <t xml:space="preserve">Traitement des plantes sucrières </t>
  </si>
  <si>
    <t>Activité de l'industrie sucrière (En Milliers de tonnes)</t>
  </si>
  <si>
    <t>Machines et appareils électriques</t>
  </si>
  <si>
    <t>Produits de l'industrie automobile</t>
  </si>
  <si>
    <t>Produits métalliques</t>
  </si>
  <si>
    <t>Produits  chimiques</t>
  </si>
  <si>
    <t>Produits de l'industrie textile</t>
  </si>
  <si>
    <t xml:space="preserve">Produits des industries alimentaires </t>
  </si>
  <si>
    <t>Dont :</t>
  </si>
  <si>
    <t>Variation de l'indice de la production de l'industrie manufacturière  (En %) (4)</t>
  </si>
  <si>
    <t>Produits de l'industries du textile et du cuir</t>
  </si>
  <si>
    <t>Fabrication de matériel de transport</t>
  </si>
  <si>
    <t>FBCF des industries de transformation : (En millions de dh)</t>
  </si>
  <si>
    <t>Autres industries manufacturières</t>
  </si>
  <si>
    <t xml:space="preserve">Industrie chimique </t>
  </si>
  <si>
    <t>Industries du textile et du cuir</t>
  </si>
  <si>
    <t>Industries alimentaires et tabac</t>
  </si>
  <si>
    <t>Structure selon les branches d'activité (En %) :</t>
  </si>
  <si>
    <t>Exportation des industries de transformation : (En millions de dh)</t>
  </si>
  <si>
    <t>Valeur ajoutée des industries de transformation : (En millions de dh)</t>
  </si>
  <si>
    <t>Taux de croissance (En %) :</t>
  </si>
  <si>
    <t>Production effective totale : (En millions de dh)</t>
  </si>
  <si>
    <t>4- Industries de transformation</t>
  </si>
  <si>
    <t xml:space="preserve"> Indicateurs sectoriels (Suite 3)</t>
  </si>
  <si>
    <t>Déficit énergétique = Consommation d'énergie - Production d'énergie</t>
  </si>
  <si>
    <t>(1) Taux de dépendance énergétique = Déficit énergétique / Consommation d'énergie</t>
  </si>
  <si>
    <t>- ONEE</t>
  </si>
  <si>
    <t>- Ministère de l’Energie, des Mines et de l’Environnement</t>
  </si>
  <si>
    <t>Idriss 1er</t>
  </si>
  <si>
    <t>Bine El ouidane</t>
  </si>
  <si>
    <t>Al Massira</t>
  </si>
  <si>
    <t>Al wahda</t>
  </si>
  <si>
    <t>Taux de remplissage des barrages (En %)</t>
  </si>
  <si>
    <t>Ventes aux régies distributrices (En millions de m3)</t>
  </si>
  <si>
    <t>Production de l'ONEP (En millions de m3)</t>
  </si>
  <si>
    <t>Exploitation de l'eau potable en milieu urbain</t>
  </si>
  <si>
    <t>Basse tension</t>
  </si>
  <si>
    <t>Haute et moyenne tension</t>
  </si>
  <si>
    <t>Consommation d'énergie électrique distribuée par l'ONE (En millions de kWh)</t>
  </si>
  <si>
    <t>Ventes totales aux distributeurs</t>
  </si>
  <si>
    <t>Distribué par l'ONE</t>
  </si>
  <si>
    <t>Consommation de l'électricité (En millions de KWh)</t>
  </si>
  <si>
    <t>Production concessionnelle</t>
  </si>
  <si>
    <t>Dont Thermique (En %)</t>
  </si>
  <si>
    <t>Part de l'ONE (En %)</t>
  </si>
  <si>
    <t>Production locale d'électricité (En millions de KWh)</t>
  </si>
  <si>
    <t xml:space="preserve">Taux de croissance de l'indice de la production d'électricité (%) </t>
  </si>
  <si>
    <t>Taux de dépendance énergétique (En %) (1)</t>
  </si>
  <si>
    <t>Déficit énergétique</t>
  </si>
  <si>
    <t xml:space="preserve"> Gaz naturel</t>
  </si>
  <si>
    <t xml:space="preserve"> Produits pétroliers</t>
  </si>
  <si>
    <t xml:space="preserve"> Charbon</t>
  </si>
  <si>
    <t xml:space="preserve"> Electricité</t>
  </si>
  <si>
    <t>Consommation totale</t>
  </si>
  <si>
    <t xml:space="preserve"> Pétrole brut</t>
  </si>
  <si>
    <t>Importation</t>
  </si>
  <si>
    <t xml:space="preserve"> Pétrole brut + Gaz naturel</t>
  </si>
  <si>
    <t xml:space="preserve"> Electricité solaire</t>
  </si>
  <si>
    <t xml:space="preserve"> Electricité éolienne</t>
  </si>
  <si>
    <t xml:space="preserve"> Electricité hydraulique</t>
  </si>
  <si>
    <t>Production locale</t>
  </si>
  <si>
    <t>Bilan du secteur énergétique (En milliers de TEP)</t>
  </si>
  <si>
    <t>3- Énergie et eau</t>
  </si>
  <si>
    <t>Minerais non métalliques</t>
  </si>
  <si>
    <t>Minerais métalliques</t>
  </si>
  <si>
    <t>Taux de croissance de l'indice de la production minière (%)</t>
  </si>
  <si>
    <t>Indicateurs sectoriels (Suite 2)</t>
  </si>
  <si>
    <t>(1) Rapport de l'exportation à la production marchande.</t>
  </si>
  <si>
    <t>-OC</t>
  </si>
  <si>
    <t>- OCP</t>
  </si>
  <si>
    <t>- Office National des Pêches</t>
  </si>
  <si>
    <t>- Haut commissariat au Plan</t>
  </si>
  <si>
    <t>- Ministère de l’Agriculture, de la pêche maritime, du développement rural et des eaux et forêts</t>
  </si>
  <si>
    <r>
      <t>Source</t>
    </r>
    <r>
      <rPr>
        <sz val="16"/>
        <rFont val="Times New Roman"/>
        <family val="1"/>
      </rPr>
      <t xml:space="preserve"> :  Calcul de la DEPF sur la base des données de : </t>
    </r>
  </si>
  <si>
    <t>Part des produits dérivés des phosphates (En %)</t>
  </si>
  <si>
    <t>Chiffre d'affaires à l'exportation du groupe OCP 
(En millions de dh)</t>
  </si>
  <si>
    <t>Taux d'exportation des phosphates (1)</t>
  </si>
  <si>
    <t>Prix moyens à l'exportation (En dh/tonne)</t>
  </si>
  <si>
    <t>Exportation (En millions de dh)</t>
  </si>
  <si>
    <t>Exportation (En milliers de tonnes)</t>
  </si>
  <si>
    <t>Production (En milliers de tonnes)</t>
  </si>
  <si>
    <t>Production et exportation de l'acide phosphorique</t>
  </si>
  <si>
    <t>Exportation</t>
  </si>
  <si>
    <t>Production marchande</t>
  </si>
  <si>
    <t>Production et utilisation des phosphates (En milliers de tonnes)</t>
  </si>
  <si>
    <t xml:space="preserve">2- Mines </t>
  </si>
  <si>
    <t xml:space="preserve">       Pêche hauturière</t>
  </si>
  <si>
    <t xml:space="preserve">       Pêche côtière</t>
  </si>
  <si>
    <t>Prix moyen à la tonne (dh/Kg)</t>
  </si>
  <si>
    <t>Part de la pêche hauturière (En %)</t>
  </si>
  <si>
    <t>Valeur  (En millions dh)</t>
  </si>
  <si>
    <t>Part de la pêche côtière (En %)</t>
  </si>
  <si>
    <t>Quantité (En milliers de tonnes)</t>
  </si>
  <si>
    <t xml:space="preserve">Production halieutique nationale </t>
  </si>
  <si>
    <t xml:space="preserve">    dont Pêche côtière (En %)</t>
  </si>
  <si>
    <t>Tonnage (mille tonnes de jauge brute)</t>
  </si>
  <si>
    <t>Nombre de bateaux (En nombre)</t>
  </si>
  <si>
    <t xml:space="preserve">Etat de la flotte de la pêche nationale </t>
  </si>
  <si>
    <t>Pêche maritime</t>
  </si>
  <si>
    <t xml:space="preserve">Caprins </t>
  </si>
  <si>
    <t xml:space="preserve">Ovins </t>
  </si>
  <si>
    <t xml:space="preserve">Bovins </t>
  </si>
  <si>
    <r>
      <t xml:space="preserve">Poids de la viande des abattages contrôlés </t>
    </r>
    <r>
      <rPr>
        <b/>
        <sz val="18"/>
        <rFont val="Times New Roman"/>
        <family val="1"/>
      </rPr>
      <t>(En milliers de tonnes)</t>
    </r>
  </si>
  <si>
    <t>Effectif du cheptel (passage mars-avril) (En milliers de têtes)</t>
  </si>
  <si>
    <t>Elevage</t>
  </si>
  <si>
    <t>Indicateurs sectoriels (Suite 1)</t>
  </si>
  <si>
    <t>Pomme de terre</t>
  </si>
  <si>
    <t>Tomates</t>
  </si>
  <si>
    <t>dont (En %) :</t>
  </si>
  <si>
    <t>Production des cultures maraîchères 
(En milliers de tonnes)</t>
  </si>
  <si>
    <t>Canne à sucre</t>
  </si>
  <si>
    <t>Betterave</t>
  </si>
  <si>
    <t>Cultures sucrières</t>
  </si>
  <si>
    <t>Arachides</t>
  </si>
  <si>
    <t xml:space="preserve">Tournesol </t>
  </si>
  <si>
    <t xml:space="preserve">Oléagineuses </t>
  </si>
  <si>
    <t>Légumineuses</t>
  </si>
  <si>
    <t xml:space="preserve">Maïs </t>
  </si>
  <si>
    <t>Orge</t>
  </si>
  <si>
    <t>Blé tendre</t>
  </si>
  <si>
    <t xml:space="preserve">Blé dur </t>
  </si>
  <si>
    <t xml:space="preserve">Céréales </t>
  </si>
  <si>
    <t>Rendement des principales cultures (En qx/ha)</t>
  </si>
  <si>
    <t>Production des principales cultures (En milliers de qx)</t>
  </si>
  <si>
    <t>Superficie Cultivée / Cultivable</t>
  </si>
  <si>
    <t>Superficie Cultivable</t>
  </si>
  <si>
    <t>Superficie Cultivée totale</t>
  </si>
  <si>
    <t>Superficie cultivée selon les principales cultures agricoles (En milliers ha)</t>
  </si>
  <si>
    <t>Moyenne des précipitations nationales (En mm)</t>
  </si>
  <si>
    <t>Agriculture</t>
  </si>
  <si>
    <t>1 - Agriculture et pêche</t>
  </si>
  <si>
    <t>2021/22</t>
  </si>
  <si>
    <t>2020/21</t>
  </si>
  <si>
    <t>2019/20</t>
  </si>
  <si>
    <t>2018/19</t>
  </si>
  <si>
    <t>2017/18</t>
  </si>
  <si>
    <t>Indicateurs sectoriels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</si>
</sst>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C]d\-mmm\-yy;@"/>
    <numFmt numFmtId="165" formatCode="#,##0.0"/>
    <numFmt numFmtId="166" formatCode="0.0"/>
    <numFmt numFmtId="167" formatCode="General_)"/>
    <numFmt numFmtId="168" formatCode="0.000"/>
    <numFmt numFmtId="169" formatCode="0.0%"/>
  </numFmts>
  <fonts count="28" x14ac:knownFonts="1"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2"/>
      <name val="Times New Roman"/>
      <family val="1"/>
    </font>
    <font>
      <sz val="2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b/>
      <u/>
      <sz val="16"/>
      <name val="Times New Roman"/>
      <family val="1"/>
    </font>
    <font>
      <b/>
      <sz val="16"/>
      <name val="Times New Roman"/>
      <family val="1"/>
    </font>
    <font>
      <b/>
      <sz val="20"/>
      <name val="Times New Roman"/>
      <family val="1"/>
    </font>
    <font>
      <b/>
      <sz val="20"/>
      <color indexed="18"/>
      <name val="Times New Roman"/>
      <family val="1"/>
    </font>
    <font>
      <b/>
      <i/>
      <sz val="16"/>
      <name val="Times New Roman"/>
      <family val="1"/>
    </font>
    <font>
      <i/>
      <sz val="12"/>
      <color indexed="18"/>
      <name val="Times New Roman"/>
      <family val="1"/>
    </font>
    <font>
      <i/>
      <sz val="10"/>
      <color indexed="18"/>
      <name val="Times New Roman"/>
      <family val="1"/>
    </font>
    <font>
      <i/>
      <sz val="20"/>
      <color indexed="18"/>
      <name val="Times New Roman"/>
      <family val="1"/>
    </font>
    <font>
      <b/>
      <i/>
      <sz val="12"/>
      <color indexed="18"/>
      <name val="Times New Roman"/>
      <family val="1"/>
    </font>
    <font>
      <b/>
      <i/>
      <sz val="24"/>
      <color indexed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20"/>
      <color rgb="FFFF0000"/>
      <name val="Times New Roman"/>
      <family val="1"/>
    </font>
    <font>
      <b/>
      <sz val="20"/>
      <color rgb="FFFF0000"/>
      <name val="Times New Roman"/>
      <family val="1"/>
    </font>
    <font>
      <sz val="20"/>
      <color indexed="10"/>
      <name val="Times New Roman"/>
      <family val="1"/>
    </font>
    <font>
      <b/>
      <sz val="20"/>
      <color indexed="10"/>
      <name val="Times New Roman"/>
      <family val="1"/>
    </font>
    <font>
      <sz val="17"/>
      <name val="Times New Roman"/>
      <family val="1"/>
    </font>
    <font>
      <b/>
      <sz val="19"/>
      <name val="Times New Roman"/>
      <family val="1"/>
    </font>
    <font>
      <b/>
      <sz val="13"/>
      <name val="Times New Roman"/>
      <family val="1"/>
    </font>
    <font>
      <b/>
      <sz val="1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18"/>
      </top>
      <bottom/>
      <diagonal/>
    </border>
  </borders>
  <cellStyleXfs count="3">
    <xf numFmtId="0" fontId="0" fillId="0" borderId="0"/>
    <xf numFmtId="164" fontId="1" fillId="0" borderId="0" applyNumberFormat="0" applyFill="0" applyBorder="0" applyAlignment="0" applyProtection="0"/>
    <xf numFmtId="164" fontId="1" fillId="0" borderId="0" applyNumberFormat="0" applyFill="0" applyBorder="0" applyAlignment="0" applyProtection="0"/>
  </cellStyleXfs>
  <cellXfs count="152">
    <xf numFmtId="0" fontId="0" fillId="0" borderId="0" xfId="0"/>
    <xf numFmtId="164" fontId="2" fillId="0" borderId="0" xfId="1" applyFont="1" applyFill="1"/>
    <xf numFmtId="165" fontId="3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/>
    <xf numFmtId="164" fontId="4" fillId="0" borderId="0" xfId="1" applyNumberFormat="1" applyFont="1" applyFill="1"/>
    <xf numFmtId="164" fontId="5" fillId="0" borderId="0" xfId="1" applyNumberFormat="1" applyFont="1" applyFill="1" applyBorder="1" applyAlignment="1"/>
    <xf numFmtId="166" fontId="6" fillId="0" borderId="0" xfId="1" applyNumberFormat="1" applyFont="1" applyFill="1" applyAlignment="1">
      <alignment horizontal="center"/>
    </xf>
    <xf numFmtId="164" fontId="7" fillId="0" borderId="0" xfId="1" applyNumberFormat="1" applyFont="1" applyFill="1" applyAlignment="1">
      <alignment horizontal="left" indent="7"/>
    </xf>
    <xf numFmtId="164" fontId="6" fillId="0" borderId="0" xfId="1" applyNumberFormat="1" applyFont="1" applyFill="1" applyBorder="1" applyAlignment="1">
      <alignment horizontal="left" indent="1"/>
    </xf>
    <xf numFmtId="1" fontId="6" fillId="0" borderId="0" xfId="1" applyNumberFormat="1" applyFont="1" applyFill="1" applyAlignment="1">
      <alignment horizontal="center"/>
    </xf>
    <xf numFmtId="167" fontId="6" fillId="0" borderId="0" xfId="1" quotePrefix="1" applyNumberFormat="1" applyFont="1" applyFill="1" applyBorder="1" applyAlignment="1" applyProtection="1">
      <alignment horizontal="left" indent="1"/>
    </xf>
    <xf numFmtId="164" fontId="6" fillId="0" borderId="0" xfId="1" quotePrefix="1" applyNumberFormat="1" applyFont="1" applyFill="1" applyAlignment="1">
      <alignment horizontal="left" indent="7"/>
    </xf>
    <xf numFmtId="164" fontId="2" fillId="0" borderId="0" xfId="1" applyNumberFormat="1" applyFont="1" applyFill="1" applyBorder="1" applyAlignment="1"/>
    <xf numFmtId="164" fontId="6" fillId="0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Alignment="1">
      <alignment horizontal="left" indent="6"/>
    </xf>
    <xf numFmtId="164" fontId="8" fillId="0" borderId="0" xfId="1" quotePrefix="1" applyNumberFormat="1" applyFont="1" applyFill="1" applyAlignment="1">
      <alignment horizontal="left"/>
    </xf>
    <xf numFmtId="164" fontId="6" fillId="0" borderId="1" xfId="1" applyNumberFormat="1" applyFont="1" applyFill="1" applyBorder="1"/>
    <xf numFmtId="164" fontId="3" fillId="0" borderId="0" xfId="1" applyFont="1" applyFill="1"/>
    <xf numFmtId="164" fontId="3" fillId="0" borderId="0" xfId="1" applyNumberFormat="1" applyFont="1" applyFill="1"/>
    <xf numFmtId="166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left" indent="7"/>
    </xf>
    <xf numFmtId="164" fontId="3" fillId="0" borderId="0" xfId="1" applyNumberFormat="1" applyFont="1" applyFill="1" applyAlignment="1">
      <alignment horizontal="left" indent="15"/>
    </xf>
    <xf numFmtId="1" fontId="9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left" indent="13"/>
    </xf>
    <xf numFmtId="164" fontId="3" fillId="0" borderId="0" xfId="1" applyNumberFormat="1" applyFont="1" applyFill="1" applyAlignment="1">
      <alignment horizontal="left" indent="11"/>
    </xf>
    <xf numFmtId="1" fontId="10" fillId="0" borderId="0" xfId="1" applyNumberFormat="1" applyFont="1" applyFill="1" applyAlignment="1">
      <alignment horizontal="center"/>
    </xf>
    <xf numFmtId="164" fontId="10" fillId="0" borderId="0" xfId="1" applyNumberFormat="1" applyFont="1" applyFill="1" applyAlignment="1">
      <alignment horizontal="left" indent="3"/>
    </xf>
    <xf numFmtId="1" fontId="10" fillId="0" borderId="0" xfId="1" applyNumberFormat="1" applyFont="1" applyFill="1" applyBorder="1" applyAlignment="1"/>
    <xf numFmtId="164" fontId="10" fillId="0" borderId="0" xfId="1" applyNumberFormat="1" applyFont="1" applyFill="1" applyAlignment="1">
      <alignment horizontal="left"/>
    </xf>
    <xf numFmtId="164" fontId="10" fillId="0" borderId="0" xfId="1" quotePrefix="1" applyNumberFormat="1" applyFont="1" applyFill="1" applyAlignment="1">
      <alignment horizontal="left" indent="3"/>
    </xf>
    <xf numFmtId="164" fontId="10" fillId="0" borderId="0" xfId="1" applyNumberFormat="1" applyFont="1" applyFill="1" applyAlignment="1">
      <alignment horizontal="left" indent="5"/>
    </xf>
    <xf numFmtId="164" fontId="3" fillId="0" borderId="0" xfId="1" applyNumberFormat="1" applyFont="1" applyFill="1" applyAlignment="1">
      <alignment horizontal="left" indent="6"/>
    </xf>
    <xf numFmtId="166" fontId="10" fillId="0" borderId="0" xfId="1" applyNumberFormat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1" fontId="11" fillId="2" borderId="2" xfId="1" applyNumberFormat="1" applyFont="1" applyFill="1" applyBorder="1" applyAlignment="1">
      <alignment horizontal="center"/>
    </xf>
    <xf numFmtId="164" fontId="11" fillId="2" borderId="2" xfId="1" applyNumberFormat="1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horizontal="center"/>
    </xf>
    <xf numFmtId="164" fontId="12" fillId="2" borderId="2" xfId="1" applyNumberFormat="1" applyFont="1" applyFill="1" applyBorder="1" applyAlignment="1">
      <alignment horizontal="left"/>
    </xf>
    <xf numFmtId="164" fontId="13" fillId="0" borderId="0" xfId="1" applyFont="1" applyFill="1"/>
    <xf numFmtId="164" fontId="14" fillId="2" borderId="0" xfId="1" applyNumberFormat="1" applyFont="1" applyFill="1"/>
    <xf numFmtId="164" fontId="15" fillId="2" borderId="2" xfId="1" applyNumberFormat="1" applyFont="1" applyFill="1" applyBorder="1" applyAlignment="1">
      <alignment horizontal="center" vertical="center"/>
    </xf>
    <xf numFmtId="164" fontId="16" fillId="2" borderId="0" xfId="1" applyNumberFormat="1" applyFont="1" applyFill="1" applyBorder="1" applyAlignment="1">
      <alignment horizontal="center"/>
    </xf>
    <xf numFmtId="164" fontId="2" fillId="0" borderId="2" xfId="1" applyNumberFormat="1" applyFont="1" applyFill="1" applyBorder="1"/>
    <xf numFmtId="165" fontId="3" fillId="0" borderId="2" xfId="1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/>
    <xf numFmtId="164" fontId="5" fillId="0" borderId="2" xfId="1" applyNumberFormat="1" applyFont="1" applyFill="1" applyBorder="1" applyAlignment="1">
      <alignment horizontal="center"/>
    </xf>
    <xf numFmtId="164" fontId="17" fillId="0" borderId="2" xfId="1" applyNumberFormat="1" applyFont="1" applyFill="1" applyBorder="1" applyAlignment="1">
      <alignment horizontal="left"/>
    </xf>
    <xf numFmtId="164" fontId="2" fillId="0" borderId="0" xfId="1" applyNumberFormat="1" applyFont="1" applyFill="1" applyBorder="1"/>
    <xf numFmtId="164" fontId="2" fillId="0" borderId="0" xfId="1" quotePrefix="1" applyNumberFormat="1" applyFont="1" applyFill="1" applyAlignment="1">
      <alignment horizontal="left" indent="7"/>
    </xf>
    <xf numFmtId="168" fontId="6" fillId="0" borderId="0" xfId="1" applyNumberFormat="1" applyFont="1" applyFill="1" applyAlignment="1">
      <alignment horizontal="center"/>
    </xf>
    <xf numFmtId="164" fontId="8" fillId="0" borderId="3" xfId="1" quotePrefix="1" applyNumberFormat="1" applyFont="1" applyFill="1" applyBorder="1" applyAlignment="1">
      <alignment horizontal="left"/>
    </xf>
    <xf numFmtId="164" fontId="10" fillId="0" borderId="0" xfId="1" applyNumberFormat="1" applyFont="1" applyFill="1" applyAlignment="1">
      <alignment horizontal="left" indent="1"/>
    </xf>
    <xf numFmtId="164" fontId="3" fillId="0" borderId="0" xfId="1" applyNumberFormat="1" applyFont="1" applyFill="1" applyAlignment="1">
      <alignment horizontal="left" indent="8"/>
    </xf>
    <xf numFmtId="164" fontId="3" fillId="0" borderId="0" xfId="1" applyNumberFormat="1" applyFont="1" applyFill="1" applyAlignment="1">
      <alignment horizontal="left" indent="9"/>
    </xf>
    <xf numFmtId="1" fontId="3" fillId="0" borderId="0" xfId="1" applyNumberFormat="1" applyFont="1" applyFill="1"/>
    <xf numFmtId="166" fontId="18" fillId="0" borderId="0" xfId="1" applyNumberFormat="1" applyFont="1" applyFill="1" applyAlignment="1">
      <alignment horizontal="center"/>
    </xf>
    <xf numFmtId="166" fontId="6" fillId="0" borderId="0" xfId="1" quotePrefix="1" applyNumberFormat="1" applyFont="1" applyFill="1" applyAlignment="1">
      <alignment horizontal="center"/>
    </xf>
    <xf numFmtId="164" fontId="7" fillId="0" borderId="0" xfId="1" applyNumberFormat="1" applyFont="1" applyFill="1" applyAlignment="1">
      <alignment horizontal="left" indent="8"/>
    </xf>
    <xf numFmtId="166" fontId="18" fillId="0" borderId="0" xfId="1" applyNumberFormat="1" applyFont="1" applyFill="1" applyAlignment="1">
      <alignment horizontal="center" vertical="center"/>
    </xf>
    <xf numFmtId="1" fontId="18" fillId="0" borderId="0" xfId="1" applyNumberFormat="1" applyFont="1" applyFill="1" applyAlignment="1">
      <alignment horizontal="center" vertical="center"/>
    </xf>
    <xf numFmtId="1" fontId="19" fillId="0" borderId="0" xfId="1" applyNumberFormat="1" applyFont="1" applyFill="1" applyAlignment="1">
      <alignment horizontal="center" vertical="center"/>
    </xf>
    <xf numFmtId="164" fontId="10" fillId="0" borderId="0" xfId="1" applyNumberFormat="1" applyFont="1" applyFill="1" applyBorder="1" applyAlignment="1">
      <alignment horizontal="center"/>
    </xf>
    <xf numFmtId="164" fontId="3" fillId="0" borderId="0" xfId="1" quotePrefix="1" applyNumberFormat="1" applyFont="1" applyFill="1" applyAlignment="1">
      <alignment horizontal="left" indent="7"/>
    </xf>
    <xf numFmtId="164" fontId="20" fillId="0" borderId="0" xfId="1" applyFont="1" applyFill="1"/>
    <xf numFmtId="164" fontId="21" fillId="0" borderId="0" xfId="1" applyNumberFormat="1" applyFont="1" applyFill="1" applyAlignment="1">
      <alignment horizontal="left" indent="3"/>
    </xf>
    <xf numFmtId="166" fontId="20" fillId="0" borderId="0" xfId="1" applyNumberFormat="1" applyFont="1" applyFill="1" applyAlignment="1">
      <alignment horizontal="center"/>
    </xf>
    <xf numFmtId="166" fontId="21" fillId="0" borderId="0" xfId="1" applyNumberFormat="1" applyFont="1" applyFill="1" applyAlignment="1">
      <alignment horizontal="center"/>
    </xf>
    <xf numFmtId="165" fontId="15" fillId="2" borderId="4" xfId="1" applyNumberFormat="1" applyFont="1" applyFill="1" applyBorder="1" applyAlignment="1">
      <alignment horizontal="center" vertical="center"/>
    </xf>
    <xf numFmtId="164" fontId="6" fillId="0" borderId="0" xfId="1" applyFont="1" applyFill="1"/>
    <xf numFmtId="164" fontId="6" fillId="0" borderId="0" xfId="1" applyNumberFormat="1" applyFont="1" applyFill="1" applyBorder="1"/>
    <xf numFmtId="164" fontId="6" fillId="0" borderId="0" xfId="1" applyNumberFormat="1" applyFont="1" applyFill="1"/>
    <xf numFmtId="164" fontId="9" fillId="0" borderId="0" xfId="1" applyNumberFormat="1" applyFont="1" applyFill="1" applyBorder="1" applyAlignment="1"/>
    <xf numFmtId="164" fontId="6" fillId="0" borderId="0" xfId="1" applyNumberFormat="1" applyFont="1" applyFill="1" applyAlignment="1">
      <alignment horizontal="left" indent="7"/>
    </xf>
    <xf numFmtId="164" fontId="6" fillId="0" borderId="1" xfId="1" applyNumberFormat="1" applyFont="1" applyFill="1" applyBorder="1" applyAlignment="1">
      <alignment horizontal="left" indent="7"/>
    </xf>
    <xf numFmtId="164" fontId="3" fillId="0" borderId="0" xfId="1" applyNumberFormat="1" applyFont="1" applyFill="1" applyBorder="1"/>
    <xf numFmtId="164" fontId="3" fillId="0" borderId="0" xfId="1" applyNumberFormat="1" applyFont="1" applyFill="1" applyAlignment="1">
      <alignment horizontal="left" indent="5"/>
    </xf>
    <xf numFmtId="164" fontId="22" fillId="0" borderId="0" xfId="1" applyFont="1" applyFill="1"/>
    <xf numFmtId="164" fontId="23" fillId="0" borderId="0" xfId="1" applyNumberFormat="1" applyFont="1" applyFill="1" applyBorder="1" applyAlignment="1">
      <alignment horizontal="center"/>
    </xf>
    <xf numFmtId="164" fontId="22" fillId="0" borderId="0" xfId="1" applyNumberFormat="1" applyFont="1" applyFill="1"/>
    <xf numFmtId="164" fontId="23" fillId="0" borderId="0" xfId="1" applyNumberFormat="1" applyFont="1" applyFill="1" applyBorder="1" applyAlignment="1">
      <alignment horizontal="left" indent="3"/>
    </xf>
    <xf numFmtId="164" fontId="10" fillId="0" borderId="0" xfId="1" applyNumberFormat="1" applyFont="1" applyFill="1" applyBorder="1" applyAlignment="1">
      <alignment horizontal="left" indent="2"/>
    </xf>
    <xf numFmtId="164" fontId="3" fillId="3" borderId="0" xfId="1" applyFont="1" applyFill="1"/>
    <xf numFmtId="164" fontId="3" fillId="0" borderId="0" xfId="1" applyNumberFormat="1" applyFont="1" applyFill="1" applyBorder="1" applyAlignment="1">
      <alignment horizontal="left" indent="6"/>
    </xf>
    <xf numFmtId="164" fontId="10" fillId="0" borderId="0" xfId="1" applyNumberFormat="1" applyFont="1" applyFill="1" applyBorder="1" applyAlignment="1">
      <alignment horizontal="left" indent="3"/>
    </xf>
    <xf numFmtId="164" fontId="24" fillId="0" borderId="0" xfId="1" applyNumberFormat="1" applyFont="1" applyFill="1" applyAlignment="1">
      <alignment horizontal="left" indent="6"/>
    </xf>
    <xf numFmtId="164" fontId="10" fillId="0" borderId="0" xfId="1" applyNumberFormat="1" applyFont="1" applyFill="1" applyBorder="1" applyAlignment="1">
      <alignment horizontal="left" indent="5"/>
    </xf>
    <xf numFmtId="164" fontId="3" fillId="0" borderId="0" xfId="1" applyNumberFormat="1" applyFont="1" applyFill="1" applyBorder="1" applyAlignment="1">
      <alignment horizontal="left" indent="5"/>
    </xf>
    <xf numFmtId="164" fontId="6" fillId="0" borderId="0" xfId="1" applyNumberFormat="1" applyFont="1" applyFill="1" applyAlignment="1">
      <alignment horizontal="left" indent="6"/>
    </xf>
    <xf numFmtId="164" fontId="10" fillId="0" borderId="0" xfId="1" applyFont="1" applyFill="1"/>
    <xf numFmtId="164" fontId="10" fillId="0" borderId="0" xfId="1" applyNumberFormat="1" applyFont="1" applyFill="1" applyAlignment="1">
      <alignment horizontal="left" indent="7"/>
    </xf>
    <xf numFmtId="164" fontId="10" fillId="0" borderId="0" xfId="1" applyNumberFormat="1" applyFont="1" applyFill="1" applyBorder="1" applyAlignment="1">
      <alignment horizontal="left" vertical="center" wrapText="1" indent="5"/>
    </xf>
    <xf numFmtId="164" fontId="3" fillId="0" borderId="0" xfId="1" applyNumberFormat="1" applyFont="1" applyFill="1" applyBorder="1" applyAlignment="1">
      <alignment horizontal="left" wrapText="1" indent="5"/>
    </xf>
    <xf numFmtId="164" fontId="10" fillId="0" borderId="0" xfId="1" applyNumberFormat="1" applyFont="1" applyFill="1" applyBorder="1" applyAlignment="1">
      <alignment horizontal="left" wrapText="1" indent="2"/>
    </xf>
    <xf numFmtId="164" fontId="3" fillId="0" borderId="0" xfId="1" applyFont="1" applyFill="1" applyBorder="1"/>
    <xf numFmtId="164" fontId="3" fillId="4" borderId="0" xfId="1" applyFont="1" applyFill="1"/>
    <xf numFmtId="164" fontId="3" fillId="4" borderId="0" xfId="1" applyNumberFormat="1" applyFont="1" applyFill="1" applyAlignment="1">
      <alignment horizontal="left" indent="7"/>
    </xf>
    <xf numFmtId="164" fontId="25" fillId="0" borderId="0" xfId="1" quotePrefix="1" applyNumberFormat="1" applyFont="1" applyFill="1" applyAlignment="1">
      <alignment horizontal="left" vertical="center" wrapText="1" indent="2"/>
    </xf>
    <xf numFmtId="164" fontId="15" fillId="2" borderId="2" xfId="1" applyNumberFormat="1" applyFont="1" applyFill="1" applyBorder="1" applyAlignment="1">
      <alignment horizontal="center"/>
    </xf>
    <xf numFmtId="164" fontId="7" fillId="0" borderId="0" xfId="1" quotePrefix="1" applyNumberFormat="1" applyFont="1" applyFill="1" applyAlignment="1">
      <alignment horizontal="left"/>
    </xf>
    <xf numFmtId="167" fontId="6" fillId="0" borderId="0" xfId="1" applyNumberFormat="1" applyFont="1" applyFill="1" applyBorder="1" applyAlignment="1" applyProtection="1">
      <alignment horizontal="left" indent="2"/>
    </xf>
    <xf numFmtId="164" fontId="6" fillId="0" borderId="0" xfId="1" quotePrefix="1" applyNumberFormat="1" applyFont="1" applyFill="1"/>
    <xf numFmtId="166" fontId="6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/>
    <xf numFmtId="164" fontId="24" fillId="0" borderId="1" xfId="1" applyNumberFormat="1" applyFont="1" applyFill="1" applyBorder="1" applyAlignment="1">
      <alignment horizontal="left" indent="7"/>
    </xf>
    <xf numFmtId="164" fontId="10" fillId="0" borderId="0" xfId="1" applyNumberFormat="1" applyFont="1" applyFill="1" applyAlignment="1">
      <alignment horizontal="left" wrapText="1" indent="3"/>
    </xf>
    <xf numFmtId="164" fontId="10" fillId="0" borderId="0" xfId="1" applyNumberFormat="1" applyFont="1" applyFill="1" applyAlignment="1">
      <alignment horizontal="left" wrapText="1" indent="1"/>
    </xf>
    <xf numFmtId="1" fontId="3" fillId="0" borderId="0" xfId="1" applyNumberFormat="1" applyFont="1" applyFill="1" applyAlignment="1">
      <alignment horizontal="center" vertical="center"/>
    </xf>
    <xf numFmtId="1" fontId="10" fillId="0" borderId="0" xfId="1" applyNumberFormat="1" applyFont="1" applyFill="1" applyAlignment="1">
      <alignment horizontal="center" vertical="center"/>
    </xf>
    <xf numFmtId="164" fontId="3" fillId="0" borderId="0" xfId="2" applyNumberFormat="1" applyFont="1" applyFill="1" applyAlignment="1">
      <alignment horizontal="left" indent="6"/>
    </xf>
    <xf numFmtId="164" fontId="10" fillId="0" borderId="0" xfId="1" applyNumberFormat="1" applyFont="1" applyFill="1" applyAlignment="1">
      <alignment horizontal="left" indent="4"/>
    </xf>
    <xf numFmtId="1" fontId="11" fillId="2" borderId="2" xfId="1" applyNumberFormat="1" applyFont="1" applyFill="1" applyBorder="1" applyAlignment="1">
      <alignment horizontal="center" vertical="center"/>
    </xf>
    <xf numFmtId="164" fontId="6" fillId="0" borderId="0" xfId="1" quotePrefix="1" applyNumberFormat="1" applyFont="1" applyFill="1" applyAlignment="1">
      <alignment horizontal="left"/>
    </xf>
    <xf numFmtId="164" fontId="2" fillId="0" borderId="0" xfId="1" applyFont="1" applyFill="1" applyAlignment="1">
      <alignment horizontal="left" indent="1"/>
    </xf>
    <xf numFmtId="164" fontId="2" fillId="0" borderId="0" xfId="1" applyNumberFormat="1" applyFont="1" applyFill="1" applyBorder="1" applyAlignment="1">
      <alignment horizontal="left" indent="1"/>
    </xf>
    <xf numFmtId="164" fontId="2" fillId="0" borderId="0" xfId="1" applyNumberFormat="1" applyFont="1" applyFill="1" applyAlignment="1">
      <alignment horizontal="left" indent="1"/>
    </xf>
    <xf numFmtId="164" fontId="4" fillId="0" borderId="0" xfId="1" applyNumberFormat="1" applyFont="1" applyFill="1" applyAlignment="1">
      <alignment horizontal="left" indent="1"/>
    </xf>
    <xf numFmtId="164" fontId="6" fillId="0" borderId="0" xfId="1" quotePrefix="1" applyNumberFormat="1" applyFont="1" applyFill="1" applyAlignment="1">
      <alignment horizontal="left" indent="8"/>
    </xf>
    <xf numFmtId="164" fontId="6" fillId="0" borderId="0" xfId="1" applyNumberFormat="1" applyFont="1" applyFill="1" applyAlignment="1">
      <alignment horizontal="left" indent="9"/>
    </xf>
    <xf numFmtId="164" fontId="6" fillId="0" borderId="0" xfId="1" applyNumberFormat="1" applyFont="1" applyFill="1" applyAlignment="1">
      <alignment horizontal="left" indent="8"/>
    </xf>
    <xf numFmtId="164" fontId="8" fillId="0" borderId="0" xfId="1" applyNumberFormat="1" applyFont="1" applyFill="1" applyBorder="1" applyAlignment="1">
      <alignment horizontal="left" indent="2"/>
    </xf>
    <xf numFmtId="164" fontId="2" fillId="0" borderId="1" xfId="1" applyNumberFormat="1" applyFont="1" applyFill="1" applyBorder="1"/>
    <xf numFmtId="1" fontId="10" fillId="3" borderId="0" xfId="1" applyNumberFormat="1" applyFont="1" applyFill="1" applyAlignment="1">
      <alignment horizontal="center"/>
    </xf>
    <xf numFmtId="169" fontId="3" fillId="0" borderId="0" xfId="1" applyNumberFormat="1" applyFont="1" applyFill="1" applyAlignment="1">
      <alignment horizontal="center"/>
    </xf>
    <xf numFmtId="164" fontId="26" fillId="0" borderId="0" xfId="1" applyNumberFormat="1" applyFont="1" applyFill="1" applyAlignment="1">
      <alignment horizontal="left" indent="1"/>
    </xf>
    <xf numFmtId="164" fontId="10" fillId="0" borderId="0" xfId="1" applyNumberFormat="1" applyFont="1" applyFill="1" applyAlignment="1">
      <alignment horizontal="left" indent="6"/>
    </xf>
    <xf numFmtId="2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left" indent="9"/>
    </xf>
    <xf numFmtId="1" fontId="11" fillId="0" borderId="0" xfId="1" applyNumberFormat="1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vertical="center"/>
    </xf>
    <xf numFmtId="164" fontId="10" fillId="0" borderId="0" xfId="1" applyNumberFormat="1" applyFont="1" applyFill="1" applyAlignment="1">
      <alignment horizontal="left" indent="2"/>
    </xf>
    <xf numFmtId="164" fontId="10" fillId="0" borderId="0" xfId="2" applyNumberFormat="1" applyFont="1" applyFill="1" applyAlignment="1">
      <alignment horizontal="left" indent="4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Alignment="1">
      <alignment horizontal="center"/>
    </xf>
    <xf numFmtId="164" fontId="6" fillId="0" borderId="0" xfId="1" quotePrefix="1" applyNumberFormat="1" applyFont="1" applyFill="1" applyBorder="1" applyAlignment="1">
      <alignment horizontal="left" indent="2"/>
    </xf>
    <xf numFmtId="164" fontId="6" fillId="0" borderId="0" xfId="1" quotePrefix="1" applyNumberFormat="1" applyFont="1" applyFill="1" applyAlignment="1">
      <alignment horizontal="left" wrapText="1" indent="8"/>
    </xf>
    <xf numFmtId="164" fontId="3" fillId="0" borderId="1" xfId="1" applyNumberFormat="1" applyFont="1" applyFill="1" applyBorder="1" applyAlignment="1">
      <alignment horizontal="left" indent="9"/>
    </xf>
    <xf numFmtId="166" fontId="3" fillId="0" borderId="0" xfId="1" applyNumberFormat="1" applyFont="1" applyFill="1" applyAlignment="1">
      <alignment horizontal="center" vertical="center"/>
    </xf>
    <xf numFmtId="164" fontId="10" fillId="0" borderId="0" xfId="1" applyNumberFormat="1" applyFont="1" applyFill="1" applyAlignment="1">
      <alignment horizontal="left" wrapText="1" indent="4"/>
    </xf>
    <xf numFmtId="164" fontId="3" fillId="5" borderId="0" xfId="1" applyFont="1" applyFill="1"/>
    <xf numFmtId="1" fontId="3" fillId="0" borderId="0" xfId="2" applyNumberFormat="1" applyFont="1" applyFill="1" applyAlignment="1">
      <alignment horizontal="center"/>
    </xf>
    <xf numFmtId="1" fontId="10" fillId="0" borderId="0" xfId="2" applyNumberFormat="1" applyFont="1" applyFill="1" applyAlignment="1">
      <alignment horizontal="center"/>
    </xf>
    <xf numFmtId="1" fontId="3" fillId="0" borderId="0" xfId="2" applyNumberFormat="1" applyFont="1" applyFill="1"/>
    <xf numFmtId="166" fontId="10" fillId="0" borderId="0" xfId="2" applyNumberFormat="1" applyFont="1" applyFill="1" applyAlignment="1">
      <alignment horizontal="center"/>
    </xf>
    <xf numFmtId="164" fontId="10" fillId="3" borderId="0" xfId="1" applyFont="1" applyFill="1"/>
    <xf numFmtId="164" fontId="10" fillId="3" borderId="0" xfId="1" applyNumberFormat="1" applyFont="1" applyFill="1" applyAlignment="1">
      <alignment horizontal="left" indent="4"/>
    </xf>
    <xf numFmtId="164" fontId="10" fillId="3" borderId="0" xfId="1" applyNumberFormat="1" applyFont="1" applyFill="1" applyAlignment="1">
      <alignment horizontal="left" indent="5"/>
    </xf>
    <xf numFmtId="167" fontId="10" fillId="0" borderId="0" xfId="1" applyNumberFormat="1" applyFont="1" applyFill="1" applyBorder="1" applyAlignment="1" applyProtection="1">
      <alignment horizontal="left"/>
    </xf>
    <xf numFmtId="167" fontId="10" fillId="0" borderId="0" xfId="1" applyNumberFormat="1" applyFont="1" applyFill="1" applyBorder="1" applyAlignment="1" applyProtection="1">
      <alignment horizontal="left" indent="1"/>
    </xf>
    <xf numFmtId="167" fontId="3" fillId="0" borderId="0" xfId="1" applyNumberFormat="1" applyFont="1" applyFill="1" applyBorder="1" applyAlignment="1" applyProtection="1">
      <alignment horizontal="left" indent="4"/>
    </xf>
    <xf numFmtId="165" fontId="15" fillId="2" borderId="4" xfId="1" applyNumberFormat="1" applyFont="1" applyFill="1" applyBorder="1" applyAlignment="1">
      <alignment vertical="center"/>
    </xf>
    <xf numFmtId="164" fontId="2" fillId="0" borderId="0" xfId="1" applyNumberFormat="1" applyFont="1" applyFill="1" applyAlignment="1"/>
    <xf numFmtId="164" fontId="7" fillId="0" borderId="0" xfId="1" applyNumberFormat="1" applyFont="1" applyFill="1" applyAlignment="1"/>
  </cellXfs>
  <cellStyles count="3">
    <cellStyle name="?_x001d_?½_x000c_'ÿ-_x000d_ ÿU_x0001_?_x0005_ˆ_x0008__x0007__x0001__x0001_" xfId="1" xr:uid="{25A19153-4ECF-46C9-8A8B-E72D16A3B33A}"/>
    <cellStyle name="Normal" xfId="0" builtinId="0"/>
    <cellStyle name="Normal_annexe LF 2006 12_11_2005" xfId="2" xr:uid="{44A80F97-3C00-4A4D-9F8E-7B1B33DB94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finance%20et%20assurances\assuranc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transports\annuel\parc%20d'automobil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construction\annuel\autorisations%20de%20construire%20et%20valeur%20prevue%20(ann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construction\annuel\activite%20des%20cimenteri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ableaux%20de%20bord\AnnexeLF\Excel\Excel%202019\Annexe%20LF%202019-09-10-2018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industrie\activites%20industrielles\activites%20industriell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industrie\indice%20de%20la%20production%20industrielle\indice%20brut\annuel\indice%20de%20la%20production%20industrielle%20par%20sous%20branches%20(brut%20annuel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agregats%20de%20la%20nation\f.b.c.f\FBCF%20Base%20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agregats%20de%20la%20nation\Exportations\Exportations%20des%20biens%20et%20services%20base%20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agregats%20de%20la%20nation\pib-prix%20courants\annuel\Pib-prix%20courants%20Base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agregats%20de%20la%20nation\Production\Production%20par%20branches%20Base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communication\annuel\telecommunication\teleco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eau\annuel\eau%20potabl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energie\electricite\annuel\electricite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energie\indice%20de%20la%20production%20energetique\indice%20brut\annuel\indice%20de%20la%20production%20energetique%20(brut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energie\bilan%20du%20secteur%20energetique\annuel\bilan%20du%20secteur%20energetiqu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mines\indice%20de%20la%20production%20miniere\indice%20brut\annuel\indice%20de%20la%20production%20miniere%20(brut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commerce%20exterieur\exportations\annuel\Exportations%20par%20produits%20remarquables%20annuelle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mines\phosphate%20et%20derives\production%20et%20utilisation%20des%20derives%20des%20phosphat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mines\phosphate%20et%20derives\production%20et%20utilisation%20des%20phosphate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agriculture\annuel\peche\production%20halieutique%20national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agriculture\annuel\peche\etat%20de%20la%20flotte%20de%20la%20peche%20nationa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tourisme\annuel\Recettes%20touristiques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agriculture\annuel\elevage\effectif%20du%20cheptel%20et%20des%20abattages%20controles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agriculture\annuel\cultures\production%20des%20cultures%20maraichere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agriculture\annuel\cultures\rendement%20des%20principales%20culture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agriculture\annuel\cultures\production%20des%20principales%20culture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agriculture\annuel\cultures\superficie%20cultuvee%20et%20cultuvable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agriculture\annuel\cultures\precipitations.xls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laaouj\Desktop\Open%20Data\Donn&#233;es_MEF\Statistiques%20du%20site%20Internet%20ARABE%20ET%20FRANCAIS%20septembre%202023.xlsx" TargetMode="External"/><Relationship Id="rId1" Type="http://schemas.openxmlformats.org/officeDocument/2006/relationships/externalLinkPath" Target="Statistiques%20du%20site%20Internet%20ARABE%20ET%20FRANCAIS%20septembre%202023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nnexeLF\Excel\Excel%202015\Compl&#233;ment%20de%20graphiques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naanaa\sauvegarde\azeroual\ALPHA\SIMULATION%20CREDIT\Simulation.xls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laaouj\Desktop\Open%20Data\Donn&#233;es_MEF\Indicateurs%20macro-&#233;conomiques_comptes_nationnaux_MEF.xlsx" TargetMode="External"/><Relationship Id="rId1" Type="http://schemas.openxmlformats.org/officeDocument/2006/relationships/externalLinkPath" Target="Indicateurs%20macro-&#233;conomiques_comptes_nationnaux_ME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tourisme\annuel\nuitees%20touristiqu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tourisme\annuel\flux%20de%20tourist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tourisme\annuel\Taux%20d'occupa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tourisme\annuel\capacite%20hotelier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transports\annuel\accidents%20de%20circulatio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transports\annuel\trafi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mes émises"/>
      <sheetName val="Résultats financiers"/>
      <sheetName val="Transfert"/>
    </sheetNames>
    <sheetDataSet>
      <sheetData sheetId="0">
        <row r="9">
          <cell r="AL9">
            <v>8776</v>
          </cell>
          <cell r="AM9">
            <v>8598.6</v>
          </cell>
          <cell r="AN9">
            <v>9399.1</v>
          </cell>
          <cell r="AO9">
            <v>10560.8</v>
          </cell>
          <cell r="AP9">
            <v>14296</v>
          </cell>
          <cell r="AQ9">
            <v>16985.099999999999</v>
          </cell>
          <cell r="AR9">
            <v>18189.400000000001</v>
          </cell>
          <cell r="AS9">
            <v>20463.599999999999</v>
          </cell>
          <cell r="AT9">
            <v>20395.400000000001</v>
          </cell>
          <cell r="AU9">
            <v>22942.3</v>
          </cell>
          <cell r="AV9">
            <v>25394.799999999999</v>
          </cell>
        </row>
        <row r="10">
          <cell r="AL10">
            <v>17063.689999999999</v>
          </cell>
          <cell r="AM10">
            <v>18011.45</v>
          </cell>
          <cell r="AN10">
            <v>18820.990000000002</v>
          </cell>
          <cell r="AO10">
            <v>19860</v>
          </cell>
          <cell r="AP10">
            <v>20806.099999999999</v>
          </cell>
          <cell r="AQ10">
            <v>21935.200000000001</v>
          </cell>
          <cell r="AR10">
            <v>22961.599999999999</v>
          </cell>
          <cell r="AS10">
            <v>24229.599999999999</v>
          </cell>
          <cell r="AT10">
            <v>24766</v>
          </cell>
          <cell r="AU10">
            <v>26645.4</v>
          </cell>
          <cell r="AV10">
            <v>28415.200000000001</v>
          </cell>
        </row>
        <row r="11">
          <cell r="AL11">
            <v>2941</v>
          </cell>
          <cell r="AM11">
            <v>3068.8</v>
          </cell>
          <cell r="AN11">
            <v>3224</v>
          </cell>
          <cell r="AO11">
            <v>3359.46</v>
          </cell>
          <cell r="AP11">
            <v>3652.8</v>
          </cell>
          <cell r="AQ11">
            <v>3922.2</v>
          </cell>
          <cell r="AR11">
            <v>4074.3</v>
          </cell>
          <cell r="AS11">
            <v>4417.1000000000004</v>
          </cell>
          <cell r="AT11">
            <v>4417.8999999999996</v>
          </cell>
          <cell r="AU11">
            <v>4772.8</v>
          </cell>
          <cell r="AV11">
            <v>5045.8999999999996</v>
          </cell>
        </row>
        <row r="13">
          <cell r="AL13">
            <v>8020.86</v>
          </cell>
          <cell r="AM13">
            <v>8497.24</v>
          </cell>
          <cell r="AN13">
            <v>9033.65</v>
          </cell>
          <cell r="AO13">
            <v>9514.18</v>
          </cell>
          <cell r="AP13">
            <v>9953.7999999999993</v>
          </cell>
          <cell r="AQ13">
            <v>10481.700000000001</v>
          </cell>
          <cell r="AR13">
            <v>11147.2</v>
          </cell>
          <cell r="AS13">
            <v>11952.1</v>
          </cell>
          <cell r="AT13">
            <v>11964.5</v>
          </cell>
          <cell r="AU13">
            <v>12988.7</v>
          </cell>
          <cell r="AV13">
            <v>13726.7</v>
          </cell>
        </row>
        <row r="30">
          <cell r="AL30">
            <v>26024</v>
          </cell>
          <cell r="AM30">
            <v>26733.599999999999</v>
          </cell>
          <cell r="AN30">
            <v>28420.6</v>
          </cell>
          <cell r="AO30">
            <v>30421.22</v>
          </cell>
          <cell r="AP30">
            <v>35101.9</v>
          </cell>
          <cell r="AQ30">
            <v>38920.400000000001</v>
          </cell>
          <cell r="AR30">
            <v>41363.599999999999</v>
          </cell>
          <cell r="AS30">
            <v>44902.8</v>
          </cell>
          <cell r="AT30">
            <v>45721.3</v>
          </cell>
          <cell r="AU30">
            <v>50206.9</v>
          </cell>
          <cell r="AV30">
            <v>54496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c"/>
      <sheetName val="Transfert"/>
    </sheetNames>
    <sheetDataSet>
      <sheetData sheetId="0">
        <row r="8">
          <cell r="AH8">
            <v>2202.7429999999999</v>
          </cell>
          <cell r="AI8">
            <v>2314.826</v>
          </cell>
          <cell r="AJ8">
            <v>2423.6089999999999</v>
          </cell>
          <cell r="AK8">
            <v>2531.7530000000002</v>
          </cell>
          <cell r="AL8">
            <v>2670.614</v>
          </cell>
          <cell r="AM8">
            <v>2808.7820000000002</v>
          </cell>
          <cell r="AN8">
            <v>2950.056</v>
          </cell>
          <cell r="AO8">
            <v>3090.0630000000001</v>
          </cell>
          <cell r="AP8">
            <v>3194.3069999999998</v>
          </cell>
          <cell r="AQ8">
            <v>3290.75</v>
          </cell>
        </row>
        <row r="10">
          <cell r="AH10">
            <v>3124.402</v>
          </cell>
          <cell r="AI10">
            <v>3286.4209999999998</v>
          </cell>
          <cell r="AJ10">
            <v>3437.9479999999999</v>
          </cell>
          <cell r="AK10">
            <v>3590.2179999999998</v>
          </cell>
          <cell r="AL10">
            <v>3791.4690000000001</v>
          </cell>
          <cell r="AM10">
            <v>4056.598</v>
          </cell>
          <cell r="AN10">
            <v>4311.8440000000001</v>
          </cell>
          <cell r="AO10">
            <v>4552.3561250000002</v>
          </cell>
          <cell r="AP10">
            <v>4731.9930000000004</v>
          </cell>
          <cell r="AQ10">
            <v>4911.4639999999999</v>
          </cell>
        </row>
        <row r="15">
          <cell r="AH15">
            <v>42.530999999999999</v>
          </cell>
          <cell r="AI15">
            <v>42.530999999999999</v>
          </cell>
          <cell r="AJ15">
            <v>43.677999999999997</v>
          </cell>
          <cell r="AK15">
            <v>43.755000000000003</v>
          </cell>
          <cell r="AL15">
            <v>43.755000000000003</v>
          </cell>
          <cell r="AM15">
            <v>45.095999999999997</v>
          </cell>
          <cell r="AN15">
            <v>45.118000000000002</v>
          </cell>
          <cell r="AO15">
            <v>46.015000000000001</v>
          </cell>
          <cell r="AP15">
            <v>46.015000000000001</v>
          </cell>
          <cell r="AQ15">
            <v>47.154000000000003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risations"/>
      <sheetName val="Transfert"/>
    </sheetNames>
    <sheetDataSet>
      <sheetData sheetId="0">
        <row r="9">
          <cell r="AB9">
            <v>7778</v>
          </cell>
          <cell r="AC9">
            <v>6400</v>
          </cell>
          <cell r="AD9">
            <v>5780</v>
          </cell>
          <cell r="AE9">
            <v>5819</v>
          </cell>
          <cell r="AF9">
            <v>6376</v>
          </cell>
          <cell r="AG9">
            <v>6203</v>
          </cell>
          <cell r="AH9">
            <v>7153</v>
          </cell>
          <cell r="AI9">
            <v>6445</v>
          </cell>
          <cell r="AJ9">
            <v>6673</v>
          </cell>
          <cell r="AK9">
            <v>6870</v>
          </cell>
          <cell r="AL9">
            <v>5897</v>
          </cell>
          <cell r="AM9">
            <v>7009</v>
          </cell>
          <cell r="AN9">
            <v>6984</v>
          </cell>
          <cell r="AO9">
            <v>4075</v>
          </cell>
        </row>
        <row r="10">
          <cell r="AB10">
            <v>2455</v>
          </cell>
          <cell r="AC10">
            <v>2017</v>
          </cell>
          <cell r="AD10">
            <v>1893</v>
          </cell>
          <cell r="AE10">
            <v>1934</v>
          </cell>
          <cell r="AF10">
            <v>2033</v>
          </cell>
          <cell r="AG10">
            <v>2509</v>
          </cell>
          <cell r="AH10">
            <v>2372</v>
          </cell>
          <cell r="AI10">
            <v>2176</v>
          </cell>
          <cell r="AJ10">
            <v>2214</v>
          </cell>
          <cell r="AK10">
            <v>2121</v>
          </cell>
          <cell r="AL10">
            <v>2200</v>
          </cell>
          <cell r="AM10">
            <v>2245</v>
          </cell>
          <cell r="AN10">
            <v>2639</v>
          </cell>
          <cell r="AO10">
            <v>2109</v>
          </cell>
        </row>
        <row r="11">
          <cell r="AB11">
            <v>39700</v>
          </cell>
          <cell r="AC11">
            <v>39833</v>
          </cell>
          <cell r="AD11">
            <v>38655</v>
          </cell>
          <cell r="AE11">
            <v>45447</v>
          </cell>
          <cell r="AF11">
            <v>40483</v>
          </cell>
          <cell r="AG11">
            <v>41407</v>
          </cell>
          <cell r="AH11">
            <v>40575</v>
          </cell>
          <cell r="AI11">
            <v>36478</v>
          </cell>
          <cell r="AJ11">
            <v>35838</v>
          </cell>
          <cell r="AK11">
            <v>30088</v>
          </cell>
          <cell r="AL11">
            <v>33408</v>
          </cell>
          <cell r="AM11">
            <v>34368</v>
          </cell>
          <cell r="AN11">
            <v>32660</v>
          </cell>
          <cell r="AO11">
            <v>20565</v>
          </cell>
        </row>
        <row r="12">
          <cell r="AB12">
            <v>3603</v>
          </cell>
          <cell r="AC12">
            <v>3482</v>
          </cell>
          <cell r="AD12">
            <v>3244</v>
          </cell>
          <cell r="AE12">
            <v>3614</v>
          </cell>
          <cell r="AF12">
            <v>3781</v>
          </cell>
          <cell r="AG12">
            <v>4305</v>
          </cell>
          <cell r="AH12">
            <v>3960</v>
          </cell>
          <cell r="AI12">
            <v>3351</v>
          </cell>
          <cell r="AJ12">
            <v>3573</v>
          </cell>
          <cell r="AK12">
            <v>3730</v>
          </cell>
          <cell r="AL12">
            <v>3924</v>
          </cell>
          <cell r="AM12">
            <v>3931</v>
          </cell>
          <cell r="AN12">
            <v>3776</v>
          </cell>
          <cell r="AO12">
            <v>2949</v>
          </cell>
        </row>
        <row r="13">
          <cell r="AB13">
            <v>267</v>
          </cell>
          <cell r="AC13">
            <v>113</v>
          </cell>
          <cell r="AD13">
            <v>134</v>
          </cell>
          <cell r="AE13">
            <v>209</v>
          </cell>
          <cell r="AF13">
            <v>204</v>
          </cell>
          <cell r="AG13">
            <v>237</v>
          </cell>
          <cell r="AH13">
            <v>248</v>
          </cell>
          <cell r="AI13">
            <v>210</v>
          </cell>
          <cell r="AJ13">
            <v>234</v>
          </cell>
          <cell r="AK13">
            <v>274</v>
          </cell>
          <cell r="AL13">
            <v>385</v>
          </cell>
          <cell r="AM13">
            <v>363</v>
          </cell>
          <cell r="AN13">
            <v>479</v>
          </cell>
          <cell r="AO13">
            <v>347</v>
          </cell>
        </row>
        <row r="14">
          <cell r="AB14">
            <v>262</v>
          </cell>
          <cell r="AC14">
            <v>210</v>
          </cell>
          <cell r="AD14">
            <v>180</v>
          </cell>
          <cell r="AE14">
            <v>273</v>
          </cell>
          <cell r="AF14">
            <v>209</v>
          </cell>
          <cell r="AG14">
            <v>208</v>
          </cell>
          <cell r="AH14">
            <v>194</v>
          </cell>
          <cell r="AI14">
            <v>322</v>
          </cell>
          <cell r="AJ14">
            <v>471</v>
          </cell>
          <cell r="AK14">
            <v>673</v>
          </cell>
          <cell r="AL14">
            <v>322</v>
          </cell>
          <cell r="AM14">
            <v>409</v>
          </cell>
          <cell r="AN14">
            <v>457</v>
          </cell>
          <cell r="AO14">
            <v>236</v>
          </cell>
        </row>
        <row r="16">
          <cell r="AB16">
            <v>54065</v>
          </cell>
          <cell r="AC16">
            <v>52055</v>
          </cell>
          <cell r="AD16">
            <v>49886</v>
          </cell>
          <cell r="AE16">
            <v>57296</v>
          </cell>
          <cell r="AF16">
            <v>53086</v>
          </cell>
          <cell r="AG16">
            <v>54869</v>
          </cell>
          <cell r="AH16">
            <v>54502</v>
          </cell>
          <cell r="AI16">
            <v>48982</v>
          </cell>
          <cell r="AJ16">
            <v>49003</v>
          </cell>
          <cell r="AK16">
            <v>45756</v>
          </cell>
          <cell r="AL16">
            <v>46136</v>
          </cell>
          <cell r="AM16">
            <v>46935</v>
          </cell>
          <cell r="AN16">
            <v>46995</v>
          </cell>
          <cell r="AO16">
            <v>30281</v>
          </cell>
        </row>
        <row r="18">
          <cell r="AG18">
            <v>16218</v>
          </cell>
          <cell r="AH18">
            <v>17438</v>
          </cell>
          <cell r="AI18">
            <v>16846</v>
          </cell>
          <cell r="AJ18">
            <v>15257</v>
          </cell>
          <cell r="AK18">
            <v>16558</v>
          </cell>
          <cell r="AL18">
            <v>17057</v>
          </cell>
          <cell r="AM18">
            <v>17266</v>
          </cell>
          <cell r="AN18">
            <v>19959.277999999998</v>
          </cell>
          <cell r="AO18">
            <v>14882</v>
          </cell>
        </row>
        <row r="26">
          <cell r="AG26">
            <v>5976</v>
          </cell>
          <cell r="AH26">
            <v>6120</v>
          </cell>
          <cell r="AI26">
            <v>5789</v>
          </cell>
          <cell r="AJ26">
            <v>5319</v>
          </cell>
          <cell r="AK26">
            <v>5986</v>
          </cell>
          <cell r="AL26">
            <v>6149</v>
          </cell>
          <cell r="AM26">
            <v>5861</v>
          </cell>
          <cell r="AN26">
            <v>7154.6229999999996</v>
          </cell>
          <cell r="AO26">
            <v>5215</v>
          </cell>
        </row>
        <row r="34">
          <cell r="AG34">
            <v>23642</v>
          </cell>
          <cell r="AH34">
            <v>26476</v>
          </cell>
          <cell r="AI34">
            <v>28489</v>
          </cell>
          <cell r="AJ34">
            <v>24008</v>
          </cell>
          <cell r="AK34">
            <v>28493</v>
          </cell>
          <cell r="AL34">
            <v>31554</v>
          </cell>
          <cell r="AM34">
            <v>33085</v>
          </cell>
          <cell r="AN34">
            <v>39106.192627000004</v>
          </cell>
          <cell r="AO34">
            <v>33390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ment"/>
      <sheetName val="Transfert"/>
    </sheetNames>
    <sheetDataSet>
      <sheetData sheetId="0">
        <row r="7">
          <cell r="AH7">
            <v>2012</v>
          </cell>
          <cell r="AM7">
            <v>2017</v>
          </cell>
        </row>
        <row r="11">
          <cell r="AH11">
            <v>15871.055</v>
          </cell>
          <cell r="AI11">
            <v>14864.34</v>
          </cell>
          <cell r="AJ11">
            <v>14059.897000000001</v>
          </cell>
          <cell r="AK11">
            <v>14251.456</v>
          </cell>
          <cell r="AL11">
            <v>14151.095000000001</v>
          </cell>
          <cell r="AM11">
            <v>13791.222</v>
          </cell>
          <cell r="AN11">
            <v>13285.536</v>
          </cell>
          <cell r="AO11">
            <v>13627.42872</v>
          </cell>
          <cell r="AP11">
            <v>12174.471</v>
          </cell>
          <cell r="AQ11">
            <v>13974.9</v>
          </cell>
          <cell r="AR11">
            <v>12486.731</v>
          </cell>
        </row>
        <row r="15">
          <cell r="AN15">
            <v>-3.6667236594407626</v>
          </cell>
          <cell r="AO15">
            <v>2.5734205981602809</v>
          </cell>
          <cell r="AP15">
            <v>-10.662009318512144</v>
          </cell>
          <cell r="AQ15">
            <v>14.788560422871754</v>
          </cell>
          <cell r="AR15">
            <v>-10.6488704749229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BusinessQuery#"/>
      <sheetName val="Annexe_5_pgs"/>
      <sheetName val="Env_int"/>
      <sheetName val="Annexe_arab_5_pgs"/>
      <sheetName val="comptes nationaux 2007"/>
      <sheetName val="Annexe global"/>
      <sheetName val="finances publiques "/>
      <sheetName val="macro"/>
      <sheetName val="monnaie "/>
      <sheetName val="social"/>
      <sheetName val="Annexe arabe"/>
      <sheetName val="Tableau"/>
      <sheetName val="Synthèse DH"/>
      <sheetName val="graph dépliant"/>
      <sheetName val="Synthèse Directeur FR"/>
      <sheetName val="Synthèse"/>
      <sheetName val="Synthèse arabe"/>
      <sheetName val="D-Graph"/>
      <sheetName val="Graph"/>
      <sheetName val="Synthèse Directeur AR"/>
      <sheetName val="S&amp;P-EUROSTOXX"/>
      <sheetName val="CME"/>
      <sheetName val="MAJ site(International)"/>
      <sheetName val="MAJ site(Comptes nationaux)"/>
      <sheetName val="MAJ site(sectoriel)"/>
      <sheetName val="MAJ site(social)"/>
      <sheetName val="Annexe 14_pgs"/>
      <sheetName val="Feuil1"/>
      <sheetName val="Feuil2"/>
      <sheetName val="Feuil3"/>
      <sheetName val="Feuil4"/>
      <sheetName val="Feuil5"/>
      <sheetName val="Feuil6"/>
      <sheetName val="Feuil7"/>
      <sheetName val="Feuil8"/>
      <sheetName val="Feuil9"/>
      <sheetName val="Feuil10"/>
    </sheetNames>
    <sheetDataSet>
      <sheetData sheetId="0"/>
      <sheetData sheetId="1"/>
      <sheetData sheetId="2"/>
      <sheetData sheetId="3"/>
      <sheetData sheetId="4"/>
      <sheetData sheetId="5">
        <row r="657">
          <cell r="C657">
            <v>7546.9591855551835</v>
          </cell>
          <cell r="F657">
            <v>8900.4259999999995</v>
          </cell>
          <cell r="G657">
            <v>6437.880282410053</v>
          </cell>
          <cell r="H657">
            <v>8420.1659999999993</v>
          </cell>
          <cell r="I657">
            <v>7635.056592042858</v>
          </cell>
          <cell r="J657">
            <v>0</v>
          </cell>
        </row>
        <row r="658">
          <cell r="C658">
            <v>9188.3294963247081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</row>
        <row r="659">
          <cell r="C659">
            <v>81.013227895648271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</row>
        <row r="788">
          <cell r="C788">
            <v>18714.816666666669</v>
          </cell>
        </row>
        <row r="789">
          <cell r="C789"/>
        </row>
        <row r="790">
          <cell r="C790">
            <v>6.888895024063113</v>
          </cell>
        </row>
        <row r="791">
          <cell r="C791">
            <v>20.852717192972687</v>
          </cell>
        </row>
        <row r="792">
          <cell r="C792">
            <v>26.734121779515466</v>
          </cell>
        </row>
        <row r="793">
          <cell r="C793">
            <v>44.841564633005738</v>
          </cell>
        </row>
        <row r="818">
          <cell r="C818">
            <v>475.46733333333333</v>
          </cell>
        </row>
        <row r="902">
          <cell r="C902">
            <v>1580</v>
          </cell>
        </row>
        <row r="903">
          <cell r="C903">
            <v>70.5</v>
          </cell>
        </row>
      </sheetData>
      <sheetData sheetId="6"/>
      <sheetData sheetId="7">
        <row r="583">
          <cell r="C583">
            <v>2941.4260000000004</v>
          </cell>
        </row>
        <row r="584">
          <cell r="C584">
            <v>2422.2263999999996</v>
          </cell>
        </row>
      </sheetData>
      <sheetData sheetId="8"/>
      <sheetData sheetId="9">
        <row r="8">
          <cell r="F8">
            <v>28833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cre"/>
      <sheetName val="Minoterie"/>
      <sheetName val="lait"/>
      <sheetName val="Olive"/>
      <sheetName val="graines oléagineuses"/>
      <sheetName val="olive oil"/>
      <sheetName val="Montage"/>
      <sheetName val="Utilisation du blé"/>
      <sheetName val="Transfert (1)"/>
      <sheetName val="Transfert (2)"/>
    </sheetNames>
    <sheetDataSet>
      <sheetData sheetId="0">
        <row r="15">
          <cell r="AH15">
            <v>1213</v>
          </cell>
          <cell r="AI15">
            <v>1214.3499999999999</v>
          </cell>
          <cell r="AJ15">
            <v>1208.8997999999999</v>
          </cell>
          <cell r="AK15">
            <v>1225.4780000000001</v>
          </cell>
          <cell r="AL15">
            <v>1194.2370000000001</v>
          </cell>
          <cell r="AM15">
            <v>1208.6210000000001</v>
          </cell>
          <cell r="AN15">
            <v>1221.1610000000001</v>
          </cell>
          <cell r="AO15">
            <v>1199.308</v>
          </cell>
          <cell r="AP15">
            <v>1141.8409999999999</v>
          </cell>
          <cell r="AQ15">
            <v>1198.079</v>
          </cell>
        </row>
        <row r="16">
          <cell r="AH16">
            <v>657.57399999999996</v>
          </cell>
          <cell r="AI16">
            <v>653.01599999999996</v>
          </cell>
          <cell r="AJ16">
            <v>666.428</v>
          </cell>
          <cell r="AK16">
            <v>676.49300000000005</v>
          </cell>
          <cell r="AL16">
            <v>664.43200000000002</v>
          </cell>
          <cell r="AM16">
            <v>683.31700000000001</v>
          </cell>
          <cell r="AN16">
            <v>685.90200000000004</v>
          </cell>
          <cell r="AO16">
            <v>671.66300000000001</v>
          </cell>
          <cell r="AP16">
            <v>635.05499999999995</v>
          </cell>
          <cell r="AQ16">
            <v>690.46699999999998</v>
          </cell>
        </row>
        <row r="17">
          <cell r="AH17">
            <v>407.62900000000002</v>
          </cell>
          <cell r="AI17">
            <v>399.52800000000002</v>
          </cell>
          <cell r="AJ17">
            <v>383.34300000000002</v>
          </cell>
          <cell r="AK17">
            <v>386.21300000000002</v>
          </cell>
          <cell r="AL17">
            <v>363.33300000000003</v>
          </cell>
          <cell r="AM17">
            <v>360.53100000000001</v>
          </cell>
          <cell r="AN17">
            <v>358.42</v>
          </cell>
          <cell r="AO17">
            <v>349.99099999999999</v>
          </cell>
          <cell r="AP17">
            <v>332.64299999999997</v>
          </cell>
          <cell r="AQ17">
            <v>329.45</v>
          </cell>
        </row>
        <row r="18">
          <cell r="AH18">
            <v>155.828</v>
          </cell>
          <cell r="AI18">
            <v>161.80500000000001</v>
          </cell>
          <cell r="AJ18">
            <v>159.227</v>
          </cell>
          <cell r="AK18">
            <v>162.77199999999999</v>
          </cell>
          <cell r="AL18">
            <v>166.47200000000001</v>
          </cell>
          <cell r="AM18">
            <v>164.773</v>
          </cell>
          <cell r="AN18">
            <v>176.839</v>
          </cell>
          <cell r="AO18">
            <v>177.654</v>
          </cell>
          <cell r="AP18">
            <v>174.143</v>
          </cell>
          <cell r="AQ18">
            <v>178.16200000000001</v>
          </cell>
        </row>
        <row r="19">
          <cell r="AH19">
            <v>1080.19</v>
          </cell>
          <cell r="AI19">
            <v>1240.4449999999999</v>
          </cell>
          <cell r="AJ19">
            <v>1193.9280000000001</v>
          </cell>
          <cell r="AK19">
            <v>1315.8320000000001</v>
          </cell>
          <cell r="AL19">
            <v>1553.941</v>
          </cell>
          <cell r="AM19">
            <v>2575.1260000000002</v>
          </cell>
          <cell r="AN19">
            <v>2886.2759999999998</v>
          </cell>
          <cell r="AO19">
            <v>1748.8409999999999</v>
          </cell>
          <cell r="AP19">
            <v>1841.4159999999999</v>
          </cell>
          <cell r="AQ19">
            <v>1810.5</v>
          </cell>
        </row>
        <row r="20">
          <cell r="AH20">
            <v>333.89299999999997</v>
          </cell>
          <cell r="AI20">
            <v>345.358</v>
          </cell>
          <cell r="AJ20">
            <v>322.661</v>
          </cell>
          <cell r="AK20">
            <v>322.42899999999997</v>
          </cell>
          <cell r="AL20">
            <v>329.91</v>
          </cell>
          <cell r="AM20">
            <v>232.27</v>
          </cell>
          <cell r="AN20">
            <v>317.10700000000003</v>
          </cell>
          <cell r="AO20">
            <v>350.84100000000001</v>
          </cell>
          <cell r="AP20">
            <v>331.471</v>
          </cell>
          <cell r="AQ20">
            <v>327.82400000000001</v>
          </cell>
        </row>
        <row r="21">
          <cell r="AH21">
            <v>153.28100000000001</v>
          </cell>
          <cell r="AI21">
            <v>165.97900000000001</v>
          </cell>
          <cell r="AJ21">
            <v>163.721</v>
          </cell>
          <cell r="AK21">
            <v>159.83699999999999</v>
          </cell>
          <cell r="AL21">
            <v>175.958</v>
          </cell>
          <cell r="AM21">
            <v>125.724</v>
          </cell>
          <cell r="AN21">
            <v>181.15700000000001</v>
          </cell>
          <cell r="AO21">
            <v>179.41499999999999</v>
          </cell>
          <cell r="AP21">
            <v>175.24</v>
          </cell>
          <cell r="AQ21">
            <v>186.684</v>
          </cell>
        </row>
        <row r="22">
          <cell r="AH22">
            <v>593.01599999999996</v>
          </cell>
          <cell r="AI22">
            <v>729.10799999999995</v>
          </cell>
          <cell r="AJ22">
            <v>707.54600000000005</v>
          </cell>
          <cell r="AK22">
            <v>833.56600000000003</v>
          </cell>
          <cell r="AL22">
            <v>1048.0730000000001</v>
          </cell>
          <cell r="AM22">
            <v>2217.1320000000001</v>
          </cell>
          <cell r="AN22">
            <v>2388.0120000000002</v>
          </cell>
          <cell r="AO22">
            <v>1218.585</v>
          </cell>
          <cell r="AP22">
            <v>1334.7049999999999</v>
          </cell>
          <cell r="AQ22">
            <v>1295.992</v>
          </cell>
        </row>
      </sheetData>
      <sheetData sheetId="1">
        <row r="8">
          <cell r="AG8">
            <v>58500</v>
          </cell>
          <cell r="AH8">
            <v>57186</v>
          </cell>
          <cell r="AI8">
            <v>56766</v>
          </cell>
          <cell r="AJ8">
            <v>55393</v>
          </cell>
          <cell r="AK8">
            <v>52000</v>
          </cell>
          <cell r="AL8">
            <v>54773</v>
          </cell>
          <cell r="AM8">
            <v>55002</v>
          </cell>
          <cell r="AN8">
            <v>54418</v>
          </cell>
          <cell r="AO8">
            <v>55047</v>
          </cell>
          <cell r="AP8">
            <v>54513</v>
          </cell>
          <cell r="AQ8">
            <v>55116</v>
          </cell>
        </row>
        <row r="9">
          <cell r="AG9">
            <v>50700</v>
          </cell>
          <cell r="AH9">
            <v>49108</v>
          </cell>
          <cell r="AI9">
            <v>48283</v>
          </cell>
          <cell r="AJ9">
            <v>47235</v>
          </cell>
          <cell r="AK9">
            <v>44022</v>
          </cell>
          <cell r="AL9">
            <v>45582</v>
          </cell>
          <cell r="AM9">
            <v>45629</v>
          </cell>
          <cell r="AN9">
            <v>45032</v>
          </cell>
          <cell r="AO9">
            <v>44760</v>
          </cell>
          <cell r="AP9">
            <v>43794</v>
          </cell>
          <cell r="AQ9">
            <v>47156</v>
          </cell>
        </row>
      </sheetData>
      <sheetData sheetId="2">
        <row r="9">
          <cell r="AH9">
            <v>2500</v>
          </cell>
          <cell r="AI9">
            <v>2300</v>
          </cell>
          <cell r="AJ9">
            <v>2400</v>
          </cell>
          <cell r="AK9">
            <v>2450</v>
          </cell>
          <cell r="AL9">
            <v>2500</v>
          </cell>
          <cell r="AM9">
            <v>2550</v>
          </cell>
          <cell r="AN9">
            <v>2550</v>
          </cell>
          <cell r="AO9">
            <v>2500</v>
          </cell>
          <cell r="AP9">
            <v>2500</v>
          </cell>
          <cell r="AQ9">
            <v>2500</v>
          </cell>
        </row>
      </sheetData>
      <sheetData sheetId="3"/>
      <sheetData sheetId="4"/>
      <sheetData sheetId="5">
        <row r="22">
          <cell r="X22">
            <v>120</v>
          </cell>
          <cell r="Y22">
            <v>100</v>
          </cell>
          <cell r="Z22">
            <v>130</v>
          </cell>
          <cell r="AA22">
            <v>120</v>
          </cell>
          <cell r="AB22">
            <v>130</v>
          </cell>
          <cell r="AC22">
            <v>110</v>
          </cell>
          <cell r="AD22">
            <v>140</v>
          </cell>
          <cell r="AE22">
            <v>200</v>
          </cell>
          <cell r="AF22">
            <v>145</v>
          </cell>
          <cell r="AG22">
            <v>160</v>
          </cell>
          <cell r="AH22">
            <v>200</v>
          </cell>
        </row>
        <row r="71">
          <cell r="X71">
            <v>11</v>
          </cell>
          <cell r="Y71">
            <v>10</v>
          </cell>
          <cell r="Z71">
            <v>9.5</v>
          </cell>
          <cell r="AA71">
            <v>25</v>
          </cell>
          <cell r="AB71">
            <v>17</v>
          </cell>
          <cell r="AC71">
            <v>9</v>
          </cell>
          <cell r="AD71">
            <v>11</v>
          </cell>
          <cell r="AE71">
            <v>28</v>
          </cell>
          <cell r="AF71">
            <v>10.5</v>
          </cell>
          <cell r="AG71">
            <v>20</v>
          </cell>
          <cell r="AH71">
            <v>28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1978"/>
      <sheetName val="base 1982"/>
      <sheetName val="base 1987"/>
      <sheetName val="base 1992"/>
      <sheetName val="Base 1998"/>
      <sheetName val="Poderation98"/>
      <sheetName val="Transfert"/>
      <sheetName val="base 2010"/>
      <sheetName val="base 2010 (2)"/>
      <sheetName val="Pondérations 2010"/>
      <sheetName val="calcul"/>
      <sheetName val=" IP 2015 annuel"/>
      <sheetName val="tx de croiss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D9">
            <v>1.2281946668008636</v>
          </cell>
          <cell r="E9">
            <v>0.64408007328455863</v>
          </cell>
          <cell r="F9">
            <v>1.7922660710253391</v>
          </cell>
          <cell r="G9">
            <v>2.6172494274055769</v>
          </cell>
          <cell r="H9">
            <v>5.2000000000000046</v>
          </cell>
          <cell r="I9">
            <v>2.1863117870722482</v>
          </cell>
          <cell r="J9">
            <v>2.8837209302325473</v>
          </cell>
          <cell r="K9">
            <v>2.3508137432188159</v>
          </cell>
          <cell r="L9">
            <v>-6.2720848056537211</v>
          </cell>
          <cell r="M9">
            <v>6.6918001885014178</v>
          </cell>
          <cell r="N9">
            <v>0.79505300353355235</v>
          </cell>
        </row>
        <row r="10">
          <cell r="D10">
            <v>2.1359223300970953</v>
          </cell>
          <cell r="E10">
            <v>1.5209125475285079</v>
          </cell>
          <cell r="F10">
            <v>4.6816479400749067</v>
          </cell>
          <cell r="G10">
            <v>3.7567084078712121</v>
          </cell>
          <cell r="H10">
            <v>8.5999999999999854</v>
          </cell>
          <cell r="I10">
            <v>5.4327808471454908</v>
          </cell>
          <cell r="J10">
            <v>0.78602620087335762</v>
          </cell>
          <cell r="K10">
            <v>1.0398613518197486</v>
          </cell>
          <cell r="L10">
            <v>0.85763293310463506</v>
          </cell>
          <cell r="M10">
            <v>6.7176870748299367</v>
          </cell>
          <cell r="N10">
            <v>4.7011952191235107</v>
          </cell>
        </row>
        <row r="13">
          <cell r="D13">
            <v>-0.73068893528184242</v>
          </cell>
          <cell r="E13">
            <v>-1.2618296529968376</v>
          </cell>
          <cell r="F13">
            <v>2.8753993610223461</v>
          </cell>
          <cell r="G13">
            <v>0.31055900621119736</v>
          </cell>
          <cell r="H13">
            <v>-5.0999999999999934</v>
          </cell>
          <cell r="I13">
            <v>0.73761854583771491</v>
          </cell>
          <cell r="J13">
            <v>1.1506276150627714</v>
          </cell>
          <cell r="K13">
            <v>-2.9989658738366121</v>
          </cell>
          <cell r="L13">
            <v>-13.646055437100213</v>
          </cell>
          <cell r="M13">
            <v>12.222222222222223</v>
          </cell>
          <cell r="N13">
            <v>-0.88008800880089444</v>
          </cell>
        </row>
        <row r="19">
          <cell r="D19">
            <v>1.8682399213372669</v>
          </cell>
          <cell r="E19">
            <v>3.3783783783783772</v>
          </cell>
          <cell r="F19">
            <v>2.8011204481792618</v>
          </cell>
          <cell r="G19">
            <v>5.2679382379654971</v>
          </cell>
          <cell r="H19">
            <v>15.400000000000013</v>
          </cell>
          <cell r="I19">
            <v>4.7660311958405588</v>
          </cell>
          <cell r="J19">
            <v>7.3614557485525367</v>
          </cell>
          <cell r="K19">
            <v>4.6995377503852076</v>
          </cell>
          <cell r="L19">
            <v>8.6092715231788084</v>
          </cell>
          <cell r="M19">
            <v>0.13550135501356753</v>
          </cell>
          <cell r="N19">
            <v>-8.3897158322056917</v>
          </cell>
        </row>
        <row r="24">
          <cell r="D24">
            <v>4.3172690763052302</v>
          </cell>
          <cell r="E24">
            <v>6.256015399422532</v>
          </cell>
          <cell r="F24">
            <v>0.90579710144926828</v>
          </cell>
          <cell r="G24">
            <v>3.5008976660682256</v>
          </cell>
          <cell r="H24">
            <v>2.2999999999999909</v>
          </cell>
          <cell r="I24">
            <v>-4.0078201368523914</v>
          </cell>
          <cell r="J24">
            <v>-0.50916496945010437</v>
          </cell>
          <cell r="K24">
            <v>-3.377686796315249</v>
          </cell>
          <cell r="L24">
            <v>-17.584745762711872</v>
          </cell>
          <cell r="M24">
            <v>23.007712082262223</v>
          </cell>
          <cell r="N24">
            <v>-5.8516196447231046</v>
          </cell>
        </row>
        <row r="26">
          <cell r="D26">
            <v>-1.2499999999999956</v>
          </cell>
          <cell r="E26">
            <v>-10.613437195715679</v>
          </cell>
          <cell r="F26">
            <v>2.941176470588247</v>
          </cell>
          <cell r="G26">
            <v>2.9629629629629672</v>
          </cell>
          <cell r="H26">
            <v>-4.2000000000000037</v>
          </cell>
          <cell r="I26">
            <v>7.3068893528183798</v>
          </cell>
          <cell r="J26">
            <v>9.7276264591439343E-2</v>
          </cell>
          <cell r="K26">
            <v>6.4139941690962043</v>
          </cell>
          <cell r="L26">
            <v>-17.534246575342472</v>
          </cell>
          <cell r="M26">
            <v>18.93687707641196</v>
          </cell>
          <cell r="N26">
            <v>7.2625698324022325</v>
          </cell>
        </row>
        <row r="28">
          <cell r="D28">
            <v>-2.3391812865496964</v>
          </cell>
          <cell r="E28">
            <v>8.1836327345309314</v>
          </cell>
          <cell r="F28">
            <v>-4.2435424354243629</v>
          </cell>
          <cell r="G28">
            <v>9.2485549132948144</v>
          </cell>
          <cell r="H28">
            <v>13.599999999999991</v>
          </cell>
          <cell r="I28">
            <v>3.2570422535211252</v>
          </cell>
          <cell r="J28">
            <v>8.2693947144075075</v>
          </cell>
          <cell r="K28">
            <v>6.2992125984252079</v>
          </cell>
          <cell r="L28">
            <v>-24.962962962962965</v>
          </cell>
          <cell r="M28">
            <v>9.1806515301085856</v>
          </cell>
          <cell r="N28">
            <v>12.748643761302002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x courants"/>
      <sheetName val="prix chaînés"/>
      <sheetName val="en taux de croissance"/>
      <sheetName val="par produits px courants"/>
      <sheetName val="par secteurs institutionnels"/>
      <sheetName val="prix constant"/>
    </sheetNames>
    <sheetDataSet>
      <sheetData sheetId="0">
        <row r="3">
          <cell r="AK3">
            <v>2014</v>
          </cell>
        </row>
        <row r="5">
          <cell r="AO5">
            <v>121267</v>
          </cell>
          <cell r="AP5">
            <v>126992</v>
          </cell>
          <cell r="AQ5">
            <v>105121</v>
          </cell>
          <cell r="AR5">
            <v>116712</v>
          </cell>
          <cell r="AS5">
            <v>122036</v>
          </cell>
        </row>
      </sheetData>
      <sheetData sheetId="1"/>
      <sheetData sheetId="2">
        <row r="3">
          <cell r="AL3">
            <v>2015</v>
          </cell>
        </row>
      </sheetData>
      <sheetData sheetId="3">
        <row r="6">
          <cell r="C6">
            <v>87176</v>
          </cell>
          <cell r="D6">
            <v>91401</v>
          </cell>
          <cell r="E6">
            <v>113961</v>
          </cell>
          <cell r="F6">
            <v>116257</v>
          </cell>
        </row>
        <row r="8">
          <cell r="C8">
            <v>4</v>
          </cell>
          <cell r="D8">
            <v>467</v>
          </cell>
          <cell r="E8">
            <v>428</v>
          </cell>
          <cell r="F8">
            <v>399</v>
          </cell>
          <cell r="G8">
            <v>568</v>
          </cell>
          <cell r="H8">
            <v>616</v>
          </cell>
          <cell r="I8">
            <v>552</v>
          </cell>
          <cell r="J8">
            <v>588</v>
          </cell>
          <cell r="K8">
            <v>624</v>
          </cell>
        </row>
        <row r="18">
          <cell r="C18">
            <v>25837</v>
          </cell>
          <cell r="D18">
            <v>30218</v>
          </cell>
          <cell r="E18">
            <v>39942</v>
          </cell>
          <cell r="F18">
            <v>40064</v>
          </cell>
          <cell r="G18">
            <v>44506</v>
          </cell>
          <cell r="H18">
            <v>47970</v>
          </cell>
          <cell r="I18">
            <v>31833</v>
          </cell>
          <cell r="J18">
            <v>35968</v>
          </cell>
          <cell r="K18">
            <v>35438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 (px courants)"/>
      <sheetName val="prix chaînés"/>
      <sheetName val="EXPORT (px constants)"/>
    </sheetNames>
    <sheetDataSet>
      <sheetData sheetId="0">
        <row r="7">
          <cell r="AI7"/>
          <cell r="AJ7"/>
          <cell r="AK7">
            <v>152354</v>
          </cell>
          <cell r="AL7">
            <v>162175</v>
          </cell>
          <cell r="AM7">
            <v>170424</v>
          </cell>
          <cell r="AN7">
            <v>186410</v>
          </cell>
          <cell r="AO7">
            <v>208064</v>
          </cell>
          <cell r="AP7">
            <v>212374</v>
          </cell>
          <cell r="AQ7">
            <v>196729</v>
          </cell>
          <cell r="AR7">
            <v>251394</v>
          </cell>
          <cell r="AS7">
            <v>330602</v>
          </cell>
        </row>
        <row r="8">
          <cell r="AI8"/>
          <cell r="AJ8"/>
          <cell r="AK8">
            <v>23878</v>
          </cell>
          <cell r="AL8">
            <v>27015</v>
          </cell>
          <cell r="AM8">
            <v>29723</v>
          </cell>
          <cell r="AN8">
            <v>31142</v>
          </cell>
          <cell r="AO8">
            <v>32181</v>
          </cell>
          <cell r="AP8">
            <v>31924</v>
          </cell>
          <cell r="AQ8">
            <v>31709</v>
          </cell>
          <cell r="AR8">
            <v>35808</v>
          </cell>
          <cell r="AS8">
            <v>43299</v>
          </cell>
        </row>
        <row r="9">
          <cell r="AI9"/>
          <cell r="AJ9"/>
          <cell r="AK9">
            <v>21797</v>
          </cell>
          <cell r="AL9">
            <v>21830</v>
          </cell>
          <cell r="AM9">
            <v>23781</v>
          </cell>
          <cell r="AN9">
            <v>24528</v>
          </cell>
          <cell r="AO9">
            <v>25094</v>
          </cell>
          <cell r="AP9">
            <v>23468</v>
          </cell>
          <cell r="AQ9">
            <v>19282</v>
          </cell>
          <cell r="AR9">
            <v>22415</v>
          </cell>
          <cell r="AS9">
            <v>26875</v>
          </cell>
        </row>
        <row r="12">
          <cell r="AI12"/>
          <cell r="AJ12"/>
          <cell r="AK12">
            <v>35219</v>
          </cell>
          <cell r="AL12">
            <v>37000</v>
          </cell>
          <cell r="AM12">
            <v>33814</v>
          </cell>
          <cell r="AN12">
            <v>37937</v>
          </cell>
          <cell r="AO12">
            <v>45812</v>
          </cell>
          <cell r="AP12">
            <v>43888</v>
          </cell>
          <cell r="AQ12">
            <v>45302</v>
          </cell>
          <cell r="AR12">
            <v>73869</v>
          </cell>
          <cell r="AS12">
            <v>104667</v>
          </cell>
        </row>
        <row r="19">
          <cell r="AI19"/>
          <cell r="AJ19"/>
          <cell r="AK19">
            <v>33929</v>
          </cell>
          <cell r="AL19">
            <v>40828</v>
          </cell>
          <cell r="AM19">
            <v>47930</v>
          </cell>
          <cell r="AN19">
            <v>55112</v>
          </cell>
          <cell r="AO19">
            <v>62860</v>
          </cell>
          <cell r="AP19">
            <v>68374</v>
          </cell>
          <cell r="AQ19">
            <v>58727</v>
          </cell>
          <cell r="AR19">
            <v>69374</v>
          </cell>
          <cell r="AS19">
            <v>89953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x courants"/>
      <sheetName val="PIB_3apr"/>
      <sheetName val="VA par secteur"/>
      <sheetName val="Par_VA"/>
      <sheetName val="composition de la VA par SI"/>
    </sheetNames>
    <sheetDataSet>
      <sheetData sheetId="0">
        <row r="4">
          <cell r="AG4">
            <v>98987.882983033036</v>
          </cell>
        </row>
        <row r="9">
          <cell r="AI9">
            <v>132514.29908130408</v>
          </cell>
          <cell r="AJ9">
            <v>141628.57912181909</v>
          </cell>
          <cell r="AK9">
            <v>153676</v>
          </cell>
          <cell r="AL9">
            <v>161547</v>
          </cell>
          <cell r="AM9">
            <v>161506</v>
          </cell>
          <cell r="AN9">
            <v>167672</v>
          </cell>
          <cell r="AO9">
            <v>177736</v>
          </cell>
          <cell r="AP9">
            <v>183041</v>
          </cell>
          <cell r="AQ9">
            <v>174916</v>
          </cell>
          <cell r="AR9">
            <v>192034</v>
          </cell>
          <cell r="AS9">
            <v>199747</v>
          </cell>
        </row>
        <row r="10">
          <cell r="AI10">
            <v>29378.591225613702</v>
          </cell>
          <cell r="AJ10">
            <v>36482.311125220673</v>
          </cell>
          <cell r="AK10">
            <v>40591</v>
          </cell>
          <cell r="AL10">
            <v>42386</v>
          </cell>
          <cell r="AM10">
            <v>43972</v>
          </cell>
          <cell r="AN10">
            <v>49459</v>
          </cell>
          <cell r="AO10">
            <v>50405</v>
          </cell>
          <cell r="AP10">
            <v>50214</v>
          </cell>
          <cell r="AQ10">
            <v>50235</v>
          </cell>
          <cell r="AR10">
            <v>49023</v>
          </cell>
          <cell r="AS10">
            <v>50551</v>
          </cell>
        </row>
        <row r="11">
          <cell r="AI11">
            <v>21806.861917234048</v>
          </cell>
          <cell r="AJ11">
            <v>20707.717886847211</v>
          </cell>
          <cell r="AK11">
            <v>23511</v>
          </cell>
          <cell r="AL11">
            <v>23836</v>
          </cell>
          <cell r="AM11">
            <v>23937</v>
          </cell>
          <cell r="AN11">
            <v>23824</v>
          </cell>
          <cell r="AO11">
            <v>24626</v>
          </cell>
          <cell r="AP11">
            <v>25387</v>
          </cell>
          <cell r="AQ11">
            <v>21725</v>
          </cell>
          <cell r="AR11">
            <v>23905</v>
          </cell>
          <cell r="AS11">
            <v>24876</v>
          </cell>
        </row>
        <row r="14">
          <cell r="AI14">
            <v>12652.447087085557</v>
          </cell>
          <cell r="AJ14">
            <v>13171.217964306717</v>
          </cell>
          <cell r="AK14">
            <v>16831</v>
          </cell>
          <cell r="AL14">
            <v>20782</v>
          </cell>
          <cell r="AM14">
            <v>17007</v>
          </cell>
          <cell r="AN14">
            <v>17267</v>
          </cell>
          <cell r="AO14">
            <v>22690</v>
          </cell>
          <cell r="AP14">
            <v>21271</v>
          </cell>
          <cell r="AQ14">
            <v>24695</v>
          </cell>
          <cell r="AR14">
            <v>43849</v>
          </cell>
          <cell r="AS14">
            <v>58499</v>
          </cell>
        </row>
        <row r="21">
          <cell r="AI21">
            <v>6892.7297008184214</v>
          </cell>
          <cell r="AJ21">
            <v>8004.7756052838904</v>
          </cell>
          <cell r="AK21">
            <v>9593</v>
          </cell>
          <cell r="AL21">
            <v>10599</v>
          </cell>
          <cell r="AM21">
            <v>12273</v>
          </cell>
          <cell r="AN21">
            <v>13236</v>
          </cell>
          <cell r="AO21">
            <v>15566</v>
          </cell>
          <cell r="AP21">
            <v>17073</v>
          </cell>
          <cell r="AQ21">
            <v>14649</v>
          </cell>
          <cell r="AR21">
            <v>10518</v>
          </cell>
          <cell r="AS21">
            <v>14153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DUCTION px courants"/>
      <sheetName val="Production prix courant agg"/>
      <sheetName val="Production prix chaînés"/>
      <sheetName val="Production ps chaînés agg"/>
      <sheetName val="Tx de contribution"/>
      <sheetName val="Croissance px chaînés agg"/>
      <sheetName val="Production volume prix n-1 "/>
      <sheetName val="Prod_nom agr"/>
      <sheetName val="PODUCTION (px courant)"/>
      <sheetName val="PODUCTION (px constant)"/>
    </sheetNames>
    <sheetDataSet>
      <sheetData sheetId="0">
        <row r="3">
          <cell r="AI3">
            <v>2012</v>
          </cell>
          <cell r="AN3">
            <v>2017</v>
          </cell>
        </row>
        <row r="7">
          <cell r="AI7">
            <v>535257.42847179738</v>
          </cell>
          <cell r="AJ7">
            <v>540582.62239637715</v>
          </cell>
          <cell r="AK7">
            <v>553455</v>
          </cell>
          <cell r="AL7">
            <v>538104</v>
          </cell>
          <cell r="AM7">
            <v>521536</v>
          </cell>
          <cell r="AN7">
            <v>538541</v>
          </cell>
          <cell r="AO7">
            <v>574282</v>
          </cell>
          <cell r="AP7">
            <v>595757</v>
          </cell>
          <cell r="AQ7">
            <v>549243</v>
          </cell>
          <cell r="AR7">
            <v>642277</v>
          </cell>
          <cell r="AS7">
            <v>734838</v>
          </cell>
        </row>
        <row r="8">
          <cell r="AI8">
            <v>162279.77384539801</v>
          </cell>
          <cell r="AJ8">
            <v>170883.78857251286</v>
          </cell>
          <cell r="AK8">
            <v>181639</v>
          </cell>
          <cell r="AL8">
            <v>185196</v>
          </cell>
          <cell r="AM8">
            <v>188965</v>
          </cell>
          <cell r="AN8">
            <v>196957</v>
          </cell>
          <cell r="AO8">
            <v>204417</v>
          </cell>
          <cell r="AP8">
            <v>211083</v>
          </cell>
          <cell r="AQ8">
            <v>207601</v>
          </cell>
          <cell r="AR8">
            <v>225491</v>
          </cell>
          <cell r="AS8">
            <v>247979</v>
          </cell>
        </row>
        <row r="9">
          <cell r="AI9">
            <v>54870.325243770567</v>
          </cell>
          <cell r="AJ9">
            <v>52609.318860974519</v>
          </cell>
          <cell r="AK9">
            <v>55703</v>
          </cell>
          <cell r="AL9">
            <v>55483</v>
          </cell>
          <cell r="AM9">
            <v>55441</v>
          </cell>
          <cell r="AN9">
            <v>55471</v>
          </cell>
          <cell r="AO9">
            <v>56992</v>
          </cell>
          <cell r="AP9">
            <v>57744</v>
          </cell>
          <cell r="AQ9">
            <v>48830</v>
          </cell>
          <cell r="AR9">
            <v>54860</v>
          </cell>
          <cell r="AS9">
            <v>61342</v>
          </cell>
        </row>
        <row r="12">
          <cell r="AI12">
            <v>56335.892329364025</v>
          </cell>
          <cell r="AJ12">
            <v>53379.420130642931</v>
          </cell>
          <cell r="AK12">
            <v>54734</v>
          </cell>
          <cell r="AL12">
            <v>59766</v>
          </cell>
          <cell r="AM12">
            <v>49408</v>
          </cell>
          <cell r="AN12">
            <v>53893</v>
          </cell>
          <cell r="AO12">
            <v>64756</v>
          </cell>
          <cell r="AP12">
            <v>63556</v>
          </cell>
          <cell r="AQ12">
            <v>63168</v>
          </cell>
          <cell r="AR12">
            <v>93169</v>
          </cell>
          <cell r="AS12">
            <v>125531</v>
          </cell>
        </row>
        <row r="19">
          <cell r="AI19">
            <v>36294.988499760548</v>
          </cell>
          <cell r="AJ19">
            <v>47196.013578987368</v>
          </cell>
          <cell r="AK19">
            <v>56466</v>
          </cell>
          <cell r="AL19">
            <v>60062</v>
          </cell>
          <cell r="AM19">
            <v>67572</v>
          </cell>
          <cell r="AN19">
            <v>71049</v>
          </cell>
          <cell r="AO19">
            <v>81482</v>
          </cell>
          <cell r="AP19">
            <v>90179</v>
          </cell>
          <cell r="AQ19">
            <v>75625</v>
          </cell>
          <cell r="AR19">
            <v>92718</v>
          </cell>
          <cell r="AS19">
            <v>112598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c telephonique"/>
      <sheetName val="GSM"/>
      <sheetName val="Transmission de données"/>
      <sheetName val="parc par région"/>
      <sheetName val="comparaison internationale"/>
      <sheetName val="Feuil1"/>
      <sheetName val="Internet"/>
      <sheetName val="Transfert"/>
    </sheetNames>
    <sheetDataSet>
      <sheetData sheetId="0">
        <row r="6">
          <cell r="AH6">
            <v>3279054</v>
          </cell>
          <cell r="AI6">
            <v>2924861</v>
          </cell>
          <cell r="AJ6">
            <v>2487738</v>
          </cell>
          <cell r="AK6">
            <v>2222370</v>
          </cell>
          <cell r="AL6">
            <v>2070173</v>
          </cell>
          <cell r="AM6">
            <v>2046390</v>
          </cell>
          <cell r="AN6">
            <v>2199140</v>
          </cell>
          <cell r="AO6">
            <v>2054545</v>
          </cell>
          <cell r="AP6">
            <v>2357286</v>
          </cell>
          <cell r="AQ6">
            <v>2511000</v>
          </cell>
          <cell r="AR6">
            <v>2645000</v>
          </cell>
        </row>
        <row r="10">
          <cell r="AH10">
            <v>10.08</v>
          </cell>
          <cell r="AI10">
            <v>8.9</v>
          </cell>
          <cell r="AJ10">
            <v>7.5</v>
          </cell>
          <cell r="AK10">
            <v>6.57</v>
          </cell>
          <cell r="AL10">
            <v>6.12</v>
          </cell>
          <cell r="AM10">
            <v>5.87</v>
          </cell>
          <cell r="AN10">
            <v>6.24</v>
          </cell>
          <cell r="AO10">
            <v>5.77</v>
          </cell>
          <cell r="AP10">
            <v>6.56</v>
          </cell>
          <cell r="AQ10">
            <v>6.92</v>
          </cell>
          <cell r="AR10">
            <v>7.21</v>
          </cell>
        </row>
        <row r="14">
          <cell r="AH14">
            <v>39016000</v>
          </cell>
          <cell r="AI14">
            <v>42424000</v>
          </cell>
          <cell r="AJ14">
            <v>44114534</v>
          </cell>
          <cell r="AK14">
            <v>43079696</v>
          </cell>
          <cell r="AL14">
            <v>41514000</v>
          </cell>
          <cell r="AM14">
            <v>43916000</v>
          </cell>
          <cell r="AN14">
            <v>44738000</v>
          </cell>
          <cell r="AO14">
            <v>46667000</v>
          </cell>
          <cell r="AP14">
            <v>49421000</v>
          </cell>
          <cell r="AQ14">
            <v>51334000</v>
          </cell>
          <cell r="AR14">
            <v>52898000</v>
          </cell>
        </row>
        <row r="17">
          <cell r="AH17">
            <v>119.97</v>
          </cell>
          <cell r="AI17">
            <v>129.13</v>
          </cell>
          <cell r="AJ17">
            <v>132.96</v>
          </cell>
          <cell r="AK17">
            <v>127.27</v>
          </cell>
          <cell r="AL17">
            <v>122.65</v>
          </cell>
          <cell r="AM17">
            <v>126.01</v>
          </cell>
          <cell r="AN17">
            <v>127</v>
          </cell>
          <cell r="AO17">
            <v>131.13999999999999</v>
          </cell>
          <cell r="AP17">
            <v>137.47</v>
          </cell>
          <cell r="AQ17">
            <v>141.35999999999999</v>
          </cell>
          <cell r="AR17">
            <v>144.25</v>
          </cell>
        </row>
        <row r="18">
          <cell r="AH18">
            <v>42295054</v>
          </cell>
          <cell r="AI18">
            <v>45348861</v>
          </cell>
          <cell r="AJ18">
            <v>46602272</v>
          </cell>
          <cell r="AK18">
            <v>45302066</v>
          </cell>
          <cell r="AL18">
            <v>43584173</v>
          </cell>
          <cell r="AM18">
            <v>45962390</v>
          </cell>
          <cell r="AN18">
            <v>46937140</v>
          </cell>
          <cell r="AO18">
            <v>48721545</v>
          </cell>
          <cell r="AP18">
            <v>51778286</v>
          </cell>
          <cell r="AQ18">
            <v>53845000</v>
          </cell>
          <cell r="AR18">
            <v>55543000</v>
          </cell>
        </row>
      </sheetData>
      <sheetData sheetId="1"/>
      <sheetData sheetId="2"/>
      <sheetData sheetId="3"/>
      <sheetData sheetId="4"/>
      <sheetData sheetId="5"/>
      <sheetData sheetId="6">
        <row r="6">
          <cell r="AH6">
            <v>3957068</v>
          </cell>
          <cell r="AI6">
            <v>5776173</v>
          </cell>
          <cell r="AJ6">
            <v>9969023</v>
          </cell>
          <cell r="AK6">
            <v>14471106</v>
          </cell>
          <cell r="AL6">
            <v>17058000</v>
          </cell>
          <cell r="AM6">
            <v>22192000</v>
          </cell>
          <cell r="AN6">
            <v>22782000</v>
          </cell>
          <cell r="AO6">
            <v>25385000</v>
          </cell>
          <cell r="AP6">
            <v>29803000</v>
          </cell>
          <cell r="AQ6">
            <v>32846000</v>
          </cell>
          <cell r="AR6">
            <v>35574000</v>
          </cell>
        </row>
      </sheetData>
      <sheetData sheetId="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x rempl barrages"/>
      <sheetName val="Exploitation"/>
      <sheetName val="ONEP"/>
      <sheetName val="Feuil1"/>
      <sheetName val="Transfert"/>
    </sheetNames>
    <sheetDataSet>
      <sheetData sheetId="0">
        <row r="9">
          <cell r="AI9">
            <v>94.9</v>
          </cell>
          <cell r="AJ9">
            <v>90</v>
          </cell>
          <cell r="AK9">
            <v>86.2</v>
          </cell>
          <cell r="AL9">
            <v>86.2</v>
          </cell>
          <cell r="AM9">
            <v>42.8</v>
          </cell>
          <cell r="AN9">
            <v>18.100000000000001</v>
          </cell>
          <cell r="AO9">
            <v>30.3</v>
          </cell>
          <cell r="AP9">
            <v>17.8</v>
          </cell>
          <cell r="AQ9">
            <v>12</v>
          </cell>
          <cell r="AR9">
            <v>7.5</v>
          </cell>
          <cell r="AS9">
            <v>4.0999999999999996</v>
          </cell>
        </row>
        <row r="10">
          <cell r="AI10">
            <v>56.6</v>
          </cell>
          <cell r="AJ10">
            <v>49.6</v>
          </cell>
          <cell r="AK10">
            <v>59.4</v>
          </cell>
          <cell r="AL10">
            <v>59.4</v>
          </cell>
          <cell r="AM10">
            <v>50.3</v>
          </cell>
          <cell r="AN10">
            <v>43.5</v>
          </cell>
          <cell r="AO10">
            <v>60.8</v>
          </cell>
          <cell r="AP10">
            <v>58.5</v>
          </cell>
          <cell r="AQ10">
            <v>51.6</v>
          </cell>
          <cell r="AR10">
            <v>59</v>
          </cell>
          <cell r="AS10">
            <v>55.4</v>
          </cell>
        </row>
        <row r="11">
          <cell r="AI11">
            <v>90</v>
          </cell>
          <cell r="AJ11">
            <v>69.400000000000006</v>
          </cell>
          <cell r="AK11">
            <v>65.7</v>
          </cell>
          <cell r="AL11">
            <v>65.7</v>
          </cell>
          <cell r="AM11">
            <v>44.3</v>
          </cell>
          <cell r="AN11">
            <v>17.8</v>
          </cell>
          <cell r="AO11">
            <v>74</v>
          </cell>
          <cell r="AP11">
            <v>42.2</v>
          </cell>
          <cell r="AQ11">
            <v>19.7</v>
          </cell>
          <cell r="AR11">
            <v>14</v>
          </cell>
          <cell r="AS11">
            <v>11.2</v>
          </cell>
        </row>
        <row r="14">
          <cell r="AI14">
            <v>69.8</v>
          </cell>
          <cell r="AJ14">
            <v>59.3</v>
          </cell>
          <cell r="AK14">
            <v>60.5</v>
          </cell>
          <cell r="AL14">
            <v>60.5</v>
          </cell>
          <cell r="AM14">
            <v>50</v>
          </cell>
          <cell r="AN14">
            <v>39.4</v>
          </cell>
          <cell r="AO14">
            <v>77.2</v>
          </cell>
          <cell r="AP14">
            <v>82.5</v>
          </cell>
          <cell r="AQ14">
            <v>57.2</v>
          </cell>
          <cell r="AR14">
            <v>45.2</v>
          </cell>
          <cell r="AS14">
            <v>24.7</v>
          </cell>
        </row>
        <row r="22">
          <cell r="AI22">
            <v>73.8</v>
          </cell>
          <cell r="AJ22">
            <v>64.3</v>
          </cell>
          <cell r="AK22">
            <v>72.5</v>
          </cell>
          <cell r="AL22">
            <v>76.967857142857127</v>
          </cell>
          <cell r="AM22">
            <v>52.5</v>
          </cell>
          <cell r="AN22">
            <v>35.799999999999997</v>
          </cell>
          <cell r="AO22">
            <v>62.3</v>
          </cell>
          <cell r="AP22">
            <v>49.2</v>
          </cell>
          <cell r="AQ22">
            <v>37</v>
          </cell>
          <cell r="AR22">
            <v>34.200000000000003</v>
          </cell>
          <cell r="AS22">
            <v>31.4</v>
          </cell>
        </row>
      </sheetData>
      <sheetData sheetId="1"/>
      <sheetData sheetId="2">
        <row r="7">
          <cell r="AH7">
            <v>976.24599999999998</v>
          </cell>
          <cell r="AI7">
            <v>1025.701</v>
          </cell>
          <cell r="AJ7">
            <v>1067.931</v>
          </cell>
          <cell r="AK7">
            <v>1092.8969999999999</v>
          </cell>
          <cell r="AL7">
            <v>1109.0630000000001</v>
          </cell>
          <cell r="AM7">
            <v>1138</v>
          </cell>
          <cell r="AN7">
            <v>1140</v>
          </cell>
          <cell r="AO7">
            <v>1206</v>
          </cell>
          <cell r="AP7">
            <v>1257</v>
          </cell>
          <cell r="AQ7">
            <v>1308.5</v>
          </cell>
        </row>
      </sheetData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ion"/>
      <sheetName val="cons energie electrique (NN)"/>
      <sheetName val="consommation energie electrique"/>
      <sheetName val="Transfert"/>
      <sheetName val="Feuil1"/>
      <sheetName val="Feuil2"/>
    </sheetNames>
    <sheetDataSet>
      <sheetData sheetId="0">
        <row r="8">
          <cell r="AF8">
            <v>26530.6</v>
          </cell>
          <cell r="AG8">
            <v>28752</v>
          </cell>
          <cell r="AH8">
            <v>31055.599999999999</v>
          </cell>
          <cell r="AI8">
            <v>31884.7</v>
          </cell>
          <cell r="AJ8">
            <v>33379.800000000003</v>
          </cell>
          <cell r="AK8">
            <v>34273.332684011009</v>
          </cell>
          <cell r="AL8">
            <v>35272.687000001999</v>
          </cell>
          <cell r="AM8">
            <v>37079.958784001996</v>
          </cell>
          <cell r="AN8">
            <v>37295.011999999995</v>
          </cell>
          <cell r="AO8">
            <v>38852.570000000007</v>
          </cell>
          <cell r="AP8">
            <v>38371.518679749992</v>
          </cell>
          <cell r="AQ8">
            <v>40511.578414349999</v>
          </cell>
          <cell r="AR8">
            <v>42317.378927075479</v>
          </cell>
        </row>
        <row r="9">
          <cell r="AH9">
            <v>12940.2</v>
          </cell>
          <cell r="AI9">
            <v>13281.9</v>
          </cell>
          <cell r="AJ9">
            <v>9862.7999999999993</v>
          </cell>
          <cell r="AK9">
            <v>10069.9</v>
          </cell>
          <cell r="AL9">
            <v>10033.700000000001</v>
          </cell>
          <cell r="AM9">
            <v>10407.700000000001</v>
          </cell>
          <cell r="AN9">
            <v>10991.625</v>
          </cell>
          <cell r="AO9">
            <v>9154.2839999999997</v>
          </cell>
          <cell r="AP9">
            <v>7889.7240330000004</v>
          </cell>
          <cell r="AQ9">
            <v>8831.0010320300007</v>
          </cell>
          <cell r="AR9">
            <v>10156.175471625482</v>
          </cell>
        </row>
        <row r="10">
          <cell r="AH10">
            <v>10790.5</v>
          </cell>
          <cell r="AI10">
            <v>9905.2999999999993</v>
          </cell>
          <cell r="AJ10">
            <v>7754.6</v>
          </cell>
          <cell r="AK10">
            <v>7626.3</v>
          </cell>
          <cell r="AL10">
            <v>8278.5</v>
          </cell>
          <cell r="AM10">
            <v>8738</v>
          </cell>
          <cell r="AN10">
            <v>8442.780999999999</v>
          </cell>
          <cell r="AO10">
            <v>6899.9780000000001</v>
          </cell>
          <cell r="AP10">
            <v>5980.8621710387315</v>
          </cell>
          <cell r="AQ10">
            <v>6839.5624911218547</v>
          </cell>
          <cell r="AR10">
            <v>8681.3265622789368</v>
          </cell>
        </row>
        <row r="13">
          <cell r="AH13">
            <v>27559.200000000001</v>
          </cell>
          <cell r="AI13">
            <v>27769.200000000001</v>
          </cell>
          <cell r="AJ13">
            <v>28827</v>
          </cell>
          <cell r="AK13">
            <v>29452.569000000003</v>
          </cell>
          <cell r="AL13">
            <v>30004.101999999999</v>
          </cell>
          <cell r="AM13">
            <v>31356.379000000001</v>
          </cell>
          <cell r="AN13">
            <v>30736.765000000003</v>
          </cell>
          <cell r="AO13">
            <v>30836.231</v>
          </cell>
          <cell r="AP13">
            <v>30284.165429779998</v>
          </cell>
          <cell r="AQ13">
            <v>31951.159780497997</v>
          </cell>
          <cell r="AR13">
            <v>33437.477462363</v>
          </cell>
        </row>
        <row r="14">
          <cell r="AH14">
            <v>16172.7</v>
          </cell>
          <cell r="AI14">
            <v>16051.400000000001</v>
          </cell>
          <cell r="AJ14">
            <v>16733.099999999999</v>
          </cell>
          <cell r="AK14">
            <v>17090.009000000002</v>
          </cell>
          <cell r="AL14">
            <v>17355.203999999998</v>
          </cell>
          <cell r="AM14">
            <v>18367.697999999997</v>
          </cell>
          <cell r="AN14">
            <v>17687.634000000002</v>
          </cell>
          <cell r="AO14">
            <v>17538.613000000001</v>
          </cell>
          <cell r="AP14">
            <v>17518.738900780001</v>
          </cell>
          <cell r="AQ14">
            <v>18578.194960498</v>
          </cell>
          <cell r="AR14">
            <v>19600.344858362994</v>
          </cell>
        </row>
        <row r="15">
          <cell r="AH15">
            <v>11386.5</v>
          </cell>
          <cell r="AI15">
            <v>11717.8</v>
          </cell>
          <cell r="AJ15">
            <v>12093.9</v>
          </cell>
          <cell r="AK15">
            <v>12362.560000000001</v>
          </cell>
          <cell r="AL15">
            <v>12648.898000000001</v>
          </cell>
          <cell r="AM15">
            <v>12988.681000000002</v>
          </cell>
          <cell r="AN15">
            <v>13049.131000000001</v>
          </cell>
          <cell r="AO15">
            <v>13297.617999999999</v>
          </cell>
          <cell r="AP15">
            <v>12765.426528999998</v>
          </cell>
          <cell r="AQ15">
            <v>13372.964819999997</v>
          </cell>
          <cell r="AR15">
            <v>13837.132604000004</v>
          </cell>
        </row>
        <row r="16">
          <cell r="AH16">
            <v>13167.8</v>
          </cell>
          <cell r="AI16">
            <v>12738.5</v>
          </cell>
          <cell r="AJ16">
            <v>16815.3</v>
          </cell>
          <cell r="AK16">
            <v>18577.2</v>
          </cell>
          <cell r="AL16">
            <v>19105</v>
          </cell>
          <cell r="AM16">
            <v>19571.599999999999</v>
          </cell>
          <cell r="AN16">
            <v>21491.4</v>
          </cell>
          <cell r="AO16">
            <v>28237.690000000002</v>
          </cell>
          <cell r="AP16">
            <v>27994.035597749997</v>
          </cell>
          <cell r="AQ16">
            <v>29467.542475000002</v>
          </cell>
          <cell r="AR16">
            <v>28216.518260749996</v>
          </cell>
        </row>
      </sheetData>
      <sheetData sheetId="1">
        <row r="10">
          <cell r="O10">
            <v>16172</v>
          </cell>
          <cell r="P10">
            <v>16044</v>
          </cell>
          <cell r="Q10">
            <v>16730.800000000003</v>
          </cell>
          <cell r="R10">
            <v>17019</v>
          </cell>
          <cell r="S10">
            <v>17375</v>
          </cell>
          <cell r="T10">
            <v>31356.379000000001</v>
          </cell>
          <cell r="U10">
            <v>30736.765000000003</v>
          </cell>
          <cell r="V10">
            <v>30836.231</v>
          </cell>
          <cell r="W10">
            <v>17518.738900780001</v>
          </cell>
          <cell r="X10">
            <v>18578.194960498</v>
          </cell>
          <cell r="Y10">
            <v>19600.344858362994</v>
          </cell>
        </row>
        <row r="11">
          <cell r="O11">
            <v>10040</v>
          </cell>
          <cell r="P11">
            <v>9607</v>
          </cell>
          <cell r="Q11">
            <v>9897.7000000000007</v>
          </cell>
          <cell r="R11">
            <v>9953.7999999999993</v>
          </cell>
          <cell r="S11">
            <v>9994</v>
          </cell>
          <cell r="T11">
            <v>23753.018000000004</v>
          </cell>
          <cell r="U11">
            <v>23107.669000000002</v>
          </cell>
          <cell r="V11">
            <v>22822.055999999997</v>
          </cell>
          <cell r="W11">
            <v>22039.689051999998</v>
          </cell>
          <cell r="X11">
            <v>23553.382887096996</v>
          </cell>
          <cell r="Y11">
            <v>24737.621172000003</v>
          </cell>
        </row>
        <row r="48">
          <cell r="O48">
            <v>6132</v>
          </cell>
          <cell r="P48">
            <v>6437</v>
          </cell>
          <cell r="Q48">
            <v>6833.1</v>
          </cell>
          <cell r="R48">
            <v>7065.2</v>
          </cell>
          <cell r="S48">
            <v>7381</v>
          </cell>
          <cell r="T48">
            <v>7603.360999999999</v>
          </cell>
          <cell r="U48">
            <v>7629.0960000000014</v>
          </cell>
          <cell r="V48">
            <v>8014.1750000000011</v>
          </cell>
          <cell r="W48">
            <v>8244.4763777800017</v>
          </cell>
          <cell r="X48">
            <v>8397.7768934010001</v>
          </cell>
          <cell r="Y48">
            <v>8699.8562903629991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1978"/>
      <sheetName val="Base1982"/>
      <sheetName val="Base 1987"/>
      <sheetName val="Base 1992"/>
      <sheetName val="Base 1998"/>
      <sheetName val="Base 2010"/>
      <sheetName val="base 2014"/>
      <sheetName val="taux de croissance"/>
      <sheetName val="Transfe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D7">
            <v>9.2191909689557825</v>
          </cell>
          <cell r="E7">
            <v>0.77519379844961378</v>
          </cell>
          <cell r="F7">
            <v>3.4188034188034289</v>
          </cell>
          <cell r="G7">
            <v>7.6033057851239594</v>
          </cell>
          <cell r="H7">
            <v>2.0999999999999908</v>
          </cell>
          <cell r="I7">
            <v>2.7424094025465307</v>
          </cell>
          <cell r="J7">
            <v>6.4823641563393597</v>
          </cell>
          <cell r="K7">
            <v>15.129811996418962</v>
          </cell>
          <cell r="L7">
            <v>-4.0435458786936103</v>
          </cell>
          <cell r="M7">
            <v>6.6450567260939897</v>
          </cell>
          <cell r="N7">
            <v>0.30395136778116338</v>
          </cell>
        </row>
      </sheetData>
      <sheetData sheetId="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an"/>
      <sheetName val="bilannew"/>
      <sheetName val="Transfert"/>
      <sheetName val="Feuil1"/>
    </sheetNames>
    <sheetDataSet>
      <sheetData sheetId="0">
        <row r="8">
          <cell r="AH8">
            <v>696</v>
          </cell>
          <cell r="AI8">
            <v>1175</v>
          </cell>
          <cell r="AJ8">
            <v>1022</v>
          </cell>
          <cell r="AK8">
            <v>1225.48</v>
          </cell>
          <cell r="AL8">
            <v>1283</v>
          </cell>
          <cell r="AM8">
            <v>1278</v>
          </cell>
        </row>
      </sheetData>
      <sheetData sheetId="1">
        <row r="7">
          <cell r="G7">
            <v>683</v>
          </cell>
          <cell r="H7">
            <v>1161</v>
          </cell>
          <cell r="I7">
            <v>1008</v>
          </cell>
          <cell r="J7">
            <v>1226</v>
          </cell>
          <cell r="K7">
            <v>1283</v>
          </cell>
          <cell r="L7">
            <v>1278</v>
          </cell>
          <cell r="M7">
            <v>1764</v>
          </cell>
          <cell r="N7">
            <v>2055</v>
          </cell>
          <cell r="O7">
            <v>1901</v>
          </cell>
          <cell r="P7">
            <v>2109</v>
          </cell>
        </row>
        <row r="8">
          <cell r="G8">
            <v>70</v>
          </cell>
          <cell r="H8">
            <v>84</v>
          </cell>
          <cell r="I8">
            <v>82</v>
          </cell>
          <cell r="J8">
            <v>79</v>
          </cell>
          <cell r="K8">
            <v>73</v>
          </cell>
          <cell r="L8">
            <v>73</v>
          </cell>
          <cell r="M8">
            <v>78</v>
          </cell>
          <cell r="N8">
            <v>87</v>
          </cell>
          <cell r="O8">
            <v>87</v>
          </cell>
          <cell r="P8">
            <v>96</v>
          </cell>
        </row>
        <row r="9">
          <cell r="G9">
            <v>424</v>
          </cell>
          <cell r="H9">
            <v>724</v>
          </cell>
          <cell r="I9">
            <v>426</v>
          </cell>
          <cell r="J9">
            <v>490</v>
          </cell>
          <cell r="K9">
            <v>326</v>
          </cell>
          <cell r="L9">
            <v>308</v>
          </cell>
          <cell r="M9">
            <v>440</v>
          </cell>
          <cell r="N9">
            <v>328</v>
          </cell>
          <cell r="O9">
            <v>226</v>
          </cell>
          <cell r="P9">
            <v>213</v>
          </cell>
        </row>
        <row r="10">
          <cell r="G10">
            <v>189</v>
          </cell>
          <cell r="H10">
            <v>353</v>
          </cell>
          <cell r="I10">
            <v>500</v>
          </cell>
          <cell r="J10">
            <v>655</v>
          </cell>
          <cell r="K10">
            <v>780</v>
          </cell>
          <cell r="L10">
            <v>789</v>
          </cell>
          <cell r="M10">
            <v>999</v>
          </cell>
          <cell r="N10">
            <v>1228</v>
          </cell>
          <cell r="O10">
            <v>1194</v>
          </cell>
          <cell r="P10">
            <v>1328</v>
          </cell>
        </row>
        <row r="11">
          <cell r="M11">
            <v>247</v>
          </cell>
          <cell r="N11">
            <v>411</v>
          </cell>
          <cell r="O11">
            <v>395</v>
          </cell>
          <cell r="P11">
            <v>473</v>
          </cell>
        </row>
        <row r="12">
          <cell r="G12">
            <v>17823</v>
          </cell>
          <cell r="H12">
            <v>18359</v>
          </cell>
          <cell r="I12">
            <v>18681</v>
          </cell>
          <cell r="J12">
            <v>19380</v>
          </cell>
          <cell r="K12">
            <v>19716</v>
          </cell>
          <cell r="L12">
            <v>20817</v>
          </cell>
          <cell r="M12">
            <v>20898</v>
          </cell>
          <cell r="N12">
            <v>21590</v>
          </cell>
          <cell r="O12">
            <v>20022</v>
          </cell>
          <cell r="P12">
            <v>21872</v>
          </cell>
        </row>
        <row r="13">
          <cell r="G13">
            <v>10792</v>
          </cell>
          <cell r="H13">
            <v>10753</v>
          </cell>
          <cell r="I13">
            <v>10202</v>
          </cell>
          <cell r="J13">
            <v>10487</v>
          </cell>
          <cell r="K13">
            <v>10870</v>
          </cell>
          <cell r="L13">
            <v>11636</v>
          </cell>
          <cell r="M13">
            <v>11261</v>
          </cell>
          <cell r="N13">
            <v>11298</v>
          </cell>
          <cell r="O13">
            <v>9935</v>
          </cell>
          <cell r="P13">
            <v>11245</v>
          </cell>
        </row>
        <row r="14">
          <cell r="G14">
            <v>3997</v>
          </cell>
          <cell r="H14">
            <v>3989</v>
          </cell>
          <cell r="I14">
            <v>4904</v>
          </cell>
          <cell r="J14">
            <v>5329</v>
          </cell>
          <cell r="K14">
            <v>5152</v>
          </cell>
          <cell r="L14">
            <v>5308</v>
          </cell>
          <cell r="M14">
            <v>6050</v>
          </cell>
        </row>
        <row r="16">
          <cell r="G16">
            <v>1162</v>
          </cell>
          <cell r="H16">
            <v>1136</v>
          </cell>
          <cell r="I16">
            <v>1086</v>
          </cell>
          <cell r="J16">
            <v>1125</v>
          </cell>
          <cell r="K16">
            <v>1144</v>
          </cell>
          <cell r="L16">
            <v>1135</v>
          </cell>
          <cell r="M16">
            <v>1024</v>
          </cell>
          <cell r="N16">
            <v>967</v>
          </cell>
          <cell r="O16">
            <v>751</v>
          </cell>
          <cell r="P16">
            <v>754</v>
          </cell>
        </row>
        <row r="21">
          <cell r="G21">
            <v>96.2</v>
          </cell>
          <cell r="H21">
            <v>93.7</v>
          </cell>
          <cell r="I21">
            <v>94.6</v>
          </cell>
          <cell r="J21">
            <v>93.7</v>
          </cell>
          <cell r="K21">
            <v>93.5</v>
          </cell>
          <cell r="L21">
            <v>93.9</v>
          </cell>
          <cell r="M21">
            <v>91.6</v>
          </cell>
          <cell r="N21">
            <v>90.48</v>
          </cell>
          <cell r="O21">
            <v>90.5</v>
          </cell>
          <cell r="P21">
            <v>90.36</v>
          </cell>
        </row>
        <row r="27">
          <cell r="G27">
            <v>1872</v>
          </cell>
          <cell r="H27">
            <v>2480.6</v>
          </cell>
          <cell r="I27">
            <v>2489</v>
          </cell>
          <cell r="J27">
            <v>3920</v>
          </cell>
          <cell r="K27">
            <v>2550</v>
          </cell>
          <cell r="L27">
            <v>2738</v>
          </cell>
          <cell r="M27">
            <v>2563</v>
          </cell>
          <cell r="N27">
            <v>1726</v>
          </cell>
          <cell r="O27">
            <v>1875</v>
          </cell>
          <cell r="P27">
            <v>1972</v>
          </cell>
        </row>
      </sheetData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1978"/>
      <sheetName val="Base1982"/>
      <sheetName val="Base 1987"/>
      <sheetName val="Base 1992"/>
      <sheetName val="Base 1998"/>
      <sheetName val="Base 2010"/>
      <sheetName val="base 2015"/>
      <sheetName val="tx de croissance"/>
      <sheetName val="Transfe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O5">
            <v>-3.2319391634980987</v>
          </cell>
          <cell r="P5">
            <v>-1.8664047151276897</v>
          </cell>
          <cell r="Q5">
            <v>3.3033033033033066</v>
          </cell>
          <cell r="R5">
            <v>-3.5852713178294637</v>
          </cell>
          <cell r="S5">
            <v>2.4120603015075348</v>
          </cell>
          <cell r="T5">
            <v>20.117762512266935</v>
          </cell>
          <cell r="U5">
            <v>4.330065359477131</v>
          </cell>
          <cell r="V5">
            <v>2.8816199376946905</v>
          </cell>
          <cell r="W5">
            <v>4.9962149886449536</v>
          </cell>
          <cell r="X5">
            <v>2.0908435472242193</v>
          </cell>
          <cell r="Y5">
            <v>-18.644067796610166</v>
          </cell>
        </row>
        <row r="6">
          <cell r="O6">
            <v>-0.19920318725099584</v>
          </cell>
          <cell r="P6">
            <v>1.7964071856287456</v>
          </cell>
          <cell r="Q6">
            <v>0.88235294117646745</v>
          </cell>
          <cell r="R6">
            <v>1.4577259475218707</v>
          </cell>
          <cell r="S6">
            <v>1.1494252873563093</v>
          </cell>
          <cell r="T6">
            <v>1.0416666666666741</v>
          </cell>
          <cell r="U6">
            <v>1.5932521087160367</v>
          </cell>
          <cell r="V6">
            <v>0.96153846153845812</v>
          </cell>
          <cell r="W6">
            <v>-6.6666666666666652</v>
          </cell>
          <cell r="X6">
            <v>2.6530612244897833</v>
          </cell>
          <cell r="Y6">
            <v>2.9821073558648159</v>
          </cell>
        </row>
        <row r="7">
          <cell r="O7">
            <v>-3.3206831119544589</v>
          </cell>
          <cell r="P7">
            <v>-2.0608439646712551</v>
          </cell>
          <cell r="Q7">
            <v>3.4068136272545235</v>
          </cell>
          <cell r="R7">
            <v>-3.7790697674418672</v>
          </cell>
          <cell r="S7">
            <v>2.4169184290030232</v>
          </cell>
          <cell r="T7">
            <v>21.140609636184848</v>
          </cell>
          <cell r="U7">
            <v>4.4642857142856984</v>
          </cell>
          <cell r="V7">
            <v>3.009259259259256</v>
          </cell>
          <cell r="W7">
            <v>5.4681647940074907</v>
          </cell>
          <cell r="X7">
            <v>2.0596590909090828</v>
          </cell>
          <cell r="Y7">
            <v>-19.415448851774531</v>
          </cell>
        </row>
      </sheetData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ations en valeur"/>
      <sheetName val="GU"/>
      <sheetName val="Exportationsdepuis 1980"/>
    </sheetNames>
    <sheetDataSet>
      <sheetData sheetId="0">
        <row r="62">
          <cell r="P62">
            <v>12826549.998259999</v>
          </cell>
          <cell r="Q62">
            <v>9097171.3406929988</v>
          </cell>
          <cell r="R62">
            <v>8203002.2169999992</v>
          </cell>
          <cell r="S62">
            <v>9979349.256000001</v>
          </cell>
          <cell r="T62">
            <v>7411918.0611659996</v>
          </cell>
          <cell r="U62">
            <v>8370225.1839999994</v>
          </cell>
          <cell r="V62">
            <v>8298147.290000001</v>
          </cell>
          <cell r="W62">
            <v>7310924.3659999995</v>
          </cell>
          <cell r="X62">
            <v>7337510.3459999999</v>
          </cell>
          <cell r="Y62">
            <v>8942957.3356180023</v>
          </cell>
          <cell r="Z62">
            <v>13390303.504584</v>
          </cell>
        </row>
        <row r="64">
          <cell r="U64">
            <v>430769.09742599947</v>
          </cell>
        </row>
        <row r="75">
          <cell r="P75">
            <v>35568418.46587</v>
          </cell>
          <cell r="Q75">
            <v>28234450.742358003</v>
          </cell>
          <cell r="R75">
            <v>30098211.648630001</v>
          </cell>
          <cell r="S75">
            <v>34421551.184369996</v>
          </cell>
          <cell r="T75">
            <v>32186542.947167002</v>
          </cell>
          <cell r="U75">
            <v>35839436.740174003</v>
          </cell>
          <cell r="V75">
            <v>43690563.770669997</v>
          </cell>
          <cell r="W75">
            <v>41634669.445577011</v>
          </cell>
          <cell r="X75">
            <v>43530311.586108997</v>
          </cell>
          <cell r="Y75">
            <v>71327774.441408992</v>
          </cell>
          <cell r="Z75">
            <v>102093430.854307</v>
          </cell>
        </row>
        <row r="77">
          <cell r="V77">
            <v>141944.75339699999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rives des phosphates"/>
      <sheetName val="Feuil2"/>
      <sheetName val="Feuil1"/>
      <sheetName val="Transfert"/>
      <sheetName val="X-phosphates et dérivés"/>
    </sheetNames>
    <sheetDataSet>
      <sheetData sheetId="0">
        <row r="8">
          <cell r="AH8">
            <v>4264.8379999999997</v>
          </cell>
          <cell r="AI8">
            <v>4464</v>
          </cell>
          <cell r="AJ8">
            <v>4525</v>
          </cell>
          <cell r="AK8">
            <v>4602</v>
          </cell>
          <cell r="AL8">
            <v>5021.1000000000004</v>
          </cell>
          <cell r="AM8">
            <v>5828.4</v>
          </cell>
          <cell r="AN8">
            <v>5829.4</v>
          </cell>
          <cell r="AO8">
            <v>5828.9</v>
          </cell>
          <cell r="AP8">
            <v>6184.4628999999995</v>
          </cell>
          <cell r="AQ8">
            <v>6100</v>
          </cell>
        </row>
      </sheetData>
      <sheetData sheetId="1"/>
      <sheetData sheetId="2"/>
      <sheetData sheetId="3"/>
      <sheetData sheetId="4">
        <row r="7">
          <cell r="P7">
            <v>1896.22337236</v>
          </cell>
          <cell r="Q7">
            <v>2076.4266875999997</v>
          </cell>
          <cell r="R7">
            <v>2148.0091816999998</v>
          </cell>
          <cell r="S7">
            <v>2108.6712540399999</v>
          </cell>
          <cell r="T7">
            <v>1900.0067900409999</v>
          </cell>
          <cell r="U7">
            <v>2000.6072929500001</v>
          </cell>
          <cell r="V7">
            <v>2064.5735819070001</v>
          </cell>
          <cell r="W7">
            <v>2091.773200916</v>
          </cell>
          <cell r="X7">
            <v>1931.4388729100001</v>
          </cell>
          <cell r="Y7">
            <v>2103.3369325989902</v>
          </cell>
        </row>
        <row r="17">
          <cell r="P17">
            <v>14666.598732479999</v>
          </cell>
          <cell r="Q17">
            <v>12052.904994298</v>
          </cell>
          <cell r="R17">
            <v>12781.050823</v>
          </cell>
          <cell r="S17">
            <v>16083.463406000001</v>
          </cell>
          <cell r="T17">
            <v>11162.001047078</v>
          </cell>
          <cell r="U17">
            <v>10636.596231879999</v>
          </cell>
          <cell r="V17">
            <v>13862.760700680001</v>
          </cell>
          <cell r="W17">
            <v>13584.420018000001</v>
          </cell>
          <cell r="X17">
            <v>11382.746064223</v>
          </cell>
          <cell r="Y17">
            <v>19692.150691105788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osphate"/>
      <sheetName val="volume par pays"/>
      <sheetName val="valeur par pays"/>
      <sheetName val="Transfert"/>
      <sheetName val="Feuil1"/>
    </sheetNames>
    <sheetDataSet>
      <sheetData sheetId="0">
        <row r="7">
          <cell r="AH7">
            <v>27060.311000000002</v>
          </cell>
          <cell r="AI7">
            <v>26400</v>
          </cell>
          <cell r="AJ7">
            <v>27390</v>
          </cell>
          <cell r="AK7">
            <v>26264</v>
          </cell>
          <cell r="AL7">
            <v>26928.7</v>
          </cell>
          <cell r="AM7">
            <v>32842</v>
          </cell>
          <cell r="AN7">
            <v>34315</v>
          </cell>
          <cell r="AO7">
            <v>35275.82</v>
          </cell>
          <cell r="AP7">
            <v>37441</v>
          </cell>
          <cell r="AQ7">
            <v>38114.938000000002</v>
          </cell>
          <cell r="AR7">
            <v>30456</v>
          </cell>
        </row>
        <row r="9">
          <cell r="AH9">
            <v>9100.1017040000006</v>
          </cell>
          <cell r="AI9">
            <v>8607.747998658002</v>
          </cell>
          <cell r="AJ9">
            <v>8738.0030559999996</v>
          </cell>
          <cell r="AK9">
            <v>8525.4179999999997</v>
          </cell>
          <cell r="AL9">
            <v>7903</v>
          </cell>
          <cell r="AM9">
            <v>11061.08417898</v>
          </cell>
          <cell r="AN9">
            <v>11250.933545004998</v>
          </cell>
          <cell r="AO9">
            <v>9495.4732849960001</v>
          </cell>
          <cell r="AP9">
            <v>10343.093752015</v>
          </cell>
          <cell r="AQ9">
            <v>9865</v>
          </cell>
          <cell r="AR9">
            <v>5219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antité"/>
      <sheetName val="Valeur"/>
      <sheetName val="Transfert"/>
    </sheetNames>
    <sheetDataSet>
      <sheetData sheetId="0">
        <row r="11">
          <cell r="AH11">
            <v>1170.982</v>
          </cell>
          <cell r="AI11">
            <v>1246.431</v>
          </cell>
          <cell r="AJ11">
            <v>1361.778</v>
          </cell>
          <cell r="AK11">
            <v>1369.3409999999999</v>
          </cell>
          <cell r="AL11">
            <v>1466.9349999999999</v>
          </cell>
          <cell r="AM11">
            <v>1386.0519999999999</v>
          </cell>
          <cell r="AN11">
            <v>1371.69</v>
          </cell>
          <cell r="AO11">
            <v>1461.307</v>
          </cell>
          <cell r="AP11">
            <v>1383</v>
          </cell>
          <cell r="AQ11">
            <v>1417.8320000000001</v>
          </cell>
          <cell r="AR11">
            <v>1556</v>
          </cell>
        </row>
        <row r="12">
          <cell r="AH12">
            <v>1108.519</v>
          </cell>
          <cell r="AI12">
            <v>1159.7380000000001</v>
          </cell>
          <cell r="AJ12">
            <v>1278.4590000000001</v>
          </cell>
          <cell r="AK12">
            <v>1270.126</v>
          </cell>
          <cell r="AL12">
            <v>1357.826</v>
          </cell>
          <cell r="AM12">
            <v>1285.787</v>
          </cell>
          <cell r="AN12">
            <v>1296.7570000000001</v>
          </cell>
          <cell r="AO12">
            <v>1378.2550000000001</v>
          </cell>
          <cell r="AP12">
            <v>1274.0840000000001</v>
          </cell>
          <cell r="AQ12">
            <v>1312.2529999999999</v>
          </cell>
          <cell r="AR12">
            <v>1499</v>
          </cell>
        </row>
        <row r="13">
          <cell r="AH13">
            <v>55.814</v>
          </cell>
          <cell r="AI13">
            <v>79.153999999999996</v>
          </cell>
          <cell r="AJ13">
            <v>72.022999999999996</v>
          </cell>
          <cell r="AK13">
            <v>78.432000000000002</v>
          </cell>
          <cell r="AL13">
            <v>81.766999999999996</v>
          </cell>
          <cell r="AM13">
            <v>73.242999999999995</v>
          </cell>
          <cell r="AN13">
            <v>57.293999999999997</v>
          </cell>
          <cell r="AO13">
            <v>64.168999999999997</v>
          </cell>
          <cell r="AP13">
            <v>82.569000000000003</v>
          </cell>
          <cell r="AQ13">
            <v>81.054000000000002</v>
          </cell>
        </row>
      </sheetData>
      <sheetData sheetId="1">
        <row r="11">
          <cell r="AH11">
            <v>7825.6930000000002</v>
          </cell>
          <cell r="AI11">
            <v>8799.6209999999992</v>
          </cell>
          <cell r="AJ11">
            <v>9625.9930000000004</v>
          </cell>
          <cell r="AK11">
            <v>10817.093999999999</v>
          </cell>
          <cell r="AL11">
            <v>11743.467000000001</v>
          </cell>
          <cell r="AM11">
            <v>12101.761</v>
          </cell>
          <cell r="AN11">
            <v>11580.701999999999</v>
          </cell>
          <cell r="AO11">
            <v>11699.675999999999</v>
          </cell>
          <cell r="AP11">
            <v>11281.026</v>
          </cell>
          <cell r="AQ11">
            <v>15063.891</v>
          </cell>
        </row>
        <row r="12">
          <cell r="AH12">
            <v>5095.6210000000001</v>
          </cell>
          <cell r="AI12">
            <v>5419.5730000000003</v>
          </cell>
          <cell r="AJ12">
            <v>6027.5749999999998</v>
          </cell>
          <cell r="AK12">
            <v>6528.018</v>
          </cell>
          <cell r="AL12">
            <v>6753.2809999999999</v>
          </cell>
          <cell r="AM12">
            <v>7194.84</v>
          </cell>
          <cell r="AN12">
            <v>7290.5290000000005</v>
          </cell>
          <cell r="AO12">
            <v>7282.1890000000003</v>
          </cell>
          <cell r="AP12">
            <v>6636.326</v>
          </cell>
          <cell r="AQ12">
            <v>9031.6110000000008</v>
          </cell>
          <cell r="AR12">
            <v>9705.1710000000003</v>
          </cell>
        </row>
        <row r="13">
          <cell r="AH13">
            <v>2512.0770000000002</v>
          </cell>
          <cell r="AI13">
            <v>3175.672</v>
          </cell>
          <cell r="AJ13">
            <v>3433.7959999999998</v>
          </cell>
          <cell r="AK13">
            <v>4065.4520000000002</v>
          </cell>
          <cell r="AL13">
            <v>4708.2979999999998</v>
          </cell>
          <cell r="AM13">
            <v>4592.3559999999998</v>
          </cell>
          <cell r="AN13">
            <v>3949.7359999999999</v>
          </cell>
          <cell r="AO13">
            <v>4023.212</v>
          </cell>
          <cell r="AP13">
            <v>4157.63</v>
          </cell>
          <cell r="AQ13">
            <v>5682.2650000000003</v>
          </cell>
        </row>
      </sheetData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otte_peche"/>
      <sheetName val="Transfert"/>
    </sheetNames>
    <sheetDataSet>
      <sheetData sheetId="0">
        <row r="7">
          <cell r="AH7">
            <v>3009</v>
          </cell>
          <cell r="AI7">
            <v>2949</v>
          </cell>
          <cell r="AJ7">
            <v>2959</v>
          </cell>
          <cell r="AK7">
            <v>2960</v>
          </cell>
          <cell r="AL7">
            <v>2963</v>
          </cell>
          <cell r="AM7">
            <v>2976</v>
          </cell>
          <cell r="AN7">
            <v>2993</v>
          </cell>
          <cell r="AO7">
            <v>2981</v>
          </cell>
          <cell r="AP7">
            <v>2994</v>
          </cell>
          <cell r="AQ7">
            <v>2963</v>
          </cell>
        </row>
        <row r="8">
          <cell r="AH8">
            <v>2525</v>
          </cell>
          <cell r="AI8">
            <v>2505</v>
          </cell>
          <cell r="AJ8">
            <v>2514</v>
          </cell>
          <cell r="AK8">
            <v>2500</v>
          </cell>
          <cell r="AL8">
            <v>2509</v>
          </cell>
          <cell r="AM8">
            <v>2522</v>
          </cell>
          <cell r="AN8">
            <v>2536</v>
          </cell>
          <cell r="AO8">
            <v>2524</v>
          </cell>
          <cell r="AP8">
            <v>2528</v>
          </cell>
          <cell r="AQ8">
            <v>2498</v>
          </cell>
        </row>
        <row r="10">
          <cell r="AH10">
            <v>270077</v>
          </cell>
          <cell r="AI10">
            <v>272511</v>
          </cell>
          <cell r="AJ10">
            <v>276567</v>
          </cell>
          <cell r="AK10">
            <v>283313</v>
          </cell>
          <cell r="AL10">
            <v>287626</v>
          </cell>
          <cell r="AM10">
            <v>291534</v>
          </cell>
          <cell r="AN10">
            <v>295246</v>
          </cell>
          <cell r="AO10">
            <v>296147</v>
          </cell>
          <cell r="AP10">
            <v>304548</v>
          </cell>
          <cell r="AQ10">
            <v>306395</v>
          </cell>
        </row>
        <row r="11">
          <cell r="AH11">
            <v>123575</v>
          </cell>
          <cell r="AI11">
            <v>125262</v>
          </cell>
          <cell r="AJ11">
            <v>127583</v>
          </cell>
          <cell r="AK11">
            <v>128733</v>
          </cell>
          <cell r="AL11">
            <v>133046</v>
          </cell>
          <cell r="AM11">
            <v>136954</v>
          </cell>
          <cell r="AN11">
            <v>139954</v>
          </cell>
          <cell r="AO11">
            <v>142092</v>
          </cell>
          <cell r="AP11">
            <v>145045</v>
          </cell>
          <cell r="AQ11">
            <v>145080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ettes Voyages par Pays"/>
      <sheetName val="Manar"/>
    </sheetNames>
    <sheetDataSet>
      <sheetData sheetId="0">
        <row r="42">
          <cell r="X42">
            <v>57834.499999999971</v>
          </cell>
          <cell r="Y42">
            <v>57614.699999999983</v>
          </cell>
          <cell r="Z42">
            <v>62033.8</v>
          </cell>
          <cell r="AA42">
            <v>61149.599999999999</v>
          </cell>
          <cell r="AB42">
            <v>64226</v>
          </cell>
          <cell r="AC42">
            <v>72126.5</v>
          </cell>
          <cell r="AD42">
            <v>73022.3</v>
          </cell>
          <cell r="AE42">
            <v>78747.400000000009</v>
          </cell>
          <cell r="AF42">
            <v>36449.699999999997</v>
          </cell>
          <cell r="AG42">
            <v>34310.400000000001</v>
          </cell>
          <cell r="AH42">
            <v>93638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. cheptel"/>
      <sheetName val="Eff. abattages controles"/>
      <sheetName val="Poids de la viande"/>
      <sheetName val="Detail"/>
      <sheetName val="Transfert"/>
      <sheetName val="Nbr Exploitations"/>
    </sheetNames>
    <sheetDataSet>
      <sheetData sheetId="0">
        <row r="15">
          <cell r="AH15">
            <v>3029.1800000000003</v>
          </cell>
          <cell r="AI15">
            <v>3172.98</v>
          </cell>
          <cell r="AJ15">
            <v>3250</v>
          </cell>
          <cell r="AK15">
            <v>3291.0503463877608</v>
          </cell>
          <cell r="AL15">
            <v>3338</v>
          </cell>
          <cell r="AM15">
            <v>3364</v>
          </cell>
          <cell r="AN15">
            <v>3441.2</v>
          </cell>
          <cell r="AO15">
            <v>3339</v>
          </cell>
          <cell r="AP15">
            <v>3176</v>
          </cell>
          <cell r="AQ15">
            <v>2965.2</v>
          </cell>
          <cell r="AR15">
            <v>3101</v>
          </cell>
        </row>
        <row r="16">
          <cell r="AH16">
            <v>19006.079999999998</v>
          </cell>
          <cell r="AI16">
            <v>19137</v>
          </cell>
          <cell r="AJ16">
            <v>19230.835325530817</v>
          </cell>
          <cell r="AK16">
            <v>18509.599999999999</v>
          </cell>
          <cell r="AL16">
            <v>19863</v>
          </cell>
          <cell r="AM16">
            <v>19864</v>
          </cell>
          <cell r="AN16">
            <v>19880.2</v>
          </cell>
          <cell r="AO16">
            <v>21592</v>
          </cell>
          <cell r="AP16">
            <v>22107</v>
          </cell>
          <cell r="AQ16">
            <v>22011.5</v>
          </cell>
          <cell r="AR16">
            <v>21801</v>
          </cell>
        </row>
        <row r="17">
          <cell r="AH17">
            <v>5601.5</v>
          </cell>
          <cell r="AI17">
            <v>5700</v>
          </cell>
          <cell r="AJ17">
            <v>6147.2248944900111</v>
          </cell>
          <cell r="AK17">
            <v>6231.3858246039399</v>
          </cell>
          <cell r="AL17">
            <v>5965</v>
          </cell>
          <cell r="AM17">
            <v>5741</v>
          </cell>
          <cell r="AN17">
            <v>5731</v>
          </cell>
          <cell r="AO17">
            <v>5994</v>
          </cell>
          <cell r="AP17">
            <v>5981</v>
          </cell>
          <cell r="AQ17">
            <v>6075.6</v>
          </cell>
          <cell r="AR17">
            <v>6045</v>
          </cell>
        </row>
      </sheetData>
      <sheetData sheetId="1"/>
      <sheetData sheetId="2">
        <row r="9">
          <cell r="AH9">
            <v>228.09159600000001</v>
          </cell>
          <cell r="AI9">
            <v>271.59800000000001</v>
          </cell>
          <cell r="AJ9">
            <v>222</v>
          </cell>
          <cell r="AK9">
            <v>216</v>
          </cell>
          <cell r="AL9">
            <v>300.02999999999997</v>
          </cell>
          <cell r="AM9">
            <v>286.8</v>
          </cell>
          <cell r="AN9">
            <v>271.80199999999996</v>
          </cell>
          <cell r="AO9">
            <v>242.03400000000002</v>
          </cell>
          <cell r="AP9">
            <v>236.893</v>
          </cell>
          <cell r="AQ9">
            <v>287.60599999999999</v>
          </cell>
        </row>
        <row r="10">
          <cell r="AH10">
            <v>170.47422</v>
          </cell>
          <cell r="AI10">
            <v>212.47200000000001</v>
          </cell>
          <cell r="AJ10">
            <v>173</v>
          </cell>
          <cell r="AK10">
            <v>177</v>
          </cell>
          <cell r="AL10">
            <v>244.68899999999999</v>
          </cell>
          <cell r="AM10">
            <v>225.483</v>
          </cell>
          <cell r="AN10">
            <v>214.35300000000001</v>
          </cell>
          <cell r="AO10">
            <v>183.541</v>
          </cell>
          <cell r="AP10">
            <v>180.37799999999999</v>
          </cell>
          <cell r="AQ10">
            <v>220.55799999999999</v>
          </cell>
        </row>
        <row r="11">
          <cell r="AH11">
            <v>38.063781000000006</v>
          </cell>
          <cell r="AI11">
            <v>38.21</v>
          </cell>
          <cell r="AJ11">
            <v>28</v>
          </cell>
          <cell r="AK11">
            <v>25</v>
          </cell>
          <cell r="AL11">
            <v>35.902999999999999</v>
          </cell>
          <cell r="AM11">
            <v>41.253</v>
          </cell>
          <cell r="AN11">
            <v>40.131999999999998</v>
          </cell>
          <cell r="AO11">
            <v>40.698</v>
          </cell>
          <cell r="AP11">
            <v>41.28</v>
          </cell>
          <cell r="AQ11">
            <v>49.89</v>
          </cell>
        </row>
        <row r="12">
          <cell r="AH12">
            <v>13.553595</v>
          </cell>
          <cell r="AI12">
            <v>15.416</v>
          </cell>
          <cell r="AJ12">
            <v>15</v>
          </cell>
          <cell r="AK12">
            <v>10</v>
          </cell>
          <cell r="AL12">
            <v>15.367000000000001</v>
          </cell>
          <cell r="AM12">
            <v>16.298999999999999</v>
          </cell>
          <cell r="AN12">
            <v>13.327999999999999</v>
          </cell>
          <cell r="AO12">
            <v>13.77</v>
          </cell>
          <cell r="AP12">
            <v>11.483000000000001</v>
          </cell>
          <cell r="AQ12">
            <v>13.362</v>
          </cell>
        </row>
      </sheetData>
      <sheetData sheetId="3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ion_cultures_maraicheres"/>
      <sheetName val="Supérficie_cultures_maraich"/>
      <sheetName val="Détail Prod"/>
      <sheetName val="11"/>
      <sheetName val="12"/>
      <sheetName val="13"/>
      <sheetName val="Transfert"/>
    </sheetNames>
    <sheetDataSet>
      <sheetData sheetId="0">
        <row r="17">
          <cell r="AF17">
            <v>7685.2333499999977</v>
          </cell>
          <cell r="AG17">
            <v>7957.6690250805386</v>
          </cell>
          <cell r="AH17">
            <v>7693.6474499999995</v>
          </cell>
          <cell r="AI17">
            <v>7708.0140000000001</v>
          </cell>
          <cell r="AJ17">
            <v>6949.1100000000006</v>
          </cell>
          <cell r="AK17">
            <v>7398.9422636363634</v>
          </cell>
          <cell r="AL17">
            <v>7831.519690000001</v>
          </cell>
          <cell r="AM17">
            <v>7206.1174000000001</v>
          </cell>
          <cell r="AN17">
            <v>7124.45435</v>
          </cell>
          <cell r="AO17">
            <v>7304.5379999999996</v>
          </cell>
        </row>
        <row r="18">
          <cell r="AF18">
            <v>1219.0715000000002</v>
          </cell>
          <cell r="AG18">
            <v>1293</v>
          </cell>
          <cell r="AH18">
            <v>1155.6557</v>
          </cell>
          <cell r="AI18">
            <v>1335.0410000000002</v>
          </cell>
          <cell r="AJ18">
            <v>1196.8779999999999</v>
          </cell>
          <cell r="AK18">
            <v>1223.721</v>
          </cell>
          <cell r="AL18">
            <v>1330.3172</v>
          </cell>
          <cell r="AM18">
            <v>1347.085</v>
          </cell>
          <cell r="AN18">
            <v>1338.9811000000002</v>
          </cell>
          <cell r="AO18">
            <v>1235.9659999999999</v>
          </cell>
        </row>
        <row r="19">
          <cell r="AF19">
            <v>1656.8910000000003</v>
          </cell>
          <cell r="AG19">
            <v>1929</v>
          </cell>
          <cell r="AH19">
            <v>1950.9815000000001</v>
          </cell>
          <cell r="AI19">
            <v>1922.0990000000002</v>
          </cell>
          <cell r="AJ19">
            <v>1764.1165000000001</v>
          </cell>
          <cell r="AK19">
            <v>1924.8718636363637</v>
          </cell>
          <cell r="AL19">
            <v>1869.1489999999999</v>
          </cell>
          <cell r="AM19">
            <v>1864.384</v>
          </cell>
          <cell r="AN19">
            <v>1707.0682000000002</v>
          </cell>
          <cell r="AO19">
            <v>1641.8529999999998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cipaux rendements agricoles"/>
      <sheetName val="Manar"/>
      <sheetName val="détail"/>
      <sheetName val="Transfert"/>
    </sheetNames>
    <sheetDataSet>
      <sheetData sheetId="0">
        <row r="10">
          <cell r="AG10">
            <v>10.161768294597072</v>
          </cell>
          <cell r="AH10">
            <v>18.296300170473089</v>
          </cell>
          <cell r="AI10">
            <v>14.549928727272311</v>
          </cell>
          <cell r="AJ10">
            <v>21.423471260395079</v>
          </cell>
          <cell r="AK10">
            <v>9.3565578504357543</v>
          </cell>
          <cell r="AL10">
            <v>17.586229519548798</v>
          </cell>
          <cell r="AM10">
            <v>22.467586521746689</v>
          </cell>
          <cell r="AN10">
            <v>14.549681773290905</v>
          </cell>
          <cell r="AO10">
            <v>7.4745097154205489</v>
          </cell>
          <cell r="AP10">
            <v>23.360274016372227</v>
          </cell>
          <cell r="AQ10">
            <v>9.5211425371044527</v>
          </cell>
        </row>
        <row r="11">
          <cell r="AG11">
            <v>11.780414507125883</v>
          </cell>
          <cell r="AH11">
            <v>20.078736190877585</v>
          </cell>
          <cell r="AI11">
            <v>15.586300952750525</v>
          </cell>
          <cell r="AJ11">
            <v>24.155556099578224</v>
          </cell>
          <cell r="AK11">
            <v>10.443612522513812</v>
          </cell>
          <cell r="AL11">
            <v>20.215718809896991</v>
          </cell>
          <cell r="AM11">
            <v>24.401831457359641</v>
          </cell>
          <cell r="AN11">
            <v>16.41199462562599</v>
          </cell>
          <cell r="AO11">
            <v>7.9726165307560661</v>
          </cell>
          <cell r="AP11">
            <v>25.135365569738116</v>
          </cell>
          <cell r="AQ11">
            <v>9.7472924187725631</v>
          </cell>
        </row>
        <row r="12">
          <cell r="AG12">
            <v>12.586169076107131</v>
          </cell>
          <cell r="AH12">
            <v>22.29306916154481</v>
          </cell>
          <cell r="AI12">
            <v>17.803884325175044</v>
          </cell>
          <cell r="AJ12">
            <v>24.909375089841976</v>
          </cell>
          <cell r="AK12">
            <v>11.778873715826501</v>
          </cell>
          <cell r="AL12">
            <v>21.301595526950646</v>
          </cell>
          <cell r="AM12">
            <v>25.959379844141566</v>
          </cell>
          <cell r="AN12">
            <v>15.893142891009305</v>
          </cell>
          <cell r="AO12">
            <v>9.5572354211663075</v>
          </cell>
          <cell r="AP12">
            <v>26.966568744315005</v>
          </cell>
          <cell r="AQ12">
            <v>11.797752808988765</v>
          </cell>
        </row>
        <row r="13">
          <cell r="AG13">
            <v>6.3460304744652651</v>
          </cell>
          <cell r="AH13">
            <v>13.840823752792824</v>
          </cell>
          <cell r="AI13">
            <v>10.33352064260588</v>
          </cell>
          <cell r="AJ13">
            <v>16.983568805367572</v>
          </cell>
          <cell r="AK13">
            <v>5.1334125528417571</v>
          </cell>
          <cell r="AL13">
            <v>12.323233938204512</v>
          </cell>
          <cell r="AM13">
            <v>18.261704030825431</v>
          </cell>
          <cell r="AN13">
            <v>11.056751095029517</v>
          </cell>
          <cell r="AO13">
            <v>4.3145819397993312</v>
          </cell>
          <cell r="AP13">
            <v>18.669345855013592</v>
          </cell>
          <cell r="AQ13">
            <v>6.1565523306948107</v>
          </cell>
        </row>
        <row r="14">
          <cell r="AG14">
            <v>7.6458813559322039</v>
          </cell>
          <cell r="AH14">
            <v>6.6321508370479325</v>
          </cell>
          <cell r="AI14">
            <v>7.0848326991494899</v>
          </cell>
          <cell r="AJ14">
            <v>7.5441702985702594</v>
          </cell>
          <cell r="AK14">
            <v>9.2751809832522962</v>
          </cell>
          <cell r="AL14">
            <v>9.3618525798901668</v>
          </cell>
          <cell r="AM14">
            <v>7.9890402083980074</v>
          </cell>
          <cell r="AN14">
            <v>6.39652448657188</v>
          </cell>
          <cell r="AO14">
            <v>4.2039381153305202</v>
          </cell>
          <cell r="AP14">
            <v>5.3063889676842182</v>
          </cell>
        </row>
        <row r="16">
          <cell r="AG16">
            <v>6.7990430080482893</v>
          </cell>
          <cell r="AH16">
            <v>7.3251452729783502</v>
          </cell>
          <cell r="AI16">
            <v>8.3905384981161291</v>
          </cell>
          <cell r="AJ16">
            <v>6.4423980974395452</v>
          </cell>
          <cell r="AK16">
            <v>3.431634404803956</v>
          </cell>
          <cell r="AL16">
            <v>7.8625192239858901</v>
          </cell>
          <cell r="AM16">
            <v>8.5287139497426576</v>
          </cell>
          <cell r="AN16">
            <v>7.9153439153439153</v>
          </cell>
          <cell r="AO16">
            <v>5.4994483265906586</v>
          </cell>
          <cell r="AP16">
            <v>11.496814679390846</v>
          </cell>
        </row>
        <row r="17">
          <cell r="AG17">
            <v>19.466433566433565</v>
          </cell>
          <cell r="AH17">
            <v>17.138899531401965</v>
          </cell>
          <cell r="AI17">
            <v>17.576469963914242</v>
          </cell>
          <cell r="AJ17">
            <v>16.815887958640378</v>
          </cell>
          <cell r="AK17">
            <v>12.390297931538237</v>
          </cell>
          <cell r="AL17">
            <v>17.896853560444761</v>
          </cell>
          <cell r="AM17">
            <v>19.987011331444759</v>
          </cell>
          <cell r="AN17">
            <v>16.288659793814432</v>
          </cell>
          <cell r="AO17">
            <v>16.283687943262411</v>
          </cell>
          <cell r="AP17">
            <v>19.049367923639249</v>
          </cell>
        </row>
        <row r="18">
          <cell r="AG18">
            <v>15.141880341880343</v>
          </cell>
          <cell r="AH18">
            <v>11.166059037986592</v>
          </cell>
          <cell r="AI18">
            <v>13.09608574983252</v>
          </cell>
          <cell r="AJ18">
            <v>14.178879835413223</v>
          </cell>
          <cell r="AK18">
            <v>7.9478902564372884</v>
          </cell>
          <cell r="AL18">
            <v>12.570039116185644</v>
          </cell>
          <cell r="AM18">
            <v>17.328179723502306</v>
          </cell>
          <cell r="AN18">
            <v>13.270270270270272</v>
          </cell>
          <cell r="AO18">
            <v>12.108108108108109</v>
          </cell>
          <cell r="AP18">
            <v>15.105980596831632</v>
          </cell>
        </row>
        <row r="19">
          <cell r="AG19">
            <v>23.45032258064516</v>
          </cell>
          <cell r="AH19">
            <v>23.797546012269937</v>
          </cell>
          <cell r="AI19">
            <v>23.850839030453699</v>
          </cell>
          <cell r="AJ19">
            <v>24.339350180505416</v>
          </cell>
          <cell r="AK19">
            <v>23.728901922450309</v>
          </cell>
          <cell r="AL19">
            <v>25.412517780938835</v>
          </cell>
          <cell r="AM19">
            <v>24.924031007751935</v>
          </cell>
          <cell r="AN19">
            <v>25.928104575163395</v>
          </cell>
          <cell r="AO19">
            <v>26.235714285714288</v>
          </cell>
          <cell r="AP19">
            <v>27.376692960261945</v>
          </cell>
        </row>
        <row r="20">
          <cell r="AG20">
            <v>144.12024786245229</v>
          </cell>
          <cell r="AH20">
            <v>180.27272082294874</v>
          </cell>
          <cell r="AI20">
            <v>574.23454366220324</v>
          </cell>
          <cell r="AJ20">
            <v>616.69648286885752</v>
          </cell>
          <cell r="AK20">
            <v>661.74152564102553</v>
          </cell>
          <cell r="AL20">
            <v>627.95247526489754</v>
          </cell>
          <cell r="AM20">
            <v>690.05231419457743</v>
          </cell>
          <cell r="AN20">
            <v>614.86131386861314</v>
          </cell>
          <cell r="AO20">
            <v>637.46397694524489</v>
          </cell>
          <cell r="AP20">
            <v>582.67733089579519</v>
          </cell>
        </row>
        <row r="21">
          <cell r="AG21">
            <v>523.16276975525034</v>
          </cell>
          <cell r="AH21">
            <v>575.78846929176188</v>
          </cell>
          <cell r="AI21">
            <v>605.92524644030664</v>
          </cell>
          <cell r="AJ21">
            <v>636.29494273877037</v>
          </cell>
          <cell r="AK21">
            <v>705.50543645484947</v>
          </cell>
          <cell r="AL21">
            <v>647.37735027983183</v>
          </cell>
          <cell r="AM21">
            <v>687.1323000000001</v>
          </cell>
          <cell r="AN21">
            <v>645.60839160839157</v>
          </cell>
          <cell r="AO21">
            <v>630.47743055555554</v>
          </cell>
          <cell r="AP21">
            <v>569.46703539823</v>
          </cell>
        </row>
        <row r="22">
          <cell r="AG22">
            <v>345.14801582238101</v>
          </cell>
          <cell r="AH22">
            <v>350.00323478035841</v>
          </cell>
          <cell r="AI22">
            <v>362.10592845405131</v>
          </cell>
          <cell r="AJ22">
            <v>475.98384859025839</v>
          </cell>
          <cell r="AK22">
            <v>408.76269886908187</v>
          </cell>
          <cell r="AL22">
            <v>522.00358625896558</v>
          </cell>
          <cell r="AM22">
            <v>708.17654022988518</v>
          </cell>
          <cell r="AN22">
            <v>459.25663716814159</v>
          </cell>
          <cell r="AO22">
            <v>671.60169491525414</v>
          </cell>
          <cell r="AP22">
            <v>645.53052631578942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cipales cultures"/>
      <sheetName val="détail"/>
      <sheetName val="Manar"/>
      <sheetName val="Transfert"/>
      <sheetName val="Transfert (2)"/>
      <sheetName val="70-71_79-80"/>
    </sheetNames>
    <sheetDataSet>
      <sheetData sheetId="0">
        <row r="10">
          <cell r="AH10">
            <v>53011.912839254008</v>
          </cell>
          <cell r="AI10">
            <v>98640.458520841989</v>
          </cell>
          <cell r="AJ10">
            <v>69306.706223567249</v>
          </cell>
          <cell r="AK10">
            <v>116902.49466495398</v>
          </cell>
          <cell r="AL10">
            <v>35512.471000000005</v>
          </cell>
          <cell r="AM10">
            <v>97775.092329999999</v>
          </cell>
          <cell r="AN10">
            <v>104677.18210000001</v>
          </cell>
          <cell r="AO10">
            <v>53036.500000000007</v>
          </cell>
          <cell r="AP10">
            <v>33120.299999999996</v>
          </cell>
          <cell r="AQ10">
            <v>104548.88299999993</v>
          </cell>
          <cell r="AR10">
            <v>34000</v>
          </cell>
        </row>
        <row r="11">
          <cell r="AH11">
            <v>11348.756557295004</v>
          </cell>
          <cell r="AI11">
            <v>18972.34</v>
          </cell>
          <cell r="AJ11">
            <v>14101.783718505802</v>
          </cell>
          <cell r="AK11">
            <v>24069.465697639327</v>
          </cell>
          <cell r="AL11">
            <v>8749.8569999999982</v>
          </cell>
          <cell r="AM11">
            <v>21990.76</v>
          </cell>
          <cell r="AN11">
            <v>24319.7925</v>
          </cell>
          <cell r="AO11">
            <v>13436.5</v>
          </cell>
          <cell r="AP11">
            <v>7919.2</v>
          </cell>
          <cell r="AQ11">
            <v>24831.478999999981</v>
          </cell>
          <cell r="AR11">
            <v>8100</v>
          </cell>
        </row>
        <row r="12">
          <cell r="AH12">
            <v>27430.913593662997</v>
          </cell>
          <cell r="AI12">
            <v>50367.485999999997</v>
          </cell>
          <cell r="AJ12">
            <v>37057.058246072309</v>
          </cell>
          <cell r="AK12">
            <v>56677.123151295418</v>
          </cell>
          <cell r="AL12">
            <v>18561.373</v>
          </cell>
          <cell r="AM12">
            <v>48917.41</v>
          </cell>
          <cell r="AN12">
            <v>49101.128600000004</v>
          </cell>
          <cell r="AO12">
            <v>26816.5</v>
          </cell>
          <cell r="AP12">
            <v>17700</v>
          </cell>
          <cell r="AQ12">
            <v>50606.999999999964</v>
          </cell>
          <cell r="AR12">
            <v>18900</v>
          </cell>
        </row>
        <row r="13">
          <cell r="AH13">
            <v>12013.884688295997</v>
          </cell>
          <cell r="AI13">
            <v>27226.215199999999</v>
          </cell>
          <cell r="AJ13">
            <v>16380.86225898912</v>
          </cell>
          <cell r="AK13">
            <v>33969.922916019226</v>
          </cell>
          <cell r="AL13">
            <v>6199.1859999999988</v>
          </cell>
          <cell r="AM13">
            <v>24664.62</v>
          </cell>
          <cell r="AN13">
            <v>29194.620999999999</v>
          </cell>
          <cell r="AO13">
            <v>11611.8</v>
          </cell>
          <cell r="AP13">
            <v>6450.3</v>
          </cell>
          <cell r="AQ13">
            <v>27803.45399999998</v>
          </cell>
          <cell r="AR13">
            <v>7000</v>
          </cell>
        </row>
        <row r="14">
          <cell r="AH14">
            <v>902.21400000000006</v>
          </cell>
          <cell r="AI14">
            <v>1181.3585</v>
          </cell>
          <cell r="AJ14">
            <v>973.78899999999999</v>
          </cell>
          <cell r="AK14">
            <v>950.31649999999991</v>
          </cell>
          <cell r="AL14">
            <v>1287.627</v>
          </cell>
          <cell r="AM14">
            <v>1223.9873300000002</v>
          </cell>
          <cell r="AN14">
            <v>1183.8</v>
          </cell>
          <cell r="AO14">
            <v>404.9</v>
          </cell>
          <cell r="AP14">
            <v>298.89999999999998</v>
          </cell>
          <cell r="AQ14">
            <v>486.37300000000005</v>
          </cell>
        </row>
        <row r="16">
          <cell r="AH16">
            <v>2703.2995000000001</v>
          </cell>
          <cell r="AI16">
            <v>2933.3763999999996</v>
          </cell>
          <cell r="AJ16">
            <v>3163.8128000000002</v>
          </cell>
          <cell r="AK16">
            <v>2692.9224047297298</v>
          </cell>
          <cell r="AL16">
            <v>971.49570000000006</v>
          </cell>
          <cell r="AM16">
            <v>2229.0241999999998</v>
          </cell>
          <cell r="AN16">
            <v>2817.0342175999999</v>
          </cell>
          <cell r="AO16">
            <v>2244</v>
          </cell>
          <cell r="AP16">
            <v>1495.3</v>
          </cell>
          <cell r="AQ16">
            <v>3002.7667999999999</v>
          </cell>
          <cell r="AR16">
            <v>1003</v>
          </cell>
        </row>
        <row r="17">
          <cell r="AH17">
            <v>556.7399999999999</v>
          </cell>
          <cell r="AI17">
            <v>581.54</v>
          </cell>
          <cell r="AJ17">
            <v>662.42200000000003</v>
          </cell>
          <cell r="AK17">
            <v>871.702</v>
          </cell>
          <cell r="AL17">
            <v>675.11449999999991</v>
          </cell>
          <cell r="AM17">
            <v>605.20000000000005</v>
          </cell>
          <cell r="AN17">
            <v>705.54150000000004</v>
          </cell>
          <cell r="AO17">
            <v>790</v>
          </cell>
          <cell r="AP17">
            <v>688.8</v>
          </cell>
          <cell r="AQ17">
            <v>707.48399999999992</v>
          </cell>
          <cell r="AR17">
            <v>585</v>
          </cell>
        </row>
        <row r="18">
          <cell r="AH18">
            <v>177.16</v>
          </cell>
          <cell r="AI18">
            <v>189.89</v>
          </cell>
          <cell r="AJ18">
            <v>273.68200000000002</v>
          </cell>
          <cell r="AK18">
            <v>523.78199999999993</v>
          </cell>
          <cell r="AL18">
            <v>301.5668</v>
          </cell>
          <cell r="AM18">
            <v>237.8</v>
          </cell>
          <cell r="AN18">
            <v>376.0215</v>
          </cell>
          <cell r="AO18">
            <v>294.60000000000002</v>
          </cell>
          <cell r="AP18">
            <v>224</v>
          </cell>
          <cell r="AQ18">
            <v>246.01599999999999</v>
          </cell>
        </row>
        <row r="19">
          <cell r="AH19">
            <v>363.47999999999996</v>
          </cell>
          <cell r="AI19">
            <v>387.9</v>
          </cell>
          <cell r="AJ19">
            <v>383.76</v>
          </cell>
          <cell r="AK19">
            <v>337.1</v>
          </cell>
          <cell r="AL19">
            <v>364.12</v>
          </cell>
          <cell r="AM19">
            <v>357.3</v>
          </cell>
          <cell r="AN19">
            <v>321.52</v>
          </cell>
          <cell r="AO19">
            <v>396.7</v>
          </cell>
          <cell r="AP19">
            <v>367.3</v>
          </cell>
          <cell r="AQ19">
            <v>367.88800000000003</v>
          </cell>
        </row>
        <row r="20">
          <cell r="AH20">
            <v>21676.55</v>
          </cell>
          <cell r="AI20">
            <v>26832.21</v>
          </cell>
          <cell r="AJ20">
            <v>34950.785499999998</v>
          </cell>
          <cell r="AK20">
            <v>42794.369700000003</v>
          </cell>
          <cell r="AL20">
            <v>46454.255099999995</v>
          </cell>
          <cell r="AM20">
            <v>42945.450000000004</v>
          </cell>
          <cell r="AN20">
            <v>43266.280100000004</v>
          </cell>
          <cell r="AO20">
            <v>42118</v>
          </cell>
          <cell r="AP20">
            <v>44240</v>
          </cell>
          <cell r="AQ20">
            <v>31872.45</v>
          </cell>
          <cell r="AR20">
            <v>24699</v>
          </cell>
        </row>
        <row r="21">
          <cell r="AH21">
            <v>16266.7</v>
          </cell>
          <cell r="AI21">
            <v>21422.21</v>
          </cell>
          <cell r="AJ21">
            <v>32086.165499999999</v>
          </cell>
          <cell r="AK21">
            <v>38756.375</v>
          </cell>
          <cell r="AL21">
            <v>42189.225099999996</v>
          </cell>
          <cell r="AM21">
            <v>37414.300000000003</v>
          </cell>
          <cell r="AN21">
            <v>37105.144200000002</v>
          </cell>
          <cell r="AO21">
            <v>36928.800000000003</v>
          </cell>
          <cell r="AP21">
            <v>36315.5</v>
          </cell>
          <cell r="AQ21">
            <v>25739.91</v>
          </cell>
        </row>
        <row r="22">
          <cell r="AH22">
            <v>5409.8499999999995</v>
          </cell>
          <cell r="AI22">
            <v>5410</v>
          </cell>
          <cell r="AJ22">
            <v>2864.62</v>
          </cell>
          <cell r="AK22">
            <v>4037.9946999999997</v>
          </cell>
          <cell r="AL22">
            <v>4265.03</v>
          </cell>
          <cell r="AM22">
            <v>5531.15</v>
          </cell>
          <cell r="AN22">
            <v>6161.1359000000002</v>
          </cell>
          <cell r="AO22">
            <v>5189.6000000000004</v>
          </cell>
          <cell r="AP22">
            <v>7924.9</v>
          </cell>
          <cell r="AQ22">
            <v>6132.54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erficie principales cultures"/>
      <sheetName val="detail"/>
      <sheetName val="Superficie cultuvee total"/>
      <sheetName val="Manar"/>
      <sheetName val="Superficie cultuvable"/>
      <sheetName val="Exploitations et SAU"/>
      <sheetName val="superficie irriguée"/>
      <sheetName val="Transfert"/>
      <sheetName val="Principales cultures"/>
    </sheetNames>
    <sheetDataSet>
      <sheetData sheetId="0">
        <row r="10">
          <cell r="AG10">
            <v>5216.8</v>
          </cell>
          <cell r="AH10">
            <v>5391.27898</v>
          </cell>
          <cell r="AI10">
            <v>4763.3708400000005</v>
          </cell>
          <cell r="AJ10">
            <v>5456.7485000000006</v>
          </cell>
          <cell r="AK10">
            <v>3795.4631999999992</v>
          </cell>
          <cell r="AL10">
            <v>5559.7530000000006</v>
          </cell>
          <cell r="AM10">
            <v>4659.0309999999999</v>
          </cell>
          <cell r="AN10">
            <v>3645.2000000000003</v>
          </cell>
          <cell r="AO10">
            <v>4431.1000000000004</v>
          </cell>
          <cell r="AP10">
            <v>4475.4990000000016</v>
          </cell>
          <cell r="AQ10">
            <v>3571</v>
          </cell>
        </row>
        <row r="11">
          <cell r="AG11">
            <v>963.35799987600001</v>
          </cell>
          <cell r="AH11">
            <v>944.89711999999997</v>
          </cell>
          <cell r="AI11">
            <v>904.755</v>
          </cell>
          <cell r="AJ11">
            <v>996.43600000000004</v>
          </cell>
          <cell r="AK11">
            <v>837.81899999999996</v>
          </cell>
          <cell r="AL11">
            <v>1087.8050000000001</v>
          </cell>
          <cell r="AM11">
            <v>996.63800000000003</v>
          </cell>
          <cell r="AN11">
            <v>818.7</v>
          </cell>
          <cell r="AO11">
            <v>993.3</v>
          </cell>
          <cell r="AP11">
            <v>987.91</v>
          </cell>
          <cell r="AQ11">
            <v>831</v>
          </cell>
        </row>
        <row r="12">
          <cell r="AG12">
            <v>2179.4489989600002</v>
          </cell>
          <cell r="AH12">
            <v>2259.3338599999997</v>
          </cell>
          <cell r="AI12">
            <v>2081.4029999999998</v>
          </cell>
          <cell r="AJ12">
            <v>2275.3330000000001</v>
          </cell>
          <cell r="AK12">
            <v>1575.819</v>
          </cell>
          <cell r="AL12">
            <v>2296.42</v>
          </cell>
          <cell r="AM12">
            <v>1891.46</v>
          </cell>
          <cell r="AN12">
            <v>1687.3</v>
          </cell>
          <cell r="AO12">
            <v>1852</v>
          </cell>
          <cell r="AP12">
            <v>1876.6569999999999</v>
          </cell>
          <cell r="AQ12">
            <v>1602</v>
          </cell>
        </row>
        <row r="13">
          <cell r="AG13">
            <v>1893.13378444</v>
          </cell>
          <cell r="AH13">
            <v>1967.095</v>
          </cell>
          <cell r="AI13">
            <v>1585.2159999999999</v>
          </cell>
          <cell r="AJ13">
            <v>2000.164</v>
          </cell>
          <cell r="AK13">
            <v>1207.615</v>
          </cell>
          <cell r="AL13">
            <v>2001.473</v>
          </cell>
          <cell r="AM13">
            <v>1598.68</v>
          </cell>
          <cell r="AN13">
            <v>1050.2</v>
          </cell>
          <cell r="AO13">
            <v>1495</v>
          </cell>
          <cell r="AP13">
            <v>1489.2570000000001</v>
          </cell>
          <cell r="AQ13">
            <v>1137</v>
          </cell>
        </row>
        <row r="14">
          <cell r="AG14">
            <v>118</v>
          </cell>
          <cell r="AH14">
            <v>178.126</v>
          </cell>
          <cell r="AI14">
            <v>137.447</v>
          </cell>
          <cell r="AJ14">
            <v>125.967</v>
          </cell>
          <cell r="AK14">
            <v>138.82499999999999</v>
          </cell>
          <cell r="AL14">
            <v>130.74199999999999</v>
          </cell>
          <cell r="AM14">
            <v>148.178</v>
          </cell>
          <cell r="AN14">
            <v>63.3</v>
          </cell>
          <cell r="AO14">
            <v>71.099999999999994</v>
          </cell>
          <cell r="AP14">
            <v>91.658000000000001</v>
          </cell>
        </row>
        <row r="16">
          <cell r="AG16">
            <v>397.6</v>
          </cell>
          <cell r="AH16">
            <v>400.45300000000003</v>
          </cell>
          <cell r="AI16">
            <v>377.06909999999999</v>
          </cell>
          <cell r="AJ16">
            <v>418</v>
          </cell>
          <cell r="AK16">
            <v>283.10000000000002</v>
          </cell>
          <cell r="AL16">
            <v>283.5</v>
          </cell>
          <cell r="AM16">
            <v>330.3</v>
          </cell>
          <cell r="AN16">
            <v>283.5</v>
          </cell>
          <cell r="AO16">
            <v>271.89999999999998</v>
          </cell>
          <cell r="AP16">
            <v>261.1825</v>
          </cell>
        </row>
        <row r="17">
          <cell r="AG17">
            <v>28.599999999999998</v>
          </cell>
          <cell r="AH17">
            <v>33.930999999999997</v>
          </cell>
          <cell r="AI17">
            <v>37.688000000000002</v>
          </cell>
          <cell r="AJ17">
            <v>51.838000000000001</v>
          </cell>
          <cell r="AK17">
            <v>54.487349999999999</v>
          </cell>
          <cell r="AL17">
            <v>33.816000000000003</v>
          </cell>
          <cell r="AM17">
            <v>35.300000000000004</v>
          </cell>
          <cell r="AN17">
            <v>48.5</v>
          </cell>
          <cell r="AO17">
            <v>42.3</v>
          </cell>
          <cell r="AP17">
            <v>37.139500000000005</v>
          </cell>
        </row>
        <row r="18">
          <cell r="AG18">
            <v>11.7</v>
          </cell>
          <cell r="AH18">
            <v>17.006</v>
          </cell>
          <cell r="AI18">
            <v>20.898</v>
          </cell>
          <cell r="AJ18">
            <v>36.941000000000003</v>
          </cell>
          <cell r="AK18">
            <v>37.942999999999998</v>
          </cell>
          <cell r="AL18">
            <v>18.917999999999999</v>
          </cell>
          <cell r="AM18">
            <v>21.7</v>
          </cell>
          <cell r="AN18">
            <v>22.2</v>
          </cell>
          <cell r="AO18">
            <v>18.5</v>
          </cell>
          <cell r="AP18">
            <v>16.286000000000001</v>
          </cell>
        </row>
        <row r="19">
          <cell r="AG19">
            <v>15.5</v>
          </cell>
          <cell r="AH19">
            <v>16.3</v>
          </cell>
          <cell r="AI19">
            <v>16.09</v>
          </cell>
          <cell r="AJ19">
            <v>13.85</v>
          </cell>
          <cell r="AK19">
            <v>15.345000000000001</v>
          </cell>
          <cell r="AL19">
            <v>14.06</v>
          </cell>
          <cell r="AM19">
            <v>12.9</v>
          </cell>
          <cell r="AN19">
            <v>15.3</v>
          </cell>
          <cell r="AO19">
            <v>14</v>
          </cell>
          <cell r="AP19">
            <v>13.438000000000001</v>
          </cell>
        </row>
        <row r="20">
          <cell r="AG20">
            <v>150.40600000000001</v>
          </cell>
          <cell r="AH20">
            <v>148.84232</v>
          </cell>
          <cell r="AI20">
            <v>60.865000000000002</v>
          </cell>
          <cell r="AJ20">
            <v>69.392920000000004</v>
          </cell>
          <cell r="AK20">
            <v>70.2</v>
          </cell>
          <cell r="AL20">
            <v>68.389650000000003</v>
          </cell>
          <cell r="AM20">
            <v>62.7</v>
          </cell>
          <cell r="AN20">
            <v>68.5</v>
          </cell>
          <cell r="AO20">
            <v>69.400000000000006</v>
          </cell>
          <cell r="AP20">
            <v>54.7</v>
          </cell>
        </row>
        <row r="21">
          <cell r="AG21">
            <v>31.093000000000004</v>
          </cell>
          <cell r="AH21">
            <v>37.204999999999998</v>
          </cell>
          <cell r="AI21">
            <v>52.954000000000001</v>
          </cell>
          <cell r="AJ21">
            <v>60.90945</v>
          </cell>
          <cell r="AK21">
            <v>59.8</v>
          </cell>
          <cell r="AL21">
            <v>57.79365</v>
          </cell>
          <cell r="AM21">
            <v>54</v>
          </cell>
          <cell r="AN21">
            <v>57.2</v>
          </cell>
          <cell r="AO21">
            <v>57.6</v>
          </cell>
          <cell r="AP21">
            <v>45.2</v>
          </cell>
        </row>
        <row r="22">
          <cell r="AG22">
            <v>15.673999999999998</v>
          </cell>
          <cell r="AH22">
            <v>15.457000000000001</v>
          </cell>
          <cell r="AI22">
            <v>7.9109999999999996</v>
          </cell>
          <cell r="AJ22">
            <v>8.4834700000000005</v>
          </cell>
          <cell r="AK22">
            <v>10.433999999999999</v>
          </cell>
          <cell r="AL22">
            <v>10.596</v>
          </cell>
          <cell r="AM22">
            <v>8.6999999999999993</v>
          </cell>
          <cell r="AN22">
            <v>11.3</v>
          </cell>
          <cell r="AO22">
            <v>11.8</v>
          </cell>
          <cell r="AP22">
            <v>9.5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égion12"/>
      <sheetName val="découpage"/>
      <sheetName val="Hauteur"/>
      <sheetName val="Nbre de jours"/>
      <sheetName val="NB"/>
      <sheetName val="Transfert"/>
    </sheetNames>
    <sheetDataSet>
      <sheetData sheetId="0"/>
      <sheetData sheetId="1"/>
      <sheetData sheetId="2">
        <row r="29">
          <cell r="AH29">
            <v>400.2</v>
          </cell>
          <cell r="AI29">
            <v>450</v>
          </cell>
          <cell r="AJ29">
            <v>274</v>
          </cell>
          <cell r="AK29">
            <v>348</v>
          </cell>
          <cell r="AL29">
            <v>198.7</v>
          </cell>
          <cell r="AM29">
            <v>400.2</v>
          </cell>
          <cell r="AN29">
            <v>348.24</v>
          </cell>
          <cell r="AO29">
            <v>296.7</v>
          </cell>
          <cell r="AP29">
            <v>255.6</v>
          </cell>
          <cell r="AQ29">
            <v>291</v>
          </cell>
          <cell r="AR29">
            <v>188</v>
          </cell>
        </row>
      </sheetData>
      <sheetData sheetId="3"/>
      <sheetData sheetId="4"/>
      <sheetData sheetId="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J site(sectoriel) AR"/>
      <sheetName val="MAJ site(social)"/>
      <sheetName val="MAJ site(social) AR"/>
    </sheetNames>
    <sheetDataSet>
      <sheetData sheetId="0"/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-Graph"/>
      <sheetName val="Feuil1"/>
      <sheetName val="Feuil2"/>
      <sheetName val="Feuil3"/>
    </sheetNames>
    <sheetDataSet>
      <sheetData sheetId="0"/>
      <sheetData sheetId="1">
        <row r="6">
          <cell r="A6" t="str">
            <v>Graphique 13 : Evolution des importations des céréales à fin mai </v>
          </cell>
        </row>
        <row r="40">
          <cell r="A40" t="str">
            <v>Graphique 15: Part de marché mondiale et au niveau de l’UE</v>
          </cell>
        </row>
        <row r="98">
          <cell r="A98" t="str">
            <v>Graphique: Répartition géographique des flux des IDE marocains à l'étranger entre 2008 et 2013</v>
          </cell>
        </row>
        <row r="114">
          <cell r="A114">
            <v>0</v>
          </cell>
        </row>
        <row r="137">
          <cell r="A137" t="str">
            <v>Graphique 19: Evolution des exportations des MMM (2008-2012)</v>
          </cell>
        </row>
        <row r="166">
          <cell r="A166" t="str">
            <v>Graphique 20: Evolution des échanges commerciaux entre le Maroc et l’Afrique subsaharienne</v>
          </cell>
        </row>
        <row r="197">
          <cell r="A197" t="str">
            <v>Graphique 22: Evolution des entrées d’IDE au niveau mondial et par groupe d’économies (en milliards de dollars)</v>
          </cell>
        </row>
        <row r="214">
          <cell r="A214" t="str">
            <v>Graphique 26: Contribution des différentes composantes du PIB à la croissance réelle</v>
          </cell>
        </row>
        <row r="271">
          <cell r="A271" t="str">
            <v>Graphique 31: Ventilation de l’IDH</v>
          </cell>
        </row>
        <row r="287">
          <cell r="A287" t="str">
            <v>Graphique 32: Le taux de chômage par niveau d’instruction en 2012 (en %)</v>
          </cell>
        </row>
        <row r="304">
          <cell r="A304" t="str">
            <v>Graphique 33: Evolution du taux de pauvreté absolue, relative et de vulnérabilité</v>
          </cell>
        </row>
        <row r="316">
          <cell r="A316" t="str">
            <v>Graphique 34: Evolution du nombre des coopératives au Maroc</v>
          </cell>
        </row>
        <row r="329">
          <cell r="A329" t="str">
            <v>Graphique 35 : Rendement du contrôle fiscal en millions de dirhams</v>
          </cell>
        </row>
        <row r="342">
          <cell r="A342" t="str">
            <v>Graphique 37: Masse salariale en % du PIB</v>
          </cell>
        </row>
        <row r="371">
          <cell r="A371" t="str">
            <v>Graphique 39: Evolution de la structure des dépenses de l’Etat</v>
          </cell>
        </row>
        <row r="391">
          <cell r="A391" t="str">
            <v>Graphique 40: Evolution de la dette directe du Trésor en % du PIB</v>
          </cell>
        </row>
        <row r="404">
          <cell r="A404" t="str">
            <v>Graphique 41: Evolution du solde structurel en % du PIB</v>
          </cell>
        </row>
        <row r="417">
          <cell r="A417" t="str">
            <v>Graphique 42: Evolution de la structure de l’encours de la dette directe du Trésor</v>
          </cell>
        </row>
        <row r="433">
          <cell r="A433" t="str">
            <v>Graphique 43: Evolution du solde primaire effective et celui stabilisant le ratio d’endettement en % du PIB</v>
          </cell>
        </row>
        <row r="659">
          <cell r="A659" t="str">
            <v>Décomposition du solde courant en % du PIB</v>
          </cell>
        </row>
        <row r="689">
          <cell r="A689" t="str">
            <v>Graphique 15 : Spécialisation et concentration industrielles des régions économiques du Maroc (2010)</v>
          </cell>
        </row>
        <row r="732">
          <cell r="A732" t="str">
            <v>Graphique 18 : Evolution de l’élasticité des recettes fiscales par rapport au PIB courant</v>
          </cell>
        </row>
        <row r="822">
          <cell r="A822">
            <v>0</v>
          </cell>
        </row>
        <row r="840">
          <cell r="A840">
            <v>0</v>
          </cell>
        </row>
        <row r="858">
          <cell r="A858" t="str">
            <v>Graphique 6 : Hausse des taux d’intérêt directeurs</v>
          </cell>
        </row>
        <row r="874">
          <cell r="A874" t="str">
            <v>Graphique 8 : Evolution des IDE au Maroc par pays</v>
          </cell>
        </row>
        <row r="894">
          <cell r="A894" t="str">
            <v>Graphique 9 : Evolution des IDE au Maroc par secteur</v>
          </cell>
        </row>
        <row r="910">
          <cell r="A910" t="str">
            <v>Graphique 11 : Evolution de la croissance de la consommation finale des ménages en volume</v>
          </cell>
        </row>
        <row r="927">
          <cell r="A927" t="str">
            <v>Graphique 16 : La répartition des projets INDH réalisés par programme au titre de la première phase 2005-2010</v>
          </cell>
        </row>
        <row r="939">
          <cell r="A939" t="str">
            <v>Graphique 17 : Evolution annuelle de l’emploi par région (2000-2010)</v>
          </cell>
        </row>
        <row r="959">
          <cell r="A959" t="str">
            <v>Graphique 19 : Evolution des recettes recouvrées en rapport avec le contrôle fiscale</v>
          </cell>
        </row>
        <row r="976">
          <cell r="A976" t="str">
            <v>Graphique 20 : Impact sur la réduction des recettes fiscales en % du PIB de la non concrétisation des mesures de réforme de l’IS et de l’IR depuis 2007</v>
          </cell>
        </row>
        <row r="991">
          <cell r="A991" t="str">
            <v>Graphique 21 : Croissance des dépenses et du PIB nominal (moyenne mobile sur 3 ans)</v>
          </cell>
        </row>
        <row r="1006">
          <cell r="A1006" t="str">
            <v>Graphique 22 : Evolution du taux de couverture des dépenses par les recettes en %</v>
          </cell>
        </row>
      </sheetData>
      <sheetData sheetId="2"/>
      <sheetData sheetId="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rème IGR"/>
      <sheetName val="Indices"/>
      <sheetName val="Ing Etat GP"/>
      <sheetName val="Crédit Cons"/>
      <sheetName val="Feuille de présence"/>
      <sheetName val="Note de frais"/>
      <sheetName val="Facture"/>
      <sheetName val="Dépenses"/>
      <sheetName val="Évolution du solde"/>
      <sheetName val="Amortissement de prêt"/>
      <sheetName val="Crédit LOG (2)"/>
      <sheetName val="Crédit LOG"/>
      <sheetName val="Barème_IGR"/>
      <sheetName val="Ing_Etat_GP"/>
      <sheetName val="Crédit_Cons"/>
      <sheetName val="Feuille_de_présence"/>
      <sheetName val="Note_de_frais"/>
      <sheetName val="Évolution_du_solde"/>
      <sheetName val="Amortissement_de_prêt"/>
      <sheetName val="Crédit_LOG_(2)"/>
      <sheetName val="Crédit_LOG"/>
      <sheetName val="Barème_IGR1"/>
      <sheetName val="Ing_Etat_GP1"/>
      <sheetName val="Crédit_Cons1"/>
      <sheetName val="Feuille_de_présence1"/>
      <sheetName val="Note_de_frais1"/>
      <sheetName val="Évolution_du_solde1"/>
      <sheetName val="Amortissement_de_prêt1"/>
      <sheetName val="Crédit_LOG_(2)1"/>
      <sheetName val="Crédit_LOG1"/>
      <sheetName val="Barème_IGR2"/>
      <sheetName val="Ing_Etat_GP2"/>
      <sheetName val="Crédit_Cons2"/>
      <sheetName val="Feuille_de_présence2"/>
      <sheetName val="Note_de_frais2"/>
      <sheetName val="Évolution_du_solde2"/>
      <sheetName val="Amortissement_de_prêt2"/>
      <sheetName val="Crédit_LOG_(2)2"/>
      <sheetName val="Crédit_LOG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Calculateur d'emprunt</v>
          </cell>
        </row>
        <row r="5">
          <cell r="B5" t="str">
            <v>Entrez vos valeurs</v>
          </cell>
          <cell r="F5" t="str">
            <v>Synthèse de l'emprunt</v>
          </cell>
        </row>
        <row r="6">
          <cell r="C6" t="str">
            <v>Montant de l'emprunt</v>
          </cell>
          <cell r="D6">
            <v>130000</v>
          </cell>
          <cell r="G6" t="str">
            <v>Versement périodique</v>
          </cell>
          <cell r="H6">
            <v>2613.6939171498152</v>
          </cell>
        </row>
        <row r="7">
          <cell r="C7" t="str">
            <v>Taux d'intérêt annuel</v>
          </cell>
          <cell r="D7">
            <v>7.6416700000000004E-2</v>
          </cell>
          <cell r="G7" t="str">
            <v>Nombre de versements prévu</v>
          </cell>
          <cell r="H7">
            <v>60</v>
          </cell>
        </row>
        <row r="8">
          <cell r="C8" t="str">
            <v>Durée de l'emprunt en années</v>
          </cell>
          <cell r="D8">
            <v>5</v>
          </cell>
          <cell r="G8" t="str">
            <v>Nombre de versements requis</v>
          </cell>
          <cell r="H8">
            <v>60</v>
          </cell>
        </row>
        <row r="9">
          <cell r="C9" t="str">
            <v>Nombre de versements par an</v>
          </cell>
          <cell r="D9">
            <v>12</v>
          </cell>
          <cell r="G9" t="str">
            <v>Montant des versements anticipés</v>
          </cell>
          <cell r="H9">
            <v>0</v>
          </cell>
        </row>
        <row r="10">
          <cell r="C10" t="str">
            <v>Date de début de l'emprunt</v>
          </cell>
          <cell r="D10">
            <v>39198</v>
          </cell>
          <cell r="G10" t="str">
            <v>Montant des intérêts</v>
          </cell>
          <cell r="H10">
            <v>26821.635028990197</v>
          </cell>
        </row>
        <row r="11">
          <cell r="C11" t="str">
            <v>Versements supplémentaires facultatifs</v>
          </cell>
          <cell r="D11">
            <v>0</v>
          </cell>
        </row>
        <row r="13">
          <cell r="B13" t="str">
            <v>Nom du prêteur :</v>
          </cell>
          <cell r="C13" t="str">
            <v>azeroual</v>
          </cell>
        </row>
        <row r="16">
          <cell r="A16" t="str">
            <v>N° vers.</v>
          </cell>
          <cell r="B16" t="str">
            <v>Date du versement</v>
          </cell>
          <cell r="C16" t="str">
            <v>Solde initial</v>
          </cell>
          <cell r="D16" t="str">
            <v>Versement périodique</v>
          </cell>
          <cell r="E16" t="str">
            <v>Versement supplémentaire</v>
          </cell>
          <cell r="F16" t="str">
            <v>Total des versements</v>
          </cell>
          <cell r="G16" t="str">
            <v>Principal</v>
          </cell>
          <cell r="H16" t="str">
            <v>Intérêts</v>
          </cell>
          <cell r="I16" t="str">
            <v>Solde final</v>
          </cell>
        </row>
        <row r="18">
          <cell r="A18">
            <v>1</v>
          </cell>
          <cell r="B18">
            <v>39228</v>
          </cell>
          <cell r="C18">
            <v>130000</v>
          </cell>
          <cell r="D18">
            <v>2613.6939171498152</v>
          </cell>
          <cell r="E18">
            <v>0</v>
          </cell>
          <cell r="F18">
            <v>2613.6939171498152</v>
          </cell>
          <cell r="G18">
            <v>1785.846333816482</v>
          </cell>
          <cell r="H18">
            <v>827.84758333333332</v>
          </cell>
          <cell r="I18">
            <v>128214.15366618351</v>
          </cell>
        </row>
        <row r="19">
          <cell r="A19">
            <v>2</v>
          </cell>
          <cell r="B19">
            <v>39259</v>
          </cell>
          <cell r="C19">
            <v>128214.15366618351</v>
          </cell>
          <cell r="D19">
            <v>2613.6939171498152</v>
          </cell>
          <cell r="E19">
            <v>0</v>
          </cell>
          <cell r="F19">
            <v>2613.6939171498152</v>
          </cell>
          <cell r="G19">
            <v>1797.2187074445947</v>
          </cell>
          <cell r="H19">
            <v>816.47520970522055</v>
          </cell>
          <cell r="I19">
            <v>126416.93495873892</v>
          </cell>
        </row>
        <row r="20">
          <cell r="A20">
            <v>3</v>
          </cell>
          <cell r="B20">
            <v>39289</v>
          </cell>
          <cell r="C20">
            <v>126416.93495873892</v>
          </cell>
          <cell r="D20">
            <v>2613.6939171498152</v>
          </cell>
          <cell r="E20">
            <v>0</v>
          </cell>
          <cell r="F20">
            <v>2613.6939171498152</v>
          </cell>
          <cell r="G20">
            <v>1808.66350101136</v>
          </cell>
          <cell r="H20">
            <v>805.03041613845528</v>
          </cell>
          <cell r="I20">
            <v>124608.27145772756</v>
          </cell>
        </row>
        <row r="21">
          <cell r="A21">
            <v>4</v>
          </cell>
          <cell r="B21">
            <v>39320</v>
          </cell>
          <cell r="C21">
            <v>124608.27145772756</v>
          </cell>
          <cell r="D21">
            <v>2613.6939171498152</v>
          </cell>
          <cell r="E21">
            <v>0</v>
          </cell>
          <cell r="F21">
            <v>2613.6939171498152</v>
          </cell>
          <cell r="G21">
            <v>1820.1811756911711</v>
          </cell>
          <cell r="H21">
            <v>793.5127414586442</v>
          </cell>
          <cell r="I21">
            <v>122788.09028203638</v>
          </cell>
        </row>
        <row r="22">
          <cell r="A22">
            <v>5</v>
          </cell>
          <cell r="B22">
            <v>39351</v>
          </cell>
          <cell r="C22">
            <v>122788.09028203638</v>
          </cell>
          <cell r="D22">
            <v>2613.6939171498152</v>
          </cell>
          <cell r="E22">
            <v>0</v>
          </cell>
          <cell r="F22">
            <v>2613.6939171498152</v>
          </cell>
          <cell r="G22">
            <v>1831.7721955952079</v>
          </cell>
          <cell r="H22">
            <v>781.92172155460742</v>
          </cell>
          <cell r="I22">
            <v>120956.31808644117</v>
          </cell>
        </row>
        <row r="23">
          <cell r="A23">
            <v>6</v>
          </cell>
          <cell r="B23">
            <v>39381</v>
          </cell>
          <cell r="C23">
            <v>120956.31808644117</v>
          </cell>
          <cell r="D23">
            <v>2613.6939171498152</v>
          </cell>
          <cell r="E23">
            <v>0</v>
          </cell>
          <cell r="F23">
            <v>2613.6939171498152</v>
          </cell>
          <cell r="G23">
            <v>1843.4370277901362</v>
          </cell>
          <cell r="H23">
            <v>770.25688935967912</v>
          </cell>
          <cell r="I23">
            <v>119112.88105865104</v>
          </cell>
        </row>
        <row r="24">
          <cell r="A24">
            <v>7</v>
          </cell>
          <cell r="B24">
            <v>39412</v>
          </cell>
          <cell r="C24">
            <v>119112.88105865104</v>
          </cell>
          <cell r="D24">
            <v>2613.6939171498152</v>
          </cell>
          <cell r="E24">
            <v>0</v>
          </cell>
          <cell r="F24">
            <v>2613.6939171498152</v>
          </cell>
          <cell r="G24">
            <v>1855.1761423169301</v>
          </cell>
          <cell r="H24">
            <v>758.51777483288504</v>
          </cell>
          <cell r="I24">
            <v>117257.7049163341</v>
          </cell>
        </row>
        <row r="25">
          <cell r="A25">
            <v>8</v>
          </cell>
          <cell r="B25">
            <v>39442</v>
          </cell>
          <cell r="C25">
            <v>117257.7049163341</v>
          </cell>
          <cell r="D25">
            <v>2613.6939171498152</v>
          </cell>
          <cell r="E25">
            <v>0</v>
          </cell>
          <cell r="F25">
            <v>2613.6939171498152</v>
          </cell>
          <cell r="G25">
            <v>1866.9900122098129</v>
          </cell>
          <cell r="H25">
            <v>746.7039049400023</v>
          </cell>
          <cell r="I25">
            <v>115390.71490412428</v>
          </cell>
        </row>
        <row r="26">
          <cell r="A26">
            <v>9</v>
          </cell>
          <cell r="B26">
            <v>39473</v>
          </cell>
          <cell r="C26">
            <v>115390.71490412428</v>
          </cell>
          <cell r="D26">
            <v>2613.6939171498152</v>
          </cell>
          <cell r="E26">
            <v>0</v>
          </cell>
          <cell r="F26">
            <v>2613.6939171498152</v>
          </cell>
          <cell r="G26">
            <v>1878.8791135153156</v>
          </cell>
          <cell r="H26">
            <v>734.81480363449953</v>
          </cell>
          <cell r="I26">
            <v>113511.83579060897</v>
          </cell>
        </row>
        <row r="27">
          <cell r="A27">
            <v>10</v>
          </cell>
          <cell r="B27">
            <v>39504</v>
          </cell>
          <cell r="C27">
            <v>113511.83579060897</v>
          </cell>
          <cell r="D27">
            <v>2613.6939171498152</v>
          </cell>
          <cell r="E27">
            <v>0</v>
          </cell>
          <cell r="F27">
            <v>2613.6939171498152</v>
          </cell>
          <cell r="G27">
            <v>1890.843925311463</v>
          </cell>
          <cell r="H27">
            <v>722.84999183835237</v>
          </cell>
          <cell r="I27">
            <v>111620.9918652975</v>
          </cell>
        </row>
        <row r="28">
          <cell r="A28">
            <v>11</v>
          </cell>
          <cell r="B28">
            <v>39533</v>
          </cell>
          <cell r="C28">
            <v>111620.9918652975</v>
          </cell>
          <cell r="D28">
            <v>2613.6939171498152</v>
          </cell>
          <cell r="E28">
            <v>0</v>
          </cell>
          <cell r="F28">
            <v>2613.6939171498152</v>
          </cell>
          <cell r="G28">
            <v>1902.8849297270754</v>
          </cell>
          <cell r="H28">
            <v>710.80898742273996</v>
          </cell>
          <cell r="I28">
            <v>109718.10693557042</v>
          </cell>
        </row>
        <row r="29">
          <cell r="A29">
            <v>12</v>
          </cell>
          <cell r="B29">
            <v>39564</v>
          </cell>
          <cell r="C29">
            <v>109718.10693557042</v>
          </cell>
          <cell r="D29">
            <v>2613.6939171498152</v>
          </cell>
          <cell r="E29">
            <v>0</v>
          </cell>
          <cell r="F29">
            <v>2613.6939171498152</v>
          </cell>
          <cell r="G29">
            <v>1915.002611961198</v>
          </cell>
          <cell r="H29">
            <v>698.69130518861709</v>
          </cell>
          <cell r="I29">
            <v>107803.10432360922</v>
          </cell>
        </row>
        <row r="30">
          <cell r="A30">
            <v>13</v>
          </cell>
          <cell r="B30">
            <v>39594</v>
          </cell>
          <cell r="C30">
            <v>107803.10432360922</v>
          </cell>
          <cell r="D30">
            <v>2613.6939171498152</v>
          </cell>
          <cell r="E30">
            <v>0</v>
          </cell>
          <cell r="F30">
            <v>2613.6939171498152</v>
          </cell>
          <cell r="G30">
            <v>1927.1974603026529</v>
          </cell>
          <cell r="H30">
            <v>686.49645684716245</v>
          </cell>
          <cell r="I30">
            <v>105875.90686330658</v>
          </cell>
        </row>
        <row r="31">
          <cell r="A31">
            <v>14</v>
          </cell>
          <cell r="B31">
            <v>39625</v>
          </cell>
          <cell r="C31">
            <v>105875.90686330658</v>
          </cell>
          <cell r="D31">
            <v>2613.6939171498152</v>
          </cell>
          <cell r="E31">
            <v>0</v>
          </cell>
          <cell r="F31">
            <v>2613.6939171498152</v>
          </cell>
          <cell r="G31">
            <v>1939.469966149712</v>
          </cell>
          <cell r="H31">
            <v>674.22395100010328</v>
          </cell>
          <cell r="I31">
            <v>103936.43689715686</v>
          </cell>
        </row>
        <row r="32">
          <cell r="A32">
            <v>15</v>
          </cell>
          <cell r="B32">
            <v>39655</v>
          </cell>
          <cell r="C32">
            <v>103936.43689715686</v>
          </cell>
          <cell r="D32">
            <v>2613.6939171498152</v>
          </cell>
          <cell r="E32">
            <v>0</v>
          </cell>
          <cell r="F32">
            <v>2613.6939171498152</v>
          </cell>
          <cell r="G32">
            <v>1951.8206240299014</v>
          </cell>
          <cell r="H32">
            <v>661.87329311991391</v>
          </cell>
          <cell r="I32">
            <v>101984.61627312696</v>
          </cell>
        </row>
        <row r="33">
          <cell r="A33">
            <v>16</v>
          </cell>
          <cell r="B33">
            <v>39686</v>
          </cell>
          <cell r="C33">
            <v>101984.61627312696</v>
          </cell>
          <cell r="D33">
            <v>2613.6939171498152</v>
          </cell>
          <cell r="E33">
            <v>0</v>
          </cell>
          <cell r="F33">
            <v>2613.6939171498152</v>
          </cell>
          <cell r="G33">
            <v>1964.2499316199269</v>
          </cell>
          <cell r="H33">
            <v>649.44398552988844</v>
          </cell>
          <cell r="I33">
            <v>100020.36634150703</v>
          </cell>
        </row>
        <row r="34">
          <cell r="A34">
            <v>17</v>
          </cell>
          <cell r="B34">
            <v>39717</v>
          </cell>
          <cell r="C34">
            <v>100020.36634150703</v>
          </cell>
          <cell r="D34">
            <v>2613.6939171498152</v>
          </cell>
          <cell r="E34">
            <v>0</v>
          </cell>
          <cell r="F34">
            <v>2613.6939171498152</v>
          </cell>
          <cell r="G34">
            <v>1976.7583897657285</v>
          </cell>
          <cell r="H34">
            <v>636.93552738408675</v>
          </cell>
          <cell r="I34">
            <v>98043.607951741302</v>
          </cell>
        </row>
        <row r="35">
          <cell r="A35">
            <v>18</v>
          </cell>
          <cell r="B35">
            <v>39747</v>
          </cell>
          <cell r="C35">
            <v>98043.607951741302</v>
          </cell>
          <cell r="D35">
            <v>2613.6939171498152</v>
          </cell>
          <cell r="E35">
            <v>0</v>
          </cell>
          <cell r="F35">
            <v>2613.6939171498152</v>
          </cell>
          <cell r="G35">
            <v>1989.3465025026626</v>
          </cell>
          <cell r="H35">
            <v>624.3474146471525</v>
          </cell>
          <cell r="I35">
            <v>96054.261449238635</v>
          </cell>
        </row>
        <row r="36">
          <cell r="A36">
            <v>19</v>
          </cell>
          <cell r="B36">
            <v>39778</v>
          </cell>
          <cell r="C36">
            <v>96054.261449238635</v>
          </cell>
          <cell r="D36">
            <v>2613.6939171498152</v>
          </cell>
          <cell r="E36">
            <v>0</v>
          </cell>
          <cell r="F36">
            <v>2613.6939171498152</v>
          </cell>
          <cell r="G36">
            <v>2002.0147770758122</v>
          </cell>
          <cell r="H36">
            <v>611.67914007400293</v>
          </cell>
          <cell r="I36">
            <v>94052.246672162815</v>
          </cell>
        </row>
        <row r="37">
          <cell r="A37">
            <v>20</v>
          </cell>
          <cell r="B37">
            <v>39808</v>
          </cell>
          <cell r="C37">
            <v>94052.246672162815</v>
          </cell>
          <cell r="D37">
            <v>2613.6939171498152</v>
          </cell>
          <cell r="E37">
            <v>0</v>
          </cell>
          <cell r="F37">
            <v>2613.6939171498152</v>
          </cell>
          <cell r="G37">
            <v>2014.7637239604264</v>
          </cell>
          <cell r="H37">
            <v>598.93019318938866</v>
          </cell>
          <cell r="I37">
            <v>92037.482948202392</v>
          </cell>
        </row>
        <row r="38">
          <cell r="A38">
            <v>21</v>
          </cell>
          <cell r="B38">
            <v>39839</v>
          </cell>
          <cell r="C38">
            <v>92037.482948202392</v>
          </cell>
          <cell r="D38">
            <v>2613.6939171498152</v>
          </cell>
          <cell r="E38">
            <v>0</v>
          </cell>
          <cell r="F38">
            <v>2613.6939171498152</v>
          </cell>
          <cell r="G38">
            <v>2027.5938568824904</v>
          </cell>
          <cell r="H38">
            <v>586.10006026732492</v>
          </cell>
          <cell r="I38">
            <v>90009.889091319899</v>
          </cell>
        </row>
        <row r="39">
          <cell r="A39">
            <v>22</v>
          </cell>
          <cell r="B39">
            <v>39870</v>
          </cell>
          <cell r="C39">
            <v>90009.889091319899</v>
          </cell>
          <cell r="D39">
            <v>2613.6939171498152</v>
          </cell>
          <cell r="E39">
            <v>0</v>
          </cell>
          <cell r="F39">
            <v>2613.6939171498152</v>
          </cell>
          <cell r="G39">
            <v>2040.5056928394265</v>
          </cell>
          <cell r="H39">
            <v>573.18822431038882</v>
          </cell>
          <cell r="I39">
            <v>87969.383398480466</v>
          </cell>
        </row>
        <row r="40">
          <cell r="A40">
            <v>23</v>
          </cell>
          <cell r="B40">
            <v>39898</v>
          </cell>
          <cell r="C40">
            <v>87969.383398480466</v>
          </cell>
          <cell r="D40">
            <v>2613.6939171498152</v>
          </cell>
          <cell r="E40">
            <v>0</v>
          </cell>
          <cell r="F40">
            <v>2613.6939171498152</v>
          </cell>
          <cell r="G40">
            <v>2053.4997521209266</v>
          </cell>
          <cell r="H40">
            <v>560.19416502888851</v>
          </cell>
          <cell r="I40">
            <v>85915.883646359536</v>
          </cell>
        </row>
        <row r="41">
          <cell r="A41">
            <v>24</v>
          </cell>
          <cell r="B41">
            <v>39929</v>
          </cell>
          <cell r="C41">
            <v>85915.883646359536</v>
          </cell>
          <cell r="D41">
            <v>2613.6939171498152</v>
          </cell>
          <cell r="E41">
            <v>0</v>
          </cell>
          <cell r="F41">
            <v>2613.6939171498152</v>
          </cell>
          <cell r="G41">
            <v>2066.576558329918</v>
          </cell>
          <cell r="H41">
            <v>547.11735881989694</v>
          </cell>
          <cell r="I41">
            <v>83849.307088029615</v>
          </cell>
        </row>
        <row r="42">
          <cell r="A42">
            <v>25</v>
          </cell>
          <cell r="B42">
            <v>39959</v>
          </cell>
          <cell r="C42">
            <v>83849.307088029615</v>
          </cell>
          <cell r="D42">
            <v>2613.6939171498152</v>
          </cell>
          <cell r="E42">
            <v>0</v>
          </cell>
          <cell r="F42">
            <v>2613.6939171498152</v>
          </cell>
          <cell r="G42">
            <v>2079.7366384036623</v>
          </cell>
          <cell r="H42">
            <v>533.95727874615272</v>
          </cell>
          <cell r="I42">
            <v>81769.570449625957</v>
          </cell>
        </row>
        <row r="43">
          <cell r="A43">
            <v>26</v>
          </cell>
          <cell r="B43">
            <v>39990</v>
          </cell>
          <cell r="C43">
            <v>81769.570449625957</v>
          </cell>
          <cell r="D43">
            <v>2613.6939171498152</v>
          </cell>
          <cell r="E43">
            <v>0</v>
          </cell>
          <cell r="F43">
            <v>2613.6939171498152</v>
          </cell>
          <cell r="G43">
            <v>2092.9805226349877</v>
          </cell>
          <cell r="H43">
            <v>520.71339451482766</v>
          </cell>
          <cell r="I43">
            <v>79676.589926990971</v>
          </cell>
        </row>
        <row r="44">
          <cell r="A44">
            <v>27</v>
          </cell>
          <cell r="B44">
            <v>40020</v>
          </cell>
          <cell r="C44">
            <v>79676.589926990971</v>
          </cell>
          <cell r="D44">
            <v>2613.6939171498152</v>
          </cell>
          <cell r="E44">
            <v>0</v>
          </cell>
          <cell r="F44">
            <v>2613.6939171498152</v>
          </cell>
          <cell r="G44">
            <v>2106.3087446936574</v>
          </cell>
          <cell r="H44">
            <v>507.38517245615759</v>
          </cell>
          <cell r="I44">
            <v>77570.281182297316</v>
          </cell>
        </row>
        <row r="45">
          <cell r="A45">
            <v>28</v>
          </cell>
          <cell r="B45">
            <v>40051</v>
          </cell>
          <cell r="C45">
            <v>77570.281182297316</v>
          </cell>
          <cell r="D45">
            <v>2613.6939171498152</v>
          </cell>
          <cell r="E45">
            <v>0</v>
          </cell>
          <cell r="F45">
            <v>2613.6939171498152</v>
          </cell>
          <cell r="G45">
            <v>2119.7218416478768</v>
          </cell>
          <cell r="H45">
            <v>493.97207550193826</v>
          </cell>
          <cell r="I45">
            <v>75450.559340649444</v>
          </cell>
        </row>
        <row r="46">
          <cell r="A46">
            <v>29</v>
          </cell>
          <cell r="B46">
            <v>40082</v>
          </cell>
          <cell r="C46">
            <v>75450.559340649444</v>
          </cell>
          <cell r="D46">
            <v>2613.6939171498152</v>
          </cell>
          <cell r="E46">
            <v>0</v>
          </cell>
          <cell r="F46">
            <v>2613.6939171498152</v>
          </cell>
          <cell r="G46">
            <v>2133.2203539859311</v>
          </cell>
          <cell r="H46">
            <v>480.47356316388391</v>
          </cell>
          <cell r="I46">
            <v>73317.338986663512</v>
          </cell>
        </row>
        <row r="47">
          <cell r="A47">
            <v>30</v>
          </cell>
          <cell r="B47">
            <v>40112</v>
          </cell>
          <cell r="C47">
            <v>73317.338986663512</v>
          </cell>
          <cell r="D47">
            <v>2613.6939171498152</v>
          </cell>
          <cell r="E47">
            <v>0</v>
          </cell>
          <cell r="F47">
            <v>2613.6939171498152</v>
          </cell>
          <cell r="G47">
            <v>2146.804825637968</v>
          </cell>
          <cell r="H47">
            <v>466.88909151184748</v>
          </cell>
          <cell r="I47">
            <v>71170.534161025542</v>
          </cell>
        </row>
        <row r="48">
          <cell r="A48">
            <v>31</v>
          </cell>
          <cell r="B48">
            <v>40143</v>
          </cell>
          <cell r="C48">
            <v>71170.534161025542</v>
          </cell>
          <cell r="D48">
            <v>2613.6939171498152</v>
          </cell>
          <cell r="E48">
            <v>0</v>
          </cell>
          <cell r="F48">
            <v>2613.6939171498152</v>
          </cell>
          <cell r="G48">
            <v>2160.475803997912</v>
          </cell>
          <cell r="H48">
            <v>453.21811315190342</v>
          </cell>
          <cell r="I48">
            <v>69010.058357027636</v>
          </cell>
        </row>
        <row r="49">
          <cell r="A49">
            <v>32</v>
          </cell>
          <cell r="B49">
            <v>40173</v>
          </cell>
          <cell r="C49">
            <v>69010.058357027636</v>
          </cell>
          <cell r="D49">
            <v>2613.6939171498152</v>
          </cell>
          <cell r="E49">
            <v>0</v>
          </cell>
          <cell r="F49">
            <v>2613.6939171498152</v>
          </cell>
          <cell r="G49">
            <v>2174.2338399455257</v>
          </cell>
          <cell r="H49">
            <v>439.46007720428952</v>
          </cell>
          <cell r="I49">
            <v>66835.824517082103</v>
          </cell>
        </row>
        <row r="50">
          <cell r="A50">
            <v>33</v>
          </cell>
          <cell r="B50">
            <v>40204</v>
          </cell>
          <cell r="C50">
            <v>66835.824517082103</v>
          </cell>
          <cell r="D50">
            <v>2613.6939171498152</v>
          </cell>
          <cell r="E50">
            <v>0</v>
          </cell>
          <cell r="F50">
            <v>2613.6939171498152</v>
          </cell>
          <cell r="G50">
            <v>2188.0794878686061</v>
          </cell>
          <cell r="H50">
            <v>425.61442928120897</v>
          </cell>
          <cell r="I50">
            <v>64647.745029213496</v>
          </cell>
        </row>
        <row r="51">
          <cell r="A51">
            <v>34</v>
          </cell>
          <cell r="B51">
            <v>40235</v>
          </cell>
          <cell r="C51">
            <v>64647.745029213496</v>
          </cell>
          <cell r="D51">
            <v>2613.6939171498152</v>
          </cell>
          <cell r="E51">
            <v>0</v>
          </cell>
          <cell r="F51">
            <v>2613.6939171498152</v>
          </cell>
          <cell r="G51">
            <v>2202.0133056853238</v>
          </cell>
          <cell r="H51">
            <v>411.68061146449162</v>
          </cell>
          <cell r="I51">
            <v>62445.731723528173</v>
          </cell>
        </row>
        <row r="52">
          <cell r="A52">
            <v>35</v>
          </cell>
          <cell r="B52">
            <v>40263</v>
          </cell>
          <cell r="C52">
            <v>62445.731723528173</v>
          </cell>
          <cell r="D52">
            <v>2613.6939171498152</v>
          </cell>
          <cell r="E52">
            <v>0</v>
          </cell>
          <cell r="F52">
            <v>2613.6939171498152</v>
          </cell>
          <cell r="G52">
            <v>2216.0358548667041</v>
          </cell>
          <cell r="H52">
            <v>397.65806228311129</v>
          </cell>
          <cell r="I52">
            <v>60229.695868661467</v>
          </cell>
        </row>
        <row r="53">
          <cell r="A53">
            <v>36</v>
          </cell>
          <cell r="B53">
            <v>40294</v>
          </cell>
          <cell r="C53">
            <v>60229.695868661467</v>
          </cell>
          <cell r="D53">
            <v>2613.6939171498152</v>
          </cell>
          <cell r="E53">
            <v>0</v>
          </cell>
          <cell r="F53">
            <v>2613.6939171498152</v>
          </cell>
          <cell r="G53">
            <v>2230.1477004592534</v>
          </cell>
          <cell r="H53">
            <v>383.54621669056195</v>
          </cell>
          <cell r="I53">
            <v>57999.548168202215</v>
          </cell>
        </row>
        <row r="54">
          <cell r="A54">
            <v>37</v>
          </cell>
          <cell r="B54">
            <v>40324</v>
          </cell>
          <cell r="C54">
            <v>57999.548168202215</v>
          </cell>
          <cell r="D54">
            <v>2613.6939171498152</v>
          </cell>
          <cell r="E54">
            <v>0</v>
          </cell>
          <cell r="F54">
            <v>2613.6939171498152</v>
          </cell>
          <cell r="G54">
            <v>2244.3494111077271</v>
          </cell>
          <cell r="H54">
            <v>369.3445060420882</v>
          </cell>
          <cell r="I54">
            <v>55755.198757094491</v>
          </cell>
        </row>
        <row r="55">
          <cell r="A55">
            <v>38</v>
          </cell>
          <cell r="B55">
            <v>40355</v>
          </cell>
          <cell r="C55">
            <v>55755.198757094491</v>
          </cell>
          <cell r="D55">
            <v>2613.6939171498152</v>
          </cell>
          <cell r="E55">
            <v>0</v>
          </cell>
          <cell r="F55">
            <v>2613.6939171498152</v>
          </cell>
          <cell r="G55">
            <v>2258.6415590780434</v>
          </cell>
          <cell r="H55">
            <v>355.05235807177195</v>
          </cell>
          <cell r="I55">
            <v>53496.557198016446</v>
          </cell>
        </row>
        <row r="56">
          <cell r="A56">
            <v>39</v>
          </cell>
          <cell r="B56">
            <v>40385</v>
          </cell>
          <cell r="C56">
            <v>53496.557198016446</v>
          </cell>
          <cell r="D56">
            <v>2613.6939171498152</v>
          </cell>
          <cell r="E56">
            <v>0</v>
          </cell>
          <cell r="F56">
            <v>2613.6939171498152</v>
          </cell>
          <cell r="G56">
            <v>2273.0247202803434</v>
          </cell>
          <cell r="H56">
            <v>340.66919686947193</v>
          </cell>
          <cell r="I56">
            <v>51223.532477736102</v>
          </cell>
        </row>
        <row r="57">
          <cell r="A57">
            <v>40</v>
          </cell>
          <cell r="B57">
            <v>40416</v>
          </cell>
          <cell r="C57">
            <v>51223.532477736102</v>
          </cell>
          <cell r="D57">
            <v>2613.6939171498152</v>
          </cell>
          <cell r="E57">
            <v>0</v>
          </cell>
          <cell r="F57">
            <v>2613.6939171498152</v>
          </cell>
          <cell r="G57">
            <v>2287.4994742921972</v>
          </cell>
          <cell r="H57">
            <v>326.19444285761807</v>
          </cell>
          <cell r="I57">
            <v>48936.033003443903</v>
          </cell>
        </row>
        <row r="58">
          <cell r="A58">
            <v>41</v>
          </cell>
          <cell r="B58">
            <v>40447</v>
          </cell>
          <cell r="C58">
            <v>48936.033003443903</v>
          </cell>
          <cell r="D58">
            <v>2613.6939171498152</v>
          </cell>
          <cell r="E58">
            <v>0</v>
          </cell>
          <cell r="F58">
            <v>2613.6939171498152</v>
          </cell>
          <cell r="G58">
            <v>2302.0664043819593</v>
          </cell>
          <cell r="H58">
            <v>311.62751276785599</v>
          </cell>
          <cell r="I58">
            <v>46633.966599061947</v>
          </cell>
        </row>
        <row r="59">
          <cell r="A59">
            <v>42</v>
          </cell>
          <cell r="B59">
            <v>40477</v>
          </cell>
          <cell r="C59">
            <v>46633.966599061947</v>
          </cell>
          <cell r="D59">
            <v>2613.6939171498152</v>
          </cell>
          <cell r="E59">
            <v>0</v>
          </cell>
          <cell r="F59">
            <v>2613.6939171498152</v>
          </cell>
          <cell r="G59">
            <v>2316.7260975322706</v>
          </cell>
          <cell r="H59">
            <v>296.96781961754476</v>
          </cell>
          <cell r="I59">
            <v>44317.240501529675</v>
          </cell>
        </row>
        <row r="60">
          <cell r="A60">
            <v>43</v>
          </cell>
          <cell r="B60">
            <v>40508</v>
          </cell>
          <cell r="C60">
            <v>44317.240501529675</v>
          </cell>
          <cell r="D60">
            <v>2613.6939171498152</v>
          </cell>
          <cell r="E60">
            <v>0</v>
          </cell>
          <cell r="F60">
            <v>2613.6939171498152</v>
          </cell>
          <cell r="G60">
            <v>2331.4791444637117</v>
          </cell>
          <cell r="H60">
            <v>282.21477268610357</v>
          </cell>
          <cell r="I60">
            <v>41985.761357065967</v>
          </cell>
        </row>
        <row r="61">
          <cell r="A61">
            <v>44</v>
          </cell>
          <cell r="B61">
            <v>40538</v>
          </cell>
          <cell r="C61">
            <v>41985.761357065967</v>
          </cell>
          <cell r="D61">
            <v>2613.6939171498152</v>
          </cell>
          <cell r="E61">
            <v>0</v>
          </cell>
          <cell r="F61">
            <v>2613.6939171498152</v>
          </cell>
          <cell r="G61">
            <v>2346.3261396586067</v>
          </cell>
          <cell r="H61">
            <v>267.36777749120859</v>
          </cell>
          <cell r="I61">
            <v>39639.435217407357</v>
          </cell>
        </row>
        <row r="62">
          <cell r="A62">
            <v>45</v>
          </cell>
          <cell r="B62">
            <v>40569</v>
          </cell>
          <cell r="C62">
            <v>39639.435217407357</v>
          </cell>
          <cell r="D62">
            <v>2613.6939171498152</v>
          </cell>
          <cell r="E62">
            <v>0</v>
          </cell>
          <cell r="F62">
            <v>2613.6939171498152</v>
          </cell>
          <cell r="G62">
            <v>2361.2676813849775</v>
          </cell>
          <cell r="H62">
            <v>252.42623576483774</v>
          </cell>
          <cell r="I62">
            <v>37278.167536022382</v>
          </cell>
        </row>
        <row r="63">
          <cell r="A63">
            <v>46</v>
          </cell>
          <cell r="B63">
            <v>40600</v>
          </cell>
          <cell r="C63">
            <v>37278.167536022382</v>
          </cell>
          <cell r="D63">
            <v>2613.6939171498152</v>
          </cell>
          <cell r="E63">
            <v>0</v>
          </cell>
          <cell r="F63">
            <v>2613.6939171498152</v>
          </cell>
          <cell r="G63">
            <v>2376.3043717206519</v>
          </cell>
          <cell r="H63">
            <v>237.38954542916349</v>
          </cell>
          <cell r="I63">
            <v>34901.863164301729</v>
          </cell>
        </row>
        <row r="64">
          <cell r="A64">
            <v>47</v>
          </cell>
          <cell r="B64">
            <v>40628</v>
          </cell>
          <cell r="C64">
            <v>34901.863164301729</v>
          </cell>
          <cell r="D64">
            <v>2613.6939171498152</v>
          </cell>
          <cell r="E64">
            <v>0</v>
          </cell>
          <cell r="F64">
            <v>2613.6939171498152</v>
          </cell>
          <cell r="G64">
            <v>2391.436816577524</v>
          </cell>
          <cell r="H64">
            <v>222.25710057229136</v>
          </cell>
          <cell r="I64">
            <v>32510.426347724206</v>
          </cell>
        </row>
        <row r="65">
          <cell r="A65">
            <v>48</v>
          </cell>
          <cell r="B65">
            <v>40659</v>
          </cell>
          <cell r="C65">
            <v>32510.426347724206</v>
          </cell>
          <cell r="D65">
            <v>2613.6939171498152</v>
          </cell>
          <cell r="E65">
            <v>0</v>
          </cell>
          <cell r="F65">
            <v>2613.6939171498152</v>
          </cell>
          <cell r="G65">
            <v>2406.6656257259706</v>
          </cell>
          <cell r="H65">
            <v>207.02829142384471</v>
          </cell>
          <cell r="I65">
            <v>30103.760721998235</v>
          </cell>
        </row>
        <row r="66">
          <cell r="A66">
            <v>49</v>
          </cell>
          <cell r="B66">
            <v>40689</v>
          </cell>
          <cell r="C66">
            <v>30103.760721998235</v>
          </cell>
          <cell r="D66">
            <v>2613.6939171498152</v>
          </cell>
          <cell r="E66">
            <v>0</v>
          </cell>
          <cell r="F66">
            <v>2613.6939171498152</v>
          </cell>
          <cell r="G66">
            <v>2421.9914128194218</v>
          </cell>
          <cell r="H66">
            <v>191.70250433039357</v>
          </cell>
          <cell r="I66">
            <v>27681.769309178813</v>
          </cell>
        </row>
        <row r="67">
          <cell r="A67">
            <v>50</v>
          </cell>
          <cell r="B67">
            <v>40720</v>
          </cell>
          <cell r="C67">
            <v>27681.769309178813</v>
          </cell>
          <cell r="D67">
            <v>2613.6939171498152</v>
          </cell>
          <cell r="E67">
            <v>0</v>
          </cell>
          <cell r="F67">
            <v>2613.6939171498152</v>
          </cell>
          <cell r="G67">
            <v>2437.414795419088</v>
          </cell>
          <cell r="H67">
            <v>176.27912173072707</v>
          </cell>
          <cell r="I67">
            <v>25244.354513759725</v>
          </cell>
        </row>
        <row r="68">
          <cell r="A68">
            <v>51</v>
          </cell>
          <cell r="B68">
            <v>40750</v>
          </cell>
          <cell r="C68">
            <v>25244.354513759725</v>
          </cell>
          <cell r="D68">
            <v>2613.6939171498152</v>
          </cell>
          <cell r="E68">
            <v>0</v>
          </cell>
          <cell r="F68">
            <v>2613.6939171498152</v>
          </cell>
          <cell r="G68">
            <v>2452.9363950188467</v>
          </cell>
          <cell r="H68">
            <v>160.75752213096857</v>
          </cell>
          <cell r="I68">
            <v>22791.418118740879</v>
          </cell>
        </row>
        <row r="69">
          <cell r="A69">
            <v>52</v>
          </cell>
          <cell r="B69">
            <v>40781</v>
          </cell>
          <cell r="C69">
            <v>22791.418118740879</v>
          </cell>
          <cell r="D69">
            <v>2613.6939171498152</v>
          </cell>
          <cell r="E69">
            <v>0</v>
          </cell>
          <cell r="F69">
            <v>2613.6939171498152</v>
          </cell>
          <cell r="G69">
            <v>2468.5568370702831</v>
          </cell>
          <cell r="H69">
            <v>145.13708007953218</v>
          </cell>
          <cell r="I69">
            <v>20322.861281670597</v>
          </cell>
        </row>
        <row r="70">
          <cell r="A70">
            <v>53</v>
          </cell>
          <cell r="B70">
            <v>40812</v>
          </cell>
          <cell r="C70">
            <v>20322.861281670597</v>
          </cell>
          <cell r="D70">
            <v>2613.6939171498152</v>
          </cell>
          <cell r="E70">
            <v>0</v>
          </cell>
          <cell r="F70">
            <v>2613.6939171498152</v>
          </cell>
          <cell r="G70">
            <v>2484.2767510078952</v>
          </cell>
          <cell r="H70">
            <v>129.41716614191981</v>
          </cell>
          <cell r="I70">
            <v>17838.584530662702</v>
          </cell>
        </row>
        <row r="71">
          <cell r="A71">
            <v>54</v>
          </cell>
          <cell r="B71">
            <v>40842</v>
          </cell>
          <cell r="C71">
            <v>17838.584530662702</v>
          </cell>
          <cell r="D71">
            <v>2613.6939171498152</v>
          </cell>
          <cell r="E71">
            <v>0</v>
          </cell>
          <cell r="F71">
            <v>2613.6939171498152</v>
          </cell>
          <cell r="G71">
            <v>2500.0967702744574</v>
          </cell>
          <cell r="H71">
            <v>113.59714687535772</v>
          </cell>
          <cell r="I71">
            <v>15338.487760388245</v>
          </cell>
        </row>
        <row r="72">
          <cell r="A72">
            <v>55</v>
          </cell>
          <cell r="B72">
            <v>40873</v>
          </cell>
          <cell r="C72">
            <v>15338.487760388245</v>
          </cell>
          <cell r="D72">
            <v>2613.6939171498152</v>
          </cell>
          <cell r="E72">
            <v>0</v>
          </cell>
          <cell r="F72">
            <v>2613.6939171498152</v>
          </cell>
          <cell r="G72">
            <v>2516.0175323465437</v>
          </cell>
          <cell r="H72">
            <v>97.676384803271716</v>
          </cell>
          <cell r="I72">
            <v>12822.4702280417</v>
          </cell>
        </row>
        <row r="73">
          <cell r="A73">
            <v>56</v>
          </cell>
          <cell r="B73">
            <v>40903</v>
          </cell>
          <cell r="C73">
            <v>12822.4702280417</v>
          </cell>
          <cell r="D73">
            <v>2613.6939171498152</v>
          </cell>
          <cell r="E73">
            <v>0</v>
          </cell>
          <cell r="F73">
            <v>2613.6939171498152</v>
          </cell>
          <cell r="G73">
            <v>2532.0396787602158</v>
          </cell>
          <cell r="H73">
            <v>81.654238389599513</v>
          </cell>
          <cell r="I73">
            <v>10290.430549281486</v>
          </cell>
        </row>
        <row r="74">
          <cell r="A74">
            <v>57</v>
          </cell>
          <cell r="B74">
            <v>40934</v>
          </cell>
          <cell r="C74">
            <v>10290.430549281486</v>
          </cell>
          <cell r="D74">
            <v>2613.6939171498152</v>
          </cell>
          <cell r="E74">
            <v>0</v>
          </cell>
          <cell r="F74">
            <v>2613.6939171498152</v>
          </cell>
          <cell r="G74">
            <v>2548.1638551368751</v>
          </cell>
          <cell r="H74">
            <v>65.530062012939879</v>
          </cell>
          <cell r="I74">
            <v>7742.2666941446105</v>
          </cell>
        </row>
        <row r="75">
          <cell r="A75">
            <v>58</v>
          </cell>
          <cell r="B75">
            <v>40965</v>
          </cell>
          <cell r="C75">
            <v>7742.2666941446105</v>
          </cell>
          <cell r="D75">
            <v>2613.6939171498152</v>
          </cell>
          <cell r="E75">
            <v>0</v>
          </cell>
          <cell r="F75">
            <v>2613.6939171498152</v>
          </cell>
          <cell r="G75">
            <v>2564.3907112092784</v>
          </cell>
          <cell r="H75">
            <v>49.303205940536706</v>
          </cell>
          <cell r="I75">
            <v>5177.8759829353321</v>
          </cell>
        </row>
        <row r="76">
          <cell r="A76">
            <v>59</v>
          </cell>
          <cell r="B76">
            <v>40994</v>
          </cell>
          <cell r="C76">
            <v>5177.8759829353321</v>
          </cell>
          <cell r="D76">
            <v>2613.6939171498152</v>
          </cell>
          <cell r="E76">
            <v>0</v>
          </cell>
          <cell r="F76">
            <v>2613.6939171498152</v>
          </cell>
          <cell r="G76">
            <v>2580.7209008477175</v>
          </cell>
          <cell r="H76">
            <v>32.973016302097868</v>
          </cell>
          <cell r="I76">
            <v>2597.1550820876146</v>
          </cell>
        </row>
        <row r="77">
          <cell r="A77">
            <v>60</v>
          </cell>
          <cell r="B77">
            <v>41025</v>
          </cell>
          <cell r="C77">
            <v>2597.1550820876146</v>
          </cell>
          <cell r="D77">
            <v>2613.6939171498152</v>
          </cell>
          <cell r="E77">
            <v>0</v>
          </cell>
          <cell r="F77">
            <v>2597.1550820876146</v>
          </cell>
          <cell r="G77">
            <v>2580.6162470241675</v>
          </cell>
          <cell r="H77">
            <v>16.538835063447053</v>
          </cell>
          <cell r="I77">
            <v>0</v>
          </cell>
        </row>
        <row r="78">
          <cell r="A78">
            <v>61</v>
          </cell>
          <cell r="B78">
            <v>41055</v>
          </cell>
          <cell r="C78">
            <v>0</v>
          </cell>
          <cell r="D78">
            <v>2613.6939171498152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A79">
            <v>62</v>
          </cell>
          <cell r="B79">
            <v>41086</v>
          </cell>
          <cell r="C79">
            <v>0</v>
          </cell>
          <cell r="D79">
            <v>2613.6939171498152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>
            <v>63</v>
          </cell>
          <cell r="B80">
            <v>41116</v>
          </cell>
          <cell r="C80">
            <v>0</v>
          </cell>
          <cell r="D80">
            <v>2613.6939171498152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A81">
            <v>64</v>
          </cell>
          <cell r="B81">
            <v>41147</v>
          </cell>
          <cell r="C81">
            <v>0</v>
          </cell>
          <cell r="D81">
            <v>2613.6939171498152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65</v>
          </cell>
          <cell r="B82">
            <v>41178</v>
          </cell>
          <cell r="C82">
            <v>0</v>
          </cell>
          <cell r="D82">
            <v>2613.6939171498152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A83">
            <v>66</v>
          </cell>
          <cell r="B83">
            <v>41208</v>
          </cell>
          <cell r="C83">
            <v>0</v>
          </cell>
          <cell r="D83">
            <v>2613.6939171498152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A84">
            <v>67</v>
          </cell>
          <cell r="B84">
            <v>41239</v>
          </cell>
          <cell r="C84">
            <v>0</v>
          </cell>
          <cell r="D84">
            <v>2613.6939171498152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68</v>
          </cell>
          <cell r="B85">
            <v>41269</v>
          </cell>
          <cell r="C85">
            <v>0</v>
          </cell>
          <cell r="D85">
            <v>2613.6939171498152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A86">
            <v>69</v>
          </cell>
          <cell r="B86">
            <v>41300</v>
          </cell>
          <cell r="C86">
            <v>0</v>
          </cell>
          <cell r="D86">
            <v>2613.6939171498152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70</v>
          </cell>
          <cell r="B87">
            <v>41331</v>
          </cell>
          <cell r="C87">
            <v>0</v>
          </cell>
          <cell r="D87">
            <v>2613.6939171498152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A88">
            <v>71</v>
          </cell>
          <cell r="B88">
            <v>41359</v>
          </cell>
          <cell r="C88">
            <v>0</v>
          </cell>
          <cell r="D88">
            <v>2613.6939171498152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A89">
            <v>72</v>
          </cell>
          <cell r="B89">
            <v>41390</v>
          </cell>
          <cell r="C89">
            <v>0</v>
          </cell>
          <cell r="D89">
            <v>2613.6939171498152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73</v>
          </cell>
          <cell r="B90">
            <v>41420</v>
          </cell>
          <cell r="C90">
            <v>0</v>
          </cell>
          <cell r="D90">
            <v>2613.6939171498152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74</v>
          </cell>
          <cell r="B91">
            <v>41451</v>
          </cell>
          <cell r="C91">
            <v>0</v>
          </cell>
          <cell r="D91">
            <v>2613.6939171498152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75</v>
          </cell>
          <cell r="B92">
            <v>41481</v>
          </cell>
          <cell r="C92">
            <v>0</v>
          </cell>
          <cell r="D92">
            <v>2613.6939171498152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A93">
            <v>76</v>
          </cell>
          <cell r="B93">
            <v>41512</v>
          </cell>
          <cell r="C93">
            <v>0</v>
          </cell>
          <cell r="D93">
            <v>2613.6939171498152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77</v>
          </cell>
          <cell r="B94">
            <v>41543</v>
          </cell>
          <cell r="C94">
            <v>0</v>
          </cell>
          <cell r="D94">
            <v>2613.6939171498152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A95">
            <v>78</v>
          </cell>
          <cell r="B95">
            <v>41573</v>
          </cell>
          <cell r="C95">
            <v>0</v>
          </cell>
          <cell r="D95">
            <v>2613.6939171498152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A96">
            <v>79</v>
          </cell>
          <cell r="B96">
            <v>41604</v>
          </cell>
          <cell r="C96">
            <v>0</v>
          </cell>
          <cell r="D96">
            <v>2613.6939171498152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A97">
            <v>80</v>
          </cell>
          <cell r="B97">
            <v>41634</v>
          </cell>
          <cell r="C97">
            <v>0</v>
          </cell>
          <cell r="D97">
            <v>2613.6939171498152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A98">
            <v>81</v>
          </cell>
          <cell r="B98">
            <v>41665</v>
          </cell>
          <cell r="C98">
            <v>0</v>
          </cell>
          <cell r="D98">
            <v>2613.6939171498152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A99">
            <v>82</v>
          </cell>
          <cell r="B99">
            <v>41696</v>
          </cell>
          <cell r="C99">
            <v>0</v>
          </cell>
          <cell r="D99">
            <v>2613.6939171498152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A100">
            <v>83</v>
          </cell>
          <cell r="B100">
            <v>41724</v>
          </cell>
          <cell r="C100">
            <v>0</v>
          </cell>
          <cell r="D100">
            <v>2613.6939171498152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A101">
            <v>84</v>
          </cell>
          <cell r="B101">
            <v>41755</v>
          </cell>
          <cell r="C101">
            <v>0</v>
          </cell>
          <cell r="D101">
            <v>2613.6939171498152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A102">
            <v>85</v>
          </cell>
          <cell r="B102">
            <v>41785</v>
          </cell>
          <cell r="C102">
            <v>0</v>
          </cell>
          <cell r="D102">
            <v>2613.6939171498152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A103">
            <v>86</v>
          </cell>
          <cell r="B103">
            <v>41816</v>
          </cell>
          <cell r="C103">
            <v>0</v>
          </cell>
          <cell r="D103">
            <v>2613.6939171498152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87</v>
          </cell>
          <cell r="B104">
            <v>41846</v>
          </cell>
          <cell r="C104">
            <v>0</v>
          </cell>
          <cell r="D104">
            <v>2613.6939171498152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88</v>
          </cell>
          <cell r="B105">
            <v>41877</v>
          </cell>
          <cell r="C105">
            <v>0</v>
          </cell>
          <cell r="D105">
            <v>2613.6939171498152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89</v>
          </cell>
          <cell r="B106">
            <v>41908</v>
          </cell>
          <cell r="C106">
            <v>0</v>
          </cell>
          <cell r="D106">
            <v>2613.6939171498152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90</v>
          </cell>
          <cell r="B107">
            <v>41938</v>
          </cell>
          <cell r="C107">
            <v>0</v>
          </cell>
          <cell r="D107">
            <v>2613.6939171498152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91</v>
          </cell>
          <cell r="B108">
            <v>41969</v>
          </cell>
          <cell r="C108">
            <v>0</v>
          </cell>
          <cell r="D108">
            <v>2613.6939171498152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92</v>
          </cell>
          <cell r="B109">
            <v>41999</v>
          </cell>
          <cell r="C109">
            <v>0</v>
          </cell>
          <cell r="D109">
            <v>2613.6939171498152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93</v>
          </cell>
          <cell r="B110">
            <v>42030</v>
          </cell>
          <cell r="C110">
            <v>0</v>
          </cell>
          <cell r="D110">
            <v>2613.6939171498152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94</v>
          </cell>
          <cell r="B111">
            <v>42061</v>
          </cell>
          <cell r="C111">
            <v>0</v>
          </cell>
          <cell r="D111">
            <v>2613.6939171498152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95</v>
          </cell>
          <cell r="B112">
            <v>42089</v>
          </cell>
          <cell r="C112">
            <v>0</v>
          </cell>
          <cell r="D112">
            <v>2613.6939171498152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96</v>
          </cell>
          <cell r="B113">
            <v>42120</v>
          </cell>
          <cell r="C113">
            <v>0</v>
          </cell>
          <cell r="D113">
            <v>2613.6939171498152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97</v>
          </cell>
          <cell r="B114">
            <v>42150</v>
          </cell>
          <cell r="C114">
            <v>0</v>
          </cell>
          <cell r="D114">
            <v>2613.6939171498152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A115">
            <v>98</v>
          </cell>
          <cell r="B115">
            <v>42181</v>
          </cell>
          <cell r="C115">
            <v>0</v>
          </cell>
          <cell r="D115">
            <v>2613.6939171498152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99</v>
          </cell>
          <cell r="B116">
            <v>42211</v>
          </cell>
          <cell r="C116">
            <v>0</v>
          </cell>
          <cell r="D116">
            <v>2613.6939171498152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100</v>
          </cell>
          <cell r="B117">
            <v>42242</v>
          </cell>
          <cell r="C117">
            <v>0</v>
          </cell>
          <cell r="D117">
            <v>2613.6939171498152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>
            <v>101</v>
          </cell>
          <cell r="B118">
            <v>42273</v>
          </cell>
          <cell r="C118">
            <v>0</v>
          </cell>
          <cell r="D118">
            <v>2613.6939171498152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19">
          <cell r="A119">
            <v>102</v>
          </cell>
          <cell r="B119">
            <v>42303</v>
          </cell>
          <cell r="C119">
            <v>0</v>
          </cell>
          <cell r="D119">
            <v>2613.6939171498152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A120">
            <v>103</v>
          </cell>
          <cell r="B120">
            <v>42334</v>
          </cell>
          <cell r="C120">
            <v>0</v>
          </cell>
          <cell r="D120">
            <v>2613.6939171498152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>
            <v>104</v>
          </cell>
          <cell r="B121">
            <v>42364</v>
          </cell>
          <cell r="C121">
            <v>0</v>
          </cell>
          <cell r="D121">
            <v>2613.6939171498152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A122">
            <v>105</v>
          </cell>
          <cell r="B122">
            <v>42395</v>
          </cell>
          <cell r="C122">
            <v>0</v>
          </cell>
          <cell r="D122">
            <v>2613.6939171498152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A123">
            <v>106</v>
          </cell>
          <cell r="B123">
            <v>42426</v>
          </cell>
          <cell r="C123">
            <v>0</v>
          </cell>
          <cell r="D123">
            <v>2613.6939171498152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A124">
            <v>107</v>
          </cell>
          <cell r="B124">
            <v>42455</v>
          </cell>
          <cell r="C124">
            <v>0</v>
          </cell>
          <cell r="D124">
            <v>2613.6939171498152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A125">
            <v>108</v>
          </cell>
          <cell r="B125">
            <v>42486</v>
          </cell>
          <cell r="C125">
            <v>0</v>
          </cell>
          <cell r="D125">
            <v>2613.6939171498152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</row>
        <row r="126">
          <cell r="A126">
            <v>109</v>
          </cell>
          <cell r="B126">
            <v>42516</v>
          </cell>
          <cell r="C126">
            <v>0</v>
          </cell>
          <cell r="D126">
            <v>2613.6939171498152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110</v>
          </cell>
          <cell r="B127">
            <v>42547</v>
          </cell>
          <cell r="C127">
            <v>0</v>
          </cell>
          <cell r="D127">
            <v>2613.6939171498152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</row>
        <row r="128">
          <cell r="A128">
            <v>111</v>
          </cell>
          <cell r="B128">
            <v>42577</v>
          </cell>
          <cell r="C128">
            <v>0</v>
          </cell>
          <cell r="D128">
            <v>2613.6939171498152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</row>
        <row r="129">
          <cell r="A129">
            <v>112</v>
          </cell>
          <cell r="B129">
            <v>42608</v>
          </cell>
          <cell r="C129">
            <v>0</v>
          </cell>
          <cell r="D129">
            <v>2613.6939171498152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A130">
            <v>113</v>
          </cell>
          <cell r="B130">
            <v>42639</v>
          </cell>
          <cell r="C130">
            <v>0</v>
          </cell>
          <cell r="D130">
            <v>2613.6939171498152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</row>
        <row r="131">
          <cell r="A131">
            <v>114</v>
          </cell>
          <cell r="B131">
            <v>42669</v>
          </cell>
          <cell r="C131">
            <v>0</v>
          </cell>
          <cell r="D131">
            <v>2613.6939171498152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A132">
            <v>115</v>
          </cell>
          <cell r="B132">
            <v>42700</v>
          </cell>
          <cell r="C132">
            <v>0</v>
          </cell>
          <cell r="D132">
            <v>2613.6939171498152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</row>
        <row r="133">
          <cell r="A133">
            <v>116</v>
          </cell>
          <cell r="B133">
            <v>42730</v>
          </cell>
          <cell r="C133">
            <v>0</v>
          </cell>
          <cell r="D133">
            <v>2613.6939171498152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117</v>
          </cell>
          <cell r="B134">
            <v>42761</v>
          </cell>
          <cell r="C134">
            <v>0</v>
          </cell>
          <cell r="D134">
            <v>2613.6939171498152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A135">
            <v>118</v>
          </cell>
          <cell r="B135">
            <v>42792</v>
          </cell>
          <cell r="C135">
            <v>0</v>
          </cell>
          <cell r="D135">
            <v>2613.6939171498152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119</v>
          </cell>
          <cell r="B136">
            <v>42820</v>
          </cell>
          <cell r="C136">
            <v>0</v>
          </cell>
          <cell r="D136">
            <v>2613.6939171498152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>
            <v>120</v>
          </cell>
          <cell r="B137">
            <v>42851</v>
          </cell>
          <cell r="C137">
            <v>0</v>
          </cell>
          <cell r="D137">
            <v>2613.6939171498152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>
            <v>121</v>
          </cell>
          <cell r="B138">
            <v>42881</v>
          </cell>
          <cell r="C138">
            <v>0</v>
          </cell>
          <cell r="D138">
            <v>2613.6939171498152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>
            <v>122</v>
          </cell>
          <cell r="B139">
            <v>42912</v>
          </cell>
          <cell r="C139">
            <v>0</v>
          </cell>
          <cell r="D139">
            <v>2613.6939171498152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123</v>
          </cell>
          <cell r="B140">
            <v>42942</v>
          </cell>
          <cell r="C140">
            <v>0</v>
          </cell>
          <cell r="D140">
            <v>2613.6939171498152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</row>
        <row r="141">
          <cell r="A141">
            <v>124</v>
          </cell>
          <cell r="B141">
            <v>42973</v>
          </cell>
          <cell r="C141">
            <v>0</v>
          </cell>
          <cell r="D141">
            <v>2613.6939171498152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125</v>
          </cell>
          <cell r="B142">
            <v>43004</v>
          </cell>
          <cell r="C142">
            <v>0</v>
          </cell>
          <cell r="D142">
            <v>2613.6939171498152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</row>
        <row r="143">
          <cell r="A143">
            <v>126</v>
          </cell>
          <cell r="B143">
            <v>43034</v>
          </cell>
          <cell r="C143">
            <v>0</v>
          </cell>
          <cell r="D143">
            <v>2613.6939171498152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>
            <v>127</v>
          </cell>
          <cell r="B144">
            <v>43065</v>
          </cell>
          <cell r="C144">
            <v>0</v>
          </cell>
          <cell r="D144">
            <v>2613.6939171498152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</row>
        <row r="145">
          <cell r="A145">
            <v>128</v>
          </cell>
          <cell r="B145">
            <v>43095</v>
          </cell>
          <cell r="C145">
            <v>0</v>
          </cell>
          <cell r="D145">
            <v>2613.6939171498152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A146">
            <v>129</v>
          </cell>
          <cell r="B146">
            <v>43126</v>
          </cell>
          <cell r="C146">
            <v>0</v>
          </cell>
          <cell r="D146">
            <v>2613.6939171498152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>
            <v>130</v>
          </cell>
          <cell r="B147">
            <v>43157</v>
          </cell>
          <cell r="C147">
            <v>0</v>
          </cell>
          <cell r="D147">
            <v>2613.6939171498152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131</v>
          </cell>
          <cell r="B148">
            <v>43185</v>
          </cell>
          <cell r="C148">
            <v>0</v>
          </cell>
          <cell r="D148">
            <v>2613.6939171498152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>
            <v>132</v>
          </cell>
          <cell r="B149">
            <v>43216</v>
          </cell>
          <cell r="C149">
            <v>0</v>
          </cell>
          <cell r="D149">
            <v>2613.6939171498152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>
            <v>133</v>
          </cell>
          <cell r="B150">
            <v>43246</v>
          </cell>
          <cell r="C150">
            <v>0</v>
          </cell>
          <cell r="D150">
            <v>2613.6939171498152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134</v>
          </cell>
          <cell r="B151">
            <v>43277</v>
          </cell>
          <cell r="C151">
            <v>0</v>
          </cell>
          <cell r="D151">
            <v>2613.6939171498152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</row>
        <row r="152">
          <cell r="A152">
            <v>135</v>
          </cell>
          <cell r="B152">
            <v>43307</v>
          </cell>
          <cell r="C152">
            <v>0</v>
          </cell>
          <cell r="D152">
            <v>2613.6939171498152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</row>
        <row r="153">
          <cell r="A153">
            <v>136</v>
          </cell>
          <cell r="B153">
            <v>43338</v>
          </cell>
          <cell r="C153">
            <v>0</v>
          </cell>
          <cell r="D153">
            <v>2613.6939171498152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</row>
        <row r="154">
          <cell r="A154">
            <v>137</v>
          </cell>
          <cell r="B154">
            <v>43369</v>
          </cell>
          <cell r="C154">
            <v>0</v>
          </cell>
          <cell r="D154">
            <v>2613.6939171498152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</row>
        <row r="155">
          <cell r="A155">
            <v>138</v>
          </cell>
          <cell r="B155">
            <v>43399</v>
          </cell>
          <cell r="C155">
            <v>0</v>
          </cell>
          <cell r="D155">
            <v>2613.6939171498152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A156">
            <v>139</v>
          </cell>
          <cell r="B156">
            <v>43430</v>
          </cell>
          <cell r="C156">
            <v>0</v>
          </cell>
          <cell r="D156">
            <v>2613.6939171498152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A157">
            <v>140</v>
          </cell>
          <cell r="B157">
            <v>43460</v>
          </cell>
          <cell r="C157">
            <v>0</v>
          </cell>
          <cell r="D157">
            <v>2613.6939171498152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141</v>
          </cell>
          <cell r="B158">
            <v>43491</v>
          </cell>
          <cell r="C158">
            <v>0</v>
          </cell>
          <cell r="D158">
            <v>2613.6939171498152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142</v>
          </cell>
          <cell r="B159">
            <v>43522</v>
          </cell>
          <cell r="C159">
            <v>0</v>
          </cell>
          <cell r="D159">
            <v>2613.6939171498152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</row>
        <row r="160">
          <cell r="A160">
            <v>143</v>
          </cell>
          <cell r="B160">
            <v>43550</v>
          </cell>
          <cell r="C160">
            <v>0</v>
          </cell>
          <cell r="D160">
            <v>2613.6939171498152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</row>
        <row r="161">
          <cell r="A161">
            <v>144</v>
          </cell>
          <cell r="B161">
            <v>43581</v>
          </cell>
          <cell r="C161">
            <v>0</v>
          </cell>
          <cell r="D161">
            <v>2613.6939171498152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</row>
        <row r="162">
          <cell r="A162">
            <v>145</v>
          </cell>
          <cell r="B162">
            <v>43611</v>
          </cell>
          <cell r="C162">
            <v>0</v>
          </cell>
          <cell r="D162">
            <v>2613.6939171498152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</row>
        <row r="163">
          <cell r="A163">
            <v>146</v>
          </cell>
          <cell r="B163">
            <v>43642</v>
          </cell>
          <cell r="C163">
            <v>0</v>
          </cell>
          <cell r="D163">
            <v>2613.6939171498152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</row>
        <row r="164">
          <cell r="A164">
            <v>147</v>
          </cell>
          <cell r="B164">
            <v>43672</v>
          </cell>
          <cell r="C164">
            <v>0</v>
          </cell>
          <cell r="D164">
            <v>2613.6939171498152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148</v>
          </cell>
          <cell r="B165">
            <v>43703</v>
          </cell>
          <cell r="C165">
            <v>0</v>
          </cell>
          <cell r="D165">
            <v>2613.6939171498152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149</v>
          </cell>
          <cell r="B166">
            <v>43734</v>
          </cell>
          <cell r="C166">
            <v>0</v>
          </cell>
          <cell r="D166">
            <v>2613.6939171498152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150</v>
          </cell>
          <cell r="B167">
            <v>43764</v>
          </cell>
          <cell r="C167">
            <v>0</v>
          </cell>
          <cell r="D167">
            <v>2613.6939171498152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A168">
            <v>151</v>
          </cell>
          <cell r="B168">
            <v>43795</v>
          </cell>
          <cell r="C168">
            <v>0</v>
          </cell>
          <cell r="D168">
            <v>2613.6939171498152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A169">
            <v>152</v>
          </cell>
          <cell r="B169">
            <v>43825</v>
          </cell>
          <cell r="C169">
            <v>0</v>
          </cell>
          <cell r="D169">
            <v>2613.6939171498152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153</v>
          </cell>
          <cell r="B170">
            <v>43856</v>
          </cell>
          <cell r="C170">
            <v>0</v>
          </cell>
          <cell r="D170">
            <v>2613.6939171498152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154</v>
          </cell>
          <cell r="B171">
            <v>43887</v>
          </cell>
          <cell r="C171">
            <v>0</v>
          </cell>
          <cell r="D171">
            <v>2613.6939171498152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155</v>
          </cell>
          <cell r="B172">
            <v>43916</v>
          </cell>
          <cell r="C172">
            <v>0</v>
          </cell>
          <cell r="D172">
            <v>2613.6939171498152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156</v>
          </cell>
          <cell r="B173">
            <v>43947</v>
          </cell>
          <cell r="C173">
            <v>0</v>
          </cell>
          <cell r="D173">
            <v>2613.6939171498152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157</v>
          </cell>
          <cell r="B174">
            <v>43977</v>
          </cell>
          <cell r="C174">
            <v>0</v>
          </cell>
          <cell r="D174">
            <v>2613.6939171498152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A175">
            <v>158</v>
          </cell>
          <cell r="B175">
            <v>44008</v>
          </cell>
          <cell r="C175">
            <v>0</v>
          </cell>
          <cell r="D175">
            <v>2613.6939171498152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159</v>
          </cell>
          <cell r="B176">
            <v>44038</v>
          </cell>
          <cell r="C176">
            <v>0</v>
          </cell>
          <cell r="D176">
            <v>2613.6939171498152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A177">
            <v>160</v>
          </cell>
          <cell r="B177">
            <v>44069</v>
          </cell>
          <cell r="C177">
            <v>0</v>
          </cell>
          <cell r="D177">
            <v>2613.6939171498152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161</v>
          </cell>
          <cell r="B178">
            <v>44100</v>
          </cell>
          <cell r="C178">
            <v>0</v>
          </cell>
          <cell r="D178">
            <v>2613.6939171498152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162</v>
          </cell>
          <cell r="B179">
            <v>44130</v>
          </cell>
          <cell r="C179">
            <v>0</v>
          </cell>
          <cell r="D179">
            <v>2613.6939171498152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163</v>
          </cell>
          <cell r="B180">
            <v>44161</v>
          </cell>
          <cell r="C180">
            <v>0</v>
          </cell>
          <cell r="D180">
            <v>2613.6939171498152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A181">
            <v>164</v>
          </cell>
          <cell r="B181">
            <v>44191</v>
          </cell>
          <cell r="C181">
            <v>0</v>
          </cell>
          <cell r="D181">
            <v>2613.6939171498152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A182">
            <v>165</v>
          </cell>
          <cell r="B182">
            <v>44222</v>
          </cell>
          <cell r="C182">
            <v>0</v>
          </cell>
          <cell r="D182">
            <v>2613.6939171498152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A183">
            <v>166</v>
          </cell>
          <cell r="B183">
            <v>44253</v>
          </cell>
          <cell r="C183">
            <v>0</v>
          </cell>
          <cell r="D183">
            <v>2613.6939171498152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167</v>
          </cell>
          <cell r="B184">
            <v>44281</v>
          </cell>
          <cell r="C184">
            <v>0</v>
          </cell>
          <cell r="D184">
            <v>2613.6939171498152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A185">
            <v>168</v>
          </cell>
          <cell r="B185">
            <v>44312</v>
          </cell>
          <cell r="C185">
            <v>0</v>
          </cell>
          <cell r="D185">
            <v>2613.6939171498152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169</v>
          </cell>
          <cell r="B186">
            <v>44342</v>
          </cell>
          <cell r="C186">
            <v>0</v>
          </cell>
          <cell r="D186">
            <v>2613.6939171498152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>
            <v>170</v>
          </cell>
          <cell r="B187">
            <v>44373</v>
          </cell>
          <cell r="C187">
            <v>0</v>
          </cell>
          <cell r="D187">
            <v>2613.6939171498152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171</v>
          </cell>
          <cell r="B188">
            <v>44403</v>
          </cell>
          <cell r="C188">
            <v>0</v>
          </cell>
          <cell r="D188">
            <v>2613.6939171498152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A189">
            <v>172</v>
          </cell>
          <cell r="B189">
            <v>44434</v>
          </cell>
          <cell r="C189">
            <v>0</v>
          </cell>
          <cell r="D189">
            <v>2613.6939171498152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A190">
            <v>173</v>
          </cell>
          <cell r="B190">
            <v>44465</v>
          </cell>
          <cell r="C190">
            <v>0</v>
          </cell>
          <cell r="D190">
            <v>2613.6939171498152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174</v>
          </cell>
          <cell r="B191">
            <v>44495</v>
          </cell>
          <cell r="C191">
            <v>0</v>
          </cell>
          <cell r="D191">
            <v>2613.6939171498152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A192">
            <v>175</v>
          </cell>
          <cell r="B192">
            <v>44526</v>
          </cell>
          <cell r="C192">
            <v>0</v>
          </cell>
          <cell r="D192">
            <v>2613.6939171498152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A193">
            <v>176</v>
          </cell>
          <cell r="B193">
            <v>44556</v>
          </cell>
          <cell r="C193">
            <v>0</v>
          </cell>
          <cell r="D193">
            <v>2613.6939171498152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177</v>
          </cell>
          <cell r="B194">
            <v>44587</v>
          </cell>
          <cell r="C194">
            <v>0</v>
          </cell>
          <cell r="D194">
            <v>2613.6939171498152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178</v>
          </cell>
          <cell r="B195">
            <v>44618</v>
          </cell>
          <cell r="C195">
            <v>0</v>
          </cell>
          <cell r="D195">
            <v>2613.6939171498152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A196">
            <v>179</v>
          </cell>
          <cell r="B196">
            <v>44646</v>
          </cell>
          <cell r="C196">
            <v>0</v>
          </cell>
          <cell r="D196">
            <v>2613.6939171498152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180</v>
          </cell>
          <cell r="B197">
            <v>44677</v>
          </cell>
          <cell r="C197">
            <v>0</v>
          </cell>
          <cell r="D197">
            <v>2613.6939171498152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</row>
        <row r="198">
          <cell r="A198">
            <v>181</v>
          </cell>
          <cell r="B198">
            <v>44707</v>
          </cell>
          <cell r="C198">
            <v>0</v>
          </cell>
          <cell r="D198">
            <v>2613.6939171498152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</row>
        <row r="199">
          <cell r="A199">
            <v>182</v>
          </cell>
          <cell r="B199">
            <v>44738</v>
          </cell>
          <cell r="C199">
            <v>0</v>
          </cell>
          <cell r="D199">
            <v>2613.6939171498152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</row>
        <row r="200">
          <cell r="A200">
            <v>183</v>
          </cell>
          <cell r="B200">
            <v>44768</v>
          </cell>
          <cell r="C200">
            <v>0</v>
          </cell>
          <cell r="D200">
            <v>2613.6939171498152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</row>
        <row r="201">
          <cell r="A201">
            <v>184</v>
          </cell>
          <cell r="B201">
            <v>44799</v>
          </cell>
          <cell r="C201">
            <v>0</v>
          </cell>
          <cell r="D201">
            <v>2613.6939171498152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>
            <v>185</v>
          </cell>
          <cell r="B202">
            <v>44830</v>
          </cell>
          <cell r="C202">
            <v>0</v>
          </cell>
          <cell r="D202">
            <v>2613.6939171498152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>
            <v>186</v>
          </cell>
          <cell r="B203">
            <v>44860</v>
          </cell>
          <cell r="C203">
            <v>0</v>
          </cell>
          <cell r="D203">
            <v>2613.6939171498152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</row>
        <row r="204">
          <cell r="A204">
            <v>187</v>
          </cell>
          <cell r="B204">
            <v>44891</v>
          </cell>
          <cell r="C204">
            <v>0</v>
          </cell>
          <cell r="D204">
            <v>2613.6939171498152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</row>
        <row r="205">
          <cell r="A205">
            <v>188</v>
          </cell>
          <cell r="B205">
            <v>44921</v>
          </cell>
          <cell r="C205">
            <v>0</v>
          </cell>
          <cell r="D205">
            <v>2613.6939171498152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</row>
        <row r="206">
          <cell r="A206">
            <v>189</v>
          </cell>
          <cell r="B206">
            <v>44952</v>
          </cell>
          <cell r="C206">
            <v>0</v>
          </cell>
          <cell r="D206">
            <v>2613.6939171498152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</row>
        <row r="207">
          <cell r="A207">
            <v>190</v>
          </cell>
          <cell r="B207">
            <v>44983</v>
          </cell>
          <cell r="C207">
            <v>0</v>
          </cell>
          <cell r="D207">
            <v>2613.6939171498152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</row>
        <row r="208">
          <cell r="A208">
            <v>191</v>
          </cell>
          <cell r="B208">
            <v>45011</v>
          </cell>
          <cell r="C208">
            <v>0</v>
          </cell>
          <cell r="D208">
            <v>2613.6939171498152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</row>
        <row r="209">
          <cell r="A209">
            <v>192</v>
          </cell>
          <cell r="B209">
            <v>45042</v>
          </cell>
          <cell r="C209">
            <v>0</v>
          </cell>
          <cell r="D209">
            <v>2613.6939171498152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</row>
        <row r="210">
          <cell r="A210">
            <v>193</v>
          </cell>
          <cell r="B210">
            <v>45072</v>
          </cell>
          <cell r="C210">
            <v>0</v>
          </cell>
          <cell r="D210">
            <v>2613.6939171498152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</row>
        <row r="211">
          <cell r="A211">
            <v>194</v>
          </cell>
          <cell r="B211">
            <v>45103</v>
          </cell>
          <cell r="C211">
            <v>0</v>
          </cell>
          <cell r="D211">
            <v>2613.6939171498152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</row>
        <row r="212">
          <cell r="A212">
            <v>195</v>
          </cell>
          <cell r="B212">
            <v>45133</v>
          </cell>
          <cell r="C212">
            <v>0</v>
          </cell>
          <cell r="D212">
            <v>2613.6939171498152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</row>
        <row r="213">
          <cell r="A213">
            <v>196</v>
          </cell>
          <cell r="B213">
            <v>45164</v>
          </cell>
          <cell r="C213">
            <v>0</v>
          </cell>
          <cell r="D213">
            <v>2613.6939171498152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</row>
        <row r="214">
          <cell r="A214">
            <v>197</v>
          </cell>
          <cell r="B214">
            <v>45195</v>
          </cell>
          <cell r="C214">
            <v>0</v>
          </cell>
          <cell r="D214">
            <v>2613.6939171498152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</row>
        <row r="215">
          <cell r="A215">
            <v>198</v>
          </cell>
          <cell r="B215">
            <v>45225</v>
          </cell>
          <cell r="C215">
            <v>0</v>
          </cell>
          <cell r="D215">
            <v>2613.6939171498152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</row>
        <row r="216">
          <cell r="A216">
            <v>199</v>
          </cell>
          <cell r="B216">
            <v>45256</v>
          </cell>
          <cell r="C216">
            <v>0</v>
          </cell>
          <cell r="D216">
            <v>2613.6939171498152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</row>
        <row r="217">
          <cell r="A217">
            <v>200</v>
          </cell>
          <cell r="B217">
            <v>45286</v>
          </cell>
          <cell r="C217">
            <v>0</v>
          </cell>
          <cell r="D217">
            <v>2613.6939171498152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</row>
        <row r="218">
          <cell r="A218">
            <v>201</v>
          </cell>
          <cell r="B218">
            <v>45317</v>
          </cell>
          <cell r="C218">
            <v>0</v>
          </cell>
          <cell r="D218">
            <v>2613.6939171498152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</row>
        <row r="219">
          <cell r="A219">
            <v>202</v>
          </cell>
          <cell r="B219">
            <v>45348</v>
          </cell>
          <cell r="C219">
            <v>0</v>
          </cell>
          <cell r="D219">
            <v>2613.6939171498152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</row>
        <row r="220">
          <cell r="A220">
            <v>203</v>
          </cell>
          <cell r="B220">
            <v>45377</v>
          </cell>
          <cell r="C220">
            <v>0</v>
          </cell>
          <cell r="D220">
            <v>2613.6939171498152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</row>
        <row r="221">
          <cell r="A221">
            <v>204</v>
          </cell>
          <cell r="B221">
            <v>45408</v>
          </cell>
          <cell r="C221">
            <v>0</v>
          </cell>
          <cell r="D221">
            <v>2613.6939171498152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>
            <v>205</v>
          </cell>
          <cell r="B222">
            <v>45438</v>
          </cell>
          <cell r="C222">
            <v>0</v>
          </cell>
          <cell r="D222">
            <v>2613.6939171498152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</row>
        <row r="223">
          <cell r="A223">
            <v>206</v>
          </cell>
          <cell r="B223">
            <v>45469</v>
          </cell>
          <cell r="C223">
            <v>0</v>
          </cell>
          <cell r="D223">
            <v>2613.6939171498152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A224">
            <v>207</v>
          </cell>
          <cell r="B224">
            <v>45499</v>
          </cell>
          <cell r="C224">
            <v>0</v>
          </cell>
          <cell r="D224">
            <v>2613.6939171498152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</row>
        <row r="225">
          <cell r="A225">
            <v>208</v>
          </cell>
          <cell r="B225">
            <v>45530</v>
          </cell>
          <cell r="C225">
            <v>0</v>
          </cell>
          <cell r="D225">
            <v>2613.6939171498152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</row>
        <row r="226">
          <cell r="A226">
            <v>209</v>
          </cell>
          <cell r="B226">
            <v>45561</v>
          </cell>
          <cell r="C226">
            <v>0</v>
          </cell>
          <cell r="D226">
            <v>2613.6939171498152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</row>
        <row r="227">
          <cell r="A227">
            <v>210</v>
          </cell>
          <cell r="B227">
            <v>45591</v>
          </cell>
          <cell r="C227">
            <v>0</v>
          </cell>
          <cell r="D227">
            <v>2613.6939171498152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>
            <v>211</v>
          </cell>
          <cell r="B228">
            <v>45622</v>
          </cell>
          <cell r="C228">
            <v>0</v>
          </cell>
          <cell r="D228">
            <v>2613.6939171498152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</row>
        <row r="229">
          <cell r="A229">
            <v>212</v>
          </cell>
          <cell r="B229">
            <v>45652</v>
          </cell>
          <cell r="C229">
            <v>0</v>
          </cell>
          <cell r="D229">
            <v>2613.6939171498152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</row>
        <row r="230">
          <cell r="A230">
            <v>213</v>
          </cell>
          <cell r="B230">
            <v>45683</v>
          </cell>
          <cell r="C230">
            <v>0</v>
          </cell>
          <cell r="D230">
            <v>2613.6939171498152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214</v>
          </cell>
          <cell r="B231">
            <v>45714</v>
          </cell>
          <cell r="C231">
            <v>0</v>
          </cell>
          <cell r="D231">
            <v>2613.6939171498152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</row>
        <row r="232">
          <cell r="A232">
            <v>215</v>
          </cell>
          <cell r="B232">
            <v>45742</v>
          </cell>
          <cell r="C232">
            <v>0</v>
          </cell>
          <cell r="D232">
            <v>2613.6939171498152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</row>
        <row r="233">
          <cell r="A233">
            <v>216</v>
          </cell>
          <cell r="B233">
            <v>45773</v>
          </cell>
          <cell r="C233">
            <v>0</v>
          </cell>
          <cell r="D233">
            <v>2613.6939171498152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</row>
        <row r="234">
          <cell r="A234">
            <v>217</v>
          </cell>
          <cell r="B234">
            <v>45803</v>
          </cell>
          <cell r="C234">
            <v>0</v>
          </cell>
          <cell r="D234">
            <v>2613.6939171498152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</row>
        <row r="235">
          <cell r="A235">
            <v>218</v>
          </cell>
          <cell r="B235">
            <v>45834</v>
          </cell>
          <cell r="C235">
            <v>0</v>
          </cell>
          <cell r="D235">
            <v>2613.6939171498152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</row>
        <row r="236">
          <cell r="A236">
            <v>219</v>
          </cell>
          <cell r="B236">
            <v>45864</v>
          </cell>
          <cell r="C236">
            <v>0</v>
          </cell>
          <cell r="D236">
            <v>2613.6939171498152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</row>
        <row r="237">
          <cell r="A237">
            <v>220</v>
          </cell>
          <cell r="B237">
            <v>45895</v>
          </cell>
          <cell r="C237">
            <v>0</v>
          </cell>
          <cell r="D237">
            <v>2613.6939171498152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</row>
        <row r="238">
          <cell r="A238">
            <v>221</v>
          </cell>
          <cell r="B238">
            <v>45926</v>
          </cell>
          <cell r="C238">
            <v>0</v>
          </cell>
          <cell r="D238">
            <v>2613.6939171498152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</row>
        <row r="239">
          <cell r="A239">
            <v>222</v>
          </cell>
          <cell r="B239">
            <v>45956</v>
          </cell>
          <cell r="C239">
            <v>0</v>
          </cell>
          <cell r="D239">
            <v>2613.6939171498152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</row>
        <row r="240">
          <cell r="A240">
            <v>223</v>
          </cell>
          <cell r="B240">
            <v>45987</v>
          </cell>
          <cell r="C240">
            <v>0</v>
          </cell>
          <cell r="D240">
            <v>2613.6939171498152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</row>
        <row r="241">
          <cell r="A241">
            <v>224</v>
          </cell>
          <cell r="B241">
            <v>46017</v>
          </cell>
          <cell r="C241">
            <v>0</v>
          </cell>
          <cell r="D241">
            <v>2613.6939171498152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A242">
            <v>225</v>
          </cell>
          <cell r="B242">
            <v>46048</v>
          </cell>
          <cell r="C242">
            <v>0</v>
          </cell>
          <cell r="D242">
            <v>2613.6939171498152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</row>
        <row r="243">
          <cell r="A243">
            <v>226</v>
          </cell>
          <cell r="B243">
            <v>46079</v>
          </cell>
          <cell r="C243">
            <v>0</v>
          </cell>
          <cell r="D243">
            <v>2613.6939171498152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</row>
        <row r="244">
          <cell r="A244">
            <v>227</v>
          </cell>
          <cell r="B244">
            <v>46107</v>
          </cell>
          <cell r="C244">
            <v>0</v>
          </cell>
          <cell r="D244">
            <v>2613.6939171498152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</row>
        <row r="245">
          <cell r="A245">
            <v>228</v>
          </cell>
          <cell r="B245">
            <v>46138</v>
          </cell>
          <cell r="C245">
            <v>0</v>
          </cell>
          <cell r="D245">
            <v>2613.6939171498152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</row>
        <row r="246">
          <cell r="A246">
            <v>229</v>
          </cell>
          <cell r="B246">
            <v>46168</v>
          </cell>
          <cell r="C246">
            <v>0</v>
          </cell>
          <cell r="D246">
            <v>2613.6939171498152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A247">
            <v>230</v>
          </cell>
          <cell r="B247">
            <v>46199</v>
          </cell>
          <cell r="C247">
            <v>0</v>
          </cell>
          <cell r="D247">
            <v>2613.6939171498152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</row>
        <row r="248">
          <cell r="A248">
            <v>231</v>
          </cell>
          <cell r="B248">
            <v>46229</v>
          </cell>
          <cell r="C248">
            <v>0</v>
          </cell>
          <cell r="D248">
            <v>2613.6939171498152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</row>
        <row r="249">
          <cell r="A249">
            <v>232</v>
          </cell>
          <cell r="B249">
            <v>46260</v>
          </cell>
          <cell r="C249">
            <v>0</v>
          </cell>
          <cell r="D249">
            <v>2613.6939171498152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</row>
        <row r="250">
          <cell r="A250">
            <v>233</v>
          </cell>
          <cell r="B250">
            <v>46291</v>
          </cell>
          <cell r="C250">
            <v>0</v>
          </cell>
          <cell r="D250">
            <v>2613.6939171498152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</row>
        <row r="251">
          <cell r="A251">
            <v>234</v>
          </cell>
          <cell r="B251">
            <v>46321</v>
          </cell>
          <cell r="C251">
            <v>0</v>
          </cell>
          <cell r="D251">
            <v>2613.6939171498152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</row>
        <row r="252">
          <cell r="A252">
            <v>235</v>
          </cell>
          <cell r="B252">
            <v>46352</v>
          </cell>
          <cell r="C252">
            <v>0</v>
          </cell>
          <cell r="D252">
            <v>2613.6939171498152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</row>
        <row r="253">
          <cell r="A253">
            <v>236</v>
          </cell>
          <cell r="B253">
            <v>46382</v>
          </cell>
          <cell r="C253">
            <v>0</v>
          </cell>
          <cell r="D253">
            <v>2613.6939171498152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>
            <v>237</v>
          </cell>
          <cell r="B254">
            <v>46413</v>
          </cell>
          <cell r="C254">
            <v>0</v>
          </cell>
          <cell r="D254">
            <v>2613.6939171498152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</row>
        <row r="255">
          <cell r="A255">
            <v>238</v>
          </cell>
          <cell r="B255">
            <v>46444</v>
          </cell>
          <cell r="C255">
            <v>0</v>
          </cell>
          <cell r="D255">
            <v>2613.6939171498152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>
            <v>239</v>
          </cell>
          <cell r="B256">
            <v>46472</v>
          </cell>
          <cell r="C256">
            <v>0</v>
          </cell>
          <cell r="D256">
            <v>2613.6939171498152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</row>
        <row r="257">
          <cell r="A257">
            <v>240</v>
          </cell>
          <cell r="B257">
            <v>46503</v>
          </cell>
          <cell r="C257">
            <v>0</v>
          </cell>
          <cell r="D257">
            <v>2613.6939171498152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>
            <v>241</v>
          </cell>
          <cell r="B258">
            <v>46533</v>
          </cell>
          <cell r="C258">
            <v>0</v>
          </cell>
          <cell r="D258">
            <v>2613.6939171498152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A259">
            <v>242</v>
          </cell>
          <cell r="B259">
            <v>46564</v>
          </cell>
          <cell r="C259">
            <v>0</v>
          </cell>
          <cell r="D259">
            <v>2613.6939171498152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>
            <v>243</v>
          </cell>
          <cell r="B260">
            <v>46594</v>
          </cell>
          <cell r="C260">
            <v>0</v>
          </cell>
          <cell r="D260">
            <v>2613.6939171498152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</row>
        <row r="261">
          <cell r="A261">
            <v>244</v>
          </cell>
          <cell r="B261">
            <v>46625</v>
          </cell>
          <cell r="C261">
            <v>0</v>
          </cell>
          <cell r="D261">
            <v>2613.6939171498152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</row>
        <row r="262">
          <cell r="A262">
            <v>245</v>
          </cell>
          <cell r="B262">
            <v>46656</v>
          </cell>
          <cell r="C262">
            <v>0</v>
          </cell>
          <cell r="D262">
            <v>2613.6939171498152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A263">
            <v>246</v>
          </cell>
          <cell r="B263">
            <v>46686</v>
          </cell>
          <cell r="C263">
            <v>0</v>
          </cell>
          <cell r="D263">
            <v>2613.6939171498152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A264">
            <v>247</v>
          </cell>
          <cell r="B264">
            <v>46717</v>
          </cell>
          <cell r="C264">
            <v>0</v>
          </cell>
          <cell r="D264">
            <v>2613.6939171498152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5">
          <cell r="A265">
            <v>248</v>
          </cell>
          <cell r="B265">
            <v>46747</v>
          </cell>
          <cell r="C265">
            <v>0</v>
          </cell>
          <cell r="D265">
            <v>2613.6939171498152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</row>
        <row r="266">
          <cell r="A266">
            <v>249</v>
          </cell>
          <cell r="B266">
            <v>46778</v>
          </cell>
          <cell r="C266">
            <v>0</v>
          </cell>
          <cell r="D266">
            <v>2613.6939171498152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</row>
        <row r="267">
          <cell r="A267">
            <v>250</v>
          </cell>
          <cell r="B267">
            <v>46809</v>
          </cell>
          <cell r="C267">
            <v>0</v>
          </cell>
          <cell r="D267">
            <v>2613.6939171498152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A268">
            <v>251</v>
          </cell>
          <cell r="B268">
            <v>46838</v>
          </cell>
          <cell r="C268">
            <v>0</v>
          </cell>
          <cell r="D268">
            <v>2613.6939171498152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</row>
        <row r="269">
          <cell r="A269">
            <v>252</v>
          </cell>
          <cell r="B269">
            <v>46869</v>
          </cell>
          <cell r="C269">
            <v>0</v>
          </cell>
          <cell r="D269">
            <v>2613.6939171498152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A270">
            <v>253</v>
          </cell>
          <cell r="B270">
            <v>46899</v>
          </cell>
          <cell r="C270">
            <v>0</v>
          </cell>
          <cell r="D270">
            <v>2613.6939171498152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</row>
        <row r="271">
          <cell r="A271">
            <v>254</v>
          </cell>
          <cell r="B271">
            <v>46930</v>
          </cell>
          <cell r="C271">
            <v>0</v>
          </cell>
          <cell r="D271">
            <v>2613.6939171498152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</row>
        <row r="272">
          <cell r="A272">
            <v>255</v>
          </cell>
          <cell r="B272">
            <v>46960</v>
          </cell>
          <cell r="C272">
            <v>0</v>
          </cell>
          <cell r="D272">
            <v>2613.6939171498152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</row>
        <row r="273">
          <cell r="A273">
            <v>256</v>
          </cell>
          <cell r="B273">
            <v>46991</v>
          </cell>
          <cell r="C273">
            <v>0</v>
          </cell>
          <cell r="D273">
            <v>2613.6939171498152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</row>
        <row r="274">
          <cell r="A274">
            <v>257</v>
          </cell>
          <cell r="B274">
            <v>47022</v>
          </cell>
          <cell r="C274">
            <v>0</v>
          </cell>
          <cell r="D274">
            <v>2613.6939171498152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</row>
        <row r="275">
          <cell r="A275">
            <v>258</v>
          </cell>
          <cell r="B275">
            <v>47052</v>
          </cell>
          <cell r="C275">
            <v>0</v>
          </cell>
          <cell r="D275">
            <v>2613.6939171498152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</row>
        <row r="276">
          <cell r="A276">
            <v>259</v>
          </cell>
          <cell r="B276">
            <v>47083</v>
          </cell>
          <cell r="C276">
            <v>0</v>
          </cell>
          <cell r="D276">
            <v>2613.6939171498152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>
            <v>260</v>
          </cell>
          <cell r="B277">
            <v>47113</v>
          </cell>
          <cell r="C277">
            <v>0</v>
          </cell>
          <cell r="D277">
            <v>2613.6939171498152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</row>
        <row r="278">
          <cell r="A278">
            <v>261</v>
          </cell>
          <cell r="B278">
            <v>47144</v>
          </cell>
          <cell r="C278">
            <v>0</v>
          </cell>
          <cell r="D278">
            <v>2613.6939171498152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>
            <v>262</v>
          </cell>
          <cell r="B279">
            <v>47175</v>
          </cell>
          <cell r="C279">
            <v>0</v>
          </cell>
          <cell r="D279">
            <v>2613.6939171498152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</row>
        <row r="280">
          <cell r="A280">
            <v>263</v>
          </cell>
          <cell r="B280">
            <v>47203</v>
          </cell>
          <cell r="C280">
            <v>0</v>
          </cell>
          <cell r="D280">
            <v>2613.6939171498152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>
            <v>264</v>
          </cell>
          <cell r="B281">
            <v>47234</v>
          </cell>
          <cell r="C281">
            <v>0</v>
          </cell>
          <cell r="D281">
            <v>2613.6939171498152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</row>
        <row r="282">
          <cell r="A282">
            <v>265</v>
          </cell>
          <cell r="B282">
            <v>47264</v>
          </cell>
          <cell r="C282">
            <v>0</v>
          </cell>
          <cell r="D282">
            <v>2613.6939171498152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</row>
        <row r="283">
          <cell r="A283">
            <v>266</v>
          </cell>
          <cell r="B283">
            <v>47295</v>
          </cell>
          <cell r="C283">
            <v>0</v>
          </cell>
          <cell r="D283">
            <v>2613.6939171498152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</row>
        <row r="284">
          <cell r="A284">
            <v>267</v>
          </cell>
          <cell r="B284">
            <v>47325</v>
          </cell>
          <cell r="C284">
            <v>0</v>
          </cell>
          <cell r="D284">
            <v>2613.6939171498152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</row>
        <row r="285">
          <cell r="A285">
            <v>268</v>
          </cell>
          <cell r="B285">
            <v>47356</v>
          </cell>
          <cell r="C285">
            <v>0</v>
          </cell>
          <cell r="D285">
            <v>2613.6939171498152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</row>
        <row r="286">
          <cell r="A286">
            <v>269</v>
          </cell>
          <cell r="B286">
            <v>47387</v>
          </cell>
          <cell r="C286">
            <v>0</v>
          </cell>
          <cell r="D286">
            <v>2613.6939171498152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</row>
        <row r="287">
          <cell r="A287">
            <v>270</v>
          </cell>
          <cell r="B287">
            <v>47417</v>
          </cell>
          <cell r="C287">
            <v>0</v>
          </cell>
          <cell r="D287">
            <v>2613.6939171498152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</row>
        <row r="288">
          <cell r="A288">
            <v>271</v>
          </cell>
          <cell r="B288">
            <v>47448</v>
          </cell>
          <cell r="C288">
            <v>0</v>
          </cell>
          <cell r="D288">
            <v>2613.6939171498152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</row>
        <row r="289">
          <cell r="A289">
            <v>272</v>
          </cell>
          <cell r="B289">
            <v>47478</v>
          </cell>
          <cell r="C289">
            <v>0</v>
          </cell>
          <cell r="D289">
            <v>2613.6939171498152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</row>
        <row r="290">
          <cell r="A290">
            <v>273</v>
          </cell>
          <cell r="B290">
            <v>47509</v>
          </cell>
          <cell r="C290">
            <v>0</v>
          </cell>
          <cell r="D290">
            <v>2613.6939171498152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</row>
        <row r="291">
          <cell r="A291">
            <v>274</v>
          </cell>
          <cell r="B291">
            <v>47540</v>
          </cell>
          <cell r="C291">
            <v>0</v>
          </cell>
          <cell r="D291">
            <v>2613.6939171498152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</row>
        <row r="292">
          <cell r="A292">
            <v>275</v>
          </cell>
          <cell r="B292">
            <v>47568</v>
          </cell>
          <cell r="C292">
            <v>0</v>
          </cell>
          <cell r="D292">
            <v>2613.6939171498152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</row>
        <row r="293">
          <cell r="A293">
            <v>276</v>
          </cell>
          <cell r="B293">
            <v>47599</v>
          </cell>
          <cell r="C293">
            <v>0</v>
          </cell>
          <cell r="D293">
            <v>2613.6939171498152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</row>
        <row r="294">
          <cell r="A294">
            <v>277</v>
          </cell>
          <cell r="B294">
            <v>47629</v>
          </cell>
          <cell r="C294">
            <v>0</v>
          </cell>
          <cell r="D294">
            <v>2613.6939171498152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</row>
        <row r="295">
          <cell r="A295">
            <v>278</v>
          </cell>
          <cell r="B295">
            <v>47660</v>
          </cell>
          <cell r="C295">
            <v>0</v>
          </cell>
          <cell r="D295">
            <v>2613.6939171498152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>
            <v>279</v>
          </cell>
          <cell r="B296">
            <v>47690</v>
          </cell>
          <cell r="C296">
            <v>0</v>
          </cell>
          <cell r="D296">
            <v>2613.6939171498152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>
            <v>280</v>
          </cell>
          <cell r="B297">
            <v>47721</v>
          </cell>
          <cell r="C297">
            <v>0</v>
          </cell>
          <cell r="D297">
            <v>2613.6939171498152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>
            <v>281</v>
          </cell>
          <cell r="B298">
            <v>47752</v>
          </cell>
          <cell r="C298">
            <v>0</v>
          </cell>
          <cell r="D298">
            <v>2613.6939171498152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>
            <v>282</v>
          </cell>
          <cell r="B299">
            <v>47782</v>
          </cell>
          <cell r="C299">
            <v>0</v>
          </cell>
          <cell r="D299">
            <v>2613.6939171498152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>
            <v>283</v>
          </cell>
          <cell r="B300">
            <v>47813</v>
          </cell>
          <cell r="C300">
            <v>0</v>
          </cell>
          <cell r="D300">
            <v>2613.6939171498152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>
            <v>284</v>
          </cell>
          <cell r="B301">
            <v>47843</v>
          </cell>
          <cell r="C301">
            <v>0</v>
          </cell>
          <cell r="D301">
            <v>2613.6939171498152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</row>
        <row r="302">
          <cell r="A302">
            <v>285</v>
          </cell>
          <cell r="B302">
            <v>47874</v>
          </cell>
          <cell r="C302">
            <v>0</v>
          </cell>
          <cell r="D302">
            <v>2613.6939171498152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</row>
        <row r="303">
          <cell r="A303">
            <v>286</v>
          </cell>
          <cell r="B303">
            <v>47905</v>
          </cell>
          <cell r="C303">
            <v>0</v>
          </cell>
          <cell r="D303">
            <v>2613.6939171498152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</row>
        <row r="304">
          <cell r="A304">
            <v>287</v>
          </cell>
          <cell r="B304">
            <v>47933</v>
          </cell>
          <cell r="C304">
            <v>0</v>
          </cell>
          <cell r="D304">
            <v>2613.6939171498152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</row>
        <row r="305">
          <cell r="A305">
            <v>288</v>
          </cell>
          <cell r="B305">
            <v>47964</v>
          </cell>
          <cell r="C305">
            <v>0</v>
          </cell>
          <cell r="D305">
            <v>2613.6939171498152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</row>
        <row r="306">
          <cell r="A306">
            <v>289</v>
          </cell>
          <cell r="B306">
            <v>47994</v>
          </cell>
          <cell r="C306">
            <v>0</v>
          </cell>
          <cell r="D306">
            <v>2613.6939171498152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</row>
        <row r="307">
          <cell r="A307">
            <v>290</v>
          </cell>
          <cell r="B307">
            <v>48025</v>
          </cell>
          <cell r="C307">
            <v>0</v>
          </cell>
          <cell r="D307">
            <v>2613.6939171498152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</row>
        <row r="308">
          <cell r="A308">
            <v>291</v>
          </cell>
          <cell r="B308">
            <v>48055</v>
          </cell>
          <cell r="C308">
            <v>0</v>
          </cell>
          <cell r="D308">
            <v>2613.6939171498152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</row>
        <row r="309">
          <cell r="A309">
            <v>292</v>
          </cell>
          <cell r="B309">
            <v>48086</v>
          </cell>
          <cell r="C309">
            <v>0</v>
          </cell>
          <cell r="D309">
            <v>2613.6939171498152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</row>
        <row r="310">
          <cell r="A310">
            <v>293</v>
          </cell>
          <cell r="B310">
            <v>48117</v>
          </cell>
          <cell r="C310">
            <v>0</v>
          </cell>
          <cell r="D310">
            <v>2613.6939171498152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</row>
        <row r="311">
          <cell r="A311">
            <v>294</v>
          </cell>
          <cell r="B311">
            <v>48147</v>
          </cell>
          <cell r="C311">
            <v>0</v>
          </cell>
          <cell r="D311">
            <v>2613.6939171498152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</row>
        <row r="312">
          <cell r="A312">
            <v>295</v>
          </cell>
          <cell r="B312">
            <v>48178</v>
          </cell>
          <cell r="C312">
            <v>0</v>
          </cell>
          <cell r="D312">
            <v>2613.6939171498152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</row>
        <row r="313">
          <cell r="A313">
            <v>296</v>
          </cell>
          <cell r="B313">
            <v>48208</v>
          </cell>
          <cell r="C313">
            <v>0</v>
          </cell>
          <cell r="D313">
            <v>2613.6939171498152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</row>
        <row r="314">
          <cell r="A314">
            <v>297</v>
          </cell>
          <cell r="B314">
            <v>48239</v>
          </cell>
          <cell r="C314">
            <v>0</v>
          </cell>
          <cell r="D314">
            <v>2613.6939171498152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</row>
        <row r="315">
          <cell r="A315">
            <v>298</v>
          </cell>
          <cell r="B315">
            <v>48270</v>
          </cell>
          <cell r="C315">
            <v>0</v>
          </cell>
          <cell r="D315">
            <v>2613.6939171498152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</row>
        <row r="316">
          <cell r="A316">
            <v>299</v>
          </cell>
          <cell r="B316">
            <v>48299</v>
          </cell>
          <cell r="C316">
            <v>0</v>
          </cell>
          <cell r="D316">
            <v>2613.6939171498152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</row>
        <row r="317">
          <cell r="A317">
            <v>300</v>
          </cell>
          <cell r="B317">
            <v>48330</v>
          </cell>
          <cell r="C317">
            <v>0</v>
          </cell>
          <cell r="D317">
            <v>2613.6939171498152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</row>
        <row r="318">
          <cell r="A318">
            <v>301</v>
          </cell>
          <cell r="B318">
            <v>48360</v>
          </cell>
          <cell r="C318">
            <v>0</v>
          </cell>
          <cell r="D318">
            <v>2613.6939171498152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</row>
        <row r="319">
          <cell r="A319">
            <v>302</v>
          </cell>
          <cell r="B319">
            <v>48391</v>
          </cell>
          <cell r="C319">
            <v>0</v>
          </cell>
          <cell r="D319">
            <v>2613.6939171498152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</row>
        <row r="320">
          <cell r="A320">
            <v>303</v>
          </cell>
          <cell r="B320">
            <v>48421</v>
          </cell>
          <cell r="C320">
            <v>0</v>
          </cell>
          <cell r="D320">
            <v>2613.6939171498152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</row>
        <row r="321">
          <cell r="A321">
            <v>304</v>
          </cell>
          <cell r="B321">
            <v>48452</v>
          </cell>
          <cell r="C321">
            <v>0</v>
          </cell>
          <cell r="D321">
            <v>2613.6939171498152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</row>
        <row r="322">
          <cell r="A322">
            <v>305</v>
          </cell>
          <cell r="B322">
            <v>48483</v>
          </cell>
          <cell r="C322">
            <v>0</v>
          </cell>
          <cell r="D322">
            <v>2613.6939171498152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</row>
        <row r="323">
          <cell r="A323">
            <v>306</v>
          </cell>
          <cell r="B323">
            <v>48513</v>
          </cell>
          <cell r="C323">
            <v>0</v>
          </cell>
          <cell r="D323">
            <v>2613.6939171498152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</row>
        <row r="324">
          <cell r="A324">
            <v>307</v>
          </cell>
          <cell r="B324">
            <v>48544</v>
          </cell>
          <cell r="C324">
            <v>0</v>
          </cell>
          <cell r="D324">
            <v>2613.6939171498152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</row>
        <row r="325">
          <cell r="A325">
            <v>308</v>
          </cell>
          <cell r="B325">
            <v>48574</v>
          </cell>
          <cell r="C325">
            <v>0</v>
          </cell>
          <cell r="D325">
            <v>2613.6939171498152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</row>
        <row r="326">
          <cell r="A326">
            <v>309</v>
          </cell>
          <cell r="B326">
            <v>48605</v>
          </cell>
          <cell r="C326">
            <v>0</v>
          </cell>
          <cell r="D326">
            <v>2613.6939171498152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</row>
        <row r="327">
          <cell r="A327">
            <v>310</v>
          </cell>
          <cell r="B327">
            <v>48636</v>
          </cell>
          <cell r="C327">
            <v>0</v>
          </cell>
          <cell r="D327">
            <v>2613.6939171498152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</row>
        <row r="328">
          <cell r="A328">
            <v>311</v>
          </cell>
          <cell r="B328">
            <v>48664</v>
          </cell>
          <cell r="C328">
            <v>0</v>
          </cell>
          <cell r="D328">
            <v>2613.6939171498152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</row>
        <row r="329">
          <cell r="A329">
            <v>312</v>
          </cell>
          <cell r="B329">
            <v>48695</v>
          </cell>
          <cell r="C329">
            <v>0</v>
          </cell>
          <cell r="D329">
            <v>2613.6939171498152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</row>
        <row r="330">
          <cell r="A330">
            <v>313</v>
          </cell>
          <cell r="B330">
            <v>48725</v>
          </cell>
          <cell r="C330">
            <v>0</v>
          </cell>
          <cell r="D330">
            <v>2613.6939171498152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A331">
            <v>314</v>
          </cell>
          <cell r="B331">
            <v>48756</v>
          </cell>
          <cell r="C331">
            <v>0</v>
          </cell>
          <cell r="D331">
            <v>2613.6939171498152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32">
          <cell r="A332">
            <v>315</v>
          </cell>
          <cell r="B332">
            <v>48786</v>
          </cell>
          <cell r="C332">
            <v>0</v>
          </cell>
          <cell r="D332">
            <v>2613.6939171498152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</row>
        <row r="333">
          <cell r="A333">
            <v>316</v>
          </cell>
          <cell r="B333">
            <v>48817</v>
          </cell>
          <cell r="C333">
            <v>0</v>
          </cell>
          <cell r="D333">
            <v>2613.6939171498152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</row>
        <row r="334">
          <cell r="A334">
            <v>317</v>
          </cell>
          <cell r="B334">
            <v>48848</v>
          </cell>
          <cell r="C334">
            <v>0</v>
          </cell>
          <cell r="D334">
            <v>2613.6939171498152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</row>
        <row r="335">
          <cell r="A335">
            <v>318</v>
          </cell>
          <cell r="B335">
            <v>48878</v>
          </cell>
          <cell r="C335">
            <v>0</v>
          </cell>
          <cell r="D335">
            <v>2613.6939171498152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A336">
            <v>319</v>
          </cell>
          <cell r="B336">
            <v>48909</v>
          </cell>
          <cell r="C336">
            <v>0</v>
          </cell>
          <cell r="D336">
            <v>2613.6939171498152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</row>
        <row r="337">
          <cell r="A337">
            <v>320</v>
          </cell>
          <cell r="B337">
            <v>48939</v>
          </cell>
          <cell r="C337">
            <v>0</v>
          </cell>
          <cell r="D337">
            <v>2613.6939171498152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</row>
        <row r="338">
          <cell r="A338">
            <v>321</v>
          </cell>
          <cell r="B338">
            <v>48970</v>
          </cell>
          <cell r="C338">
            <v>0</v>
          </cell>
          <cell r="D338">
            <v>2613.6939171498152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</row>
        <row r="339">
          <cell r="A339">
            <v>322</v>
          </cell>
          <cell r="B339">
            <v>49001</v>
          </cell>
          <cell r="C339">
            <v>0</v>
          </cell>
          <cell r="D339">
            <v>2613.6939171498152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</row>
        <row r="340">
          <cell r="A340">
            <v>323</v>
          </cell>
          <cell r="B340">
            <v>49029</v>
          </cell>
          <cell r="C340">
            <v>0</v>
          </cell>
          <cell r="D340">
            <v>2613.6939171498152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</row>
        <row r="341">
          <cell r="A341">
            <v>324</v>
          </cell>
          <cell r="B341">
            <v>49060</v>
          </cell>
          <cell r="C341">
            <v>0</v>
          </cell>
          <cell r="D341">
            <v>2613.6939171498152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A342">
            <v>325</v>
          </cell>
          <cell r="B342">
            <v>49090</v>
          </cell>
          <cell r="C342">
            <v>0</v>
          </cell>
          <cell r="D342">
            <v>2613.6939171498152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</row>
        <row r="343">
          <cell r="A343">
            <v>326</v>
          </cell>
          <cell r="B343">
            <v>49121</v>
          </cell>
          <cell r="C343">
            <v>0</v>
          </cell>
          <cell r="D343">
            <v>2613.6939171498152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</row>
        <row r="344">
          <cell r="A344">
            <v>327</v>
          </cell>
          <cell r="B344">
            <v>49151</v>
          </cell>
          <cell r="C344">
            <v>0</v>
          </cell>
          <cell r="D344">
            <v>2613.6939171498152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</row>
        <row r="345">
          <cell r="A345">
            <v>328</v>
          </cell>
          <cell r="B345">
            <v>49182</v>
          </cell>
          <cell r="C345">
            <v>0</v>
          </cell>
          <cell r="D345">
            <v>2613.6939171498152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A346">
            <v>329</v>
          </cell>
          <cell r="B346">
            <v>49213</v>
          </cell>
          <cell r="C346">
            <v>0</v>
          </cell>
          <cell r="D346">
            <v>2613.6939171498152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</row>
        <row r="347">
          <cell r="A347">
            <v>330</v>
          </cell>
          <cell r="B347">
            <v>49243</v>
          </cell>
          <cell r="C347">
            <v>0</v>
          </cell>
          <cell r="D347">
            <v>2613.6939171498152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</row>
        <row r="348">
          <cell r="A348">
            <v>331</v>
          </cell>
          <cell r="B348">
            <v>49274</v>
          </cell>
          <cell r="C348">
            <v>0</v>
          </cell>
          <cell r="D348">
            <v>2613.6939171498152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</row>
        <row r="349">
          <cell r="A349">
            <v>332</v>
          </cell>
          <cell r="B349">
            <v>49304</v>
          </cell>
          <cell r="C349">
            <v>0</v>
          </cell>
          <cell r="D349">
            <v>2613.6939171498152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</row>
        <row r="350">
          <cell r="A350">
            <v>333</v>
          </cell>
          <cell r="B350">
            <v>49335</v>
          </cell>
          <cell r="C350">
            <v>0</v>
          </cell>
          <cell r="D350">
            <v>2613.6939171498152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</row>
        <row r="351">
          <cell r="A351">
            <v>334</v>
          </cell>
          <cell r="B351">
            <v>49366</v>
          </cell>
          <cell r="C351">
            <v>0</v>
          </cell>
          <cell r="D351">
            <v>2613.6939171498152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</row>
        <row r="352">
          <cell r="A352">
            <v>335</v>
          </cell>
          <cell r="B352">
            <v>49394</v>
          </cell>
          <cell r="C352">
            <v>0</v>
          </cell>
          <cell r="D352">
            <v>2613.6939171498152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</row>
        <row r="353">
          <cell r="A353">
            <v>336</v>
          </cell>
          <cell r="B353">
            <v>49425</v>
          </cell>
          <cell r="C353">
            <v>0</v>
          </cell>
          <cell r="D353">
            <v>2613.6939171498152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</row>
        <row r="354">
          <cell r="A354">
            <v>337</v>
          </cell>
          <cell r="B354">
            <v>49455</v>
          </cell>
          <cell r="C354">
            <v>0</v>
          </cell>
          <cell r="D354">
            <v>2613.6939171498152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</row>
        <row r="355">
          <cell r="A355">
            <v>338</v>
          </cell>
          <cell r="B355">
            <v>49486</v>
          </cell>
          <cell r="C355">
            <v>0</v>
          </cell>
          <cell r="D355">
            <v>2613.6939171498152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</row>
        <row r="356">
          <cell r="A356">
            <v>339</v>
          </cell>
          <cell r="B356">
            <v>49516</v>
          </cell>
          <cell r="C356">
            <v>0</v>
          </cell>
          <cell r="D356">
            <v>2613.6939171498152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</row>
        <row r="357">
          <cell r="A357">
            <v>340</v>
          </cell>
          <cell r="B357">
            <v>49547</v>
          </cell>
          <cell r="C357">
            <v>0</v>
          </cell>
          <cell r="D357">
            <v>2613.6939171498152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</row>
        <row r="358">
          <cell r="A358">
            <v>341</v>
          </cell>
          <cell r="B358">
            <v>49578</v>
          </cell>
          <cell r="C358">
            <v>0</v>
          </cell>
          <cell r="D358">
            <v>2613.6939171498152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</row>
        <row r="359">
          <cell r="A359">
            <v>342</v>
          </cell>
          <cell r="B359">
            <v>49608</v>
          </cell>
          <cell r="C359">
            <v>0</v>
          </cell>
          <cell r="D359">
            <v>2613.6939171498152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</row>
        <row r="360">
          <cell r="A360">
            <v>343</v>
          </cell>
          <cell r="B360">
            <v>49639</v>
          </cell>
          <cell r="C360">
            <v>0</v>
          </cell>
          <cell r="D360">
            <v>2613.6939171498152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</row>
        <row r="361">
          <cell r="A361">
            <v>344</v>
          </cell>
          <cell r="B361">
            <v>49669</v>
          </cell>
          <cell r="C361">
            <v>0</v>
          </cell>
          <cell r="D361">
            <v>2613.6939171498152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</row>
        <row r="362">
          <cell r="A362">
            <v>345</v>
          </cell>
          <cell r="B362">
            <v>49700</v>
          </cell>
          <cell r="C362">
            <v>0</v>
          </cell>
          <cell r="D362">
            <v>2613.6939171498152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</row>
        <row r="363">
          <cell r="A363">
            <v>346</v>
          </cell>
          <cell r="B363">
            <v>49731</v>
          </cell>
          <cell r="C363">
            <v>0</v>
          </cell>
          <cell r="D363">
            <v>2613.6939171498152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</row>
        <row r="364">
          <cell r="A364">
            <v>347</v>
          </cell>
          <cell r="B364">
            <v>49760</v>
          </cell>
          <cell r="C364">
            <v>0</v>
          </cell>
          <cell r="D364">
            <v>2613.6939171498152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</row>
        <row r="365">
          <cell r="A365">
            <v>348</v>
          </cell>
          <cell r="B365">
            <v>49791</v>
          </cell>
          <cell r="C365">
            <v>0</v>
          </cell>
          <cell r="D365">
            <v>2613.6939171498152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</row>
        <row r="366">
          <cell r="A366">
            <v>349</v>
          </cell>
          <cell r="B366">
            <v>49821</v>
          </cell>
          <cell r="C366">
            <v>0</v>
          </cell>
          <cell r="D366">
            <v>2613.6939171498152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</row>
        <row r="367">
          <cell r="A367">
            <v>350</v>
          </cell>
          <cell r="B367">
            <v>49852</v>
          </cell>
          <cell r="C367">
            <v>0</v>
          </cell>
          <cell r="D367">
            <v>2613.6939171498152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</row>
        <row r="368">
          <cell r="A368">
            <v>351</v>
          </cell>
          <cell r="B368">
            <v>49882</v>
          </cell>
          <cell r="C368">
            <v>0</v>
          </cell>
          <cell r="D368">
            <v>2613.6939171498152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</row>
        <row r="369">
          <cell r="A369">
            <v>352</v>
          </cell>
          <cell r="B369">
            <v>49913</v>
          </cell>
          <cell r="C369">
            <v>0</v>
          </cell>
          <cell r="D369">
            <v>2613.6939171498152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</row>
        <row r="370">
          <cell r="A370">
            <v>353</v>
          </cell>
          <cell r="B370">
            <v>49944</v>
          </cell>
          <cell r="C370">
            <v>0</v>
          </cell>
          <cell r="D370">
            <v>2613.6939171498152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</row>
        <row r="371">
          <cell r="A371">
            <v>354</v>
          </cell>
          <cell r="B371">
            <v>49974</v>
          </cell>
          <cell r="C371">
            <v>0</v>
          </cell>
          <cell r="D371">
            <v>2613.6939171498152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</row>
        <row r="372">
          <cell r="A372">
            <v>355</v>
          </cell>
          <cell r="B372">
            <v>50005</v>
          </cell>
          <cell r="C372">
            <v>0</v>
          </cell>
          <cell r="D372">
            <v>2613.6939171498152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</row>
        <row r="373">
          <cell r="A373">
            <v>356</v>
          </cell>
          <cell r="B373">
            <v>50035</v>
          </cell>
          <cell r="C373">
            <v>0</v>
          </cell>
          <cell r="D373">
            <v>2613.6939171498152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</row>
        <row r="374">
          <cell r="A374">
            <v>357</v>
          </cell>
          <cell r="B374">
            <v>50066</v>
          </cell>
          <cell r="C374">
            <v>0</v>
          </cell>
          <cell r="D374">
            <v>2613.6939171498152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</row>
        <row r="375">
          <cell r="A375">
            <v>358</v>
          </cell>
          <cell r="B375">
            <v>50097</v>
          </cell>
          <cell r="C375">
            <v>0</v>
          </cell>
          <cell r="D375">
            <v>2613.6939171498152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</row>
        <row r="376">
          <cell r="A376">
            <v>359</v>
          </cell>
          <cell r="B376">
            <v>50125</v>
          </cell>
          <cell r="C376">
            <v>0</v>
          </cell>
          <cell r="D376">
            <v>2613.6939171498152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</row>
        <row r="377">
          <cell r="A377">
            <v>360</v>
          </cell>
          <cell r="B377">
            <v>50156</v>
          </cell>
          <cell r="C377">
            <v>0</v>
          </cell>
          <cell r="D377">
            <v>2613.6939171498152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</row>
      </sheetData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J site(Comptes nationaux)"/>
    </sheetNames>
    <definedNames>
      <definedName name="Loan_Start" refersTo="#REF!"/>
      <definedName name="Number_of_Payments" refersTo="#REF!"/>
      <definedName name="Values_Entered" refersTo="#REF!"/>
    </definedNames>
    <sheetDataSet>
      <sheetData sheetId="0">
        <row r="4">
          <cell r="C4" t="str">
            <v>2010-17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uitées"/>
      <sheetName val="par pays"/>
      <sheetName val="Catégories"/>
      <sheetName val="nuitées-par-région"/>
      <sheetName val="par villes"/>
      <sheetName val="Par villes-anc"/>
      <sheetName val="Transfert"/>
      <sheetName val="Capacité"/>
      <sheetName val="Feuil3"/>
    </sheetNames>
    <sheetDataSet>
      <sheetData sheetId="0">
        <row r="8">
          <cell r="AH8">
            <v>12549.243999999999</v>
          </cell>
          <cell r="AI8">
            <v>13931.125</v>
          </cell>
          <cell r="AJ8">
            <v>14326.311999999998</v>
          </cell>
          <cell r="AK8">
            <v>12525.013999999999</v>
          </cell>
          <cell r="AL8">
            <v>12703.471000000001</v>
          </cell>
          <cell r="AM8">
            <v>15045.751</v>
          </cell>
          <cell r="AN8">
            <v>16812.205999999998</v>
          </cell>
          <cell r="AO8">
            <v>17406.273000000001</v>
          </cell>
          <cell r="AP8">
            <v>3469.971</v>
          </cell>
          <cell r="AQ8">
            <v>2818.3850000000002</v>
          </cell>
        </row>
        <row r="12">
          <cell r="AH12">
            <v>4936.518</v>
          </cell>
          <cell r="AI12">
            <v>5183.0039999999999</v>
          </cell>
          <cell r="AJ12">
            <v>5307.1629999999996</v>
          </cell>
          <cell r="AK12">
            <v>5899.2370000000001</v>
          </cell>
          <cell r="AL12">
            <v>6551.4589999999998</v>
          </cell>
          <cell r="AM12">
            <v>7054.95</v>
          </cell>
          <cell r="AN12">
            <v>7141.6530000000002</v>
          </cell>
          <cell r="AO12">
            <v>7837.7160000000003</v>
          </cell>
          <cell r="AP12">
            <v>3505.6489999999999</v>
          </cell>
          <cell r="AQ12">
            <v>6377.6360000000004</v>
          </cell>
        </row>
        <row r="16">
          <cell r="AH16">
            <v>17485.761999999999</v>
          </cell>
          <cell r="AI16">
            <v>19114.129000000001</v>
          </cell>
          <cell r="AJ16">
            <v>19633.474999999999</v>
          </cell>
          <cell r="AK16">
            <v>18424.251</v>
          </cell>
          <cell r="AL16">
            <v>19254.93</v>
          </cell>
          <cell r="AM16">
            <v>22100.701000000001</v>
          </cell>
          <cell r="AN16">
            <v>23953.859</v>
          </cell>
          <cell r="AO16">
            <v>25243.989000000001</v>
          </cell>
          <cell r="AP16">
            <v>6975.62</v>
          </cell>
          <cell r="AQ16">
            <v>9196.0210000000006</v>
          </cell>
          <cell r="AR16">
            <v>19009.244999999999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ionalité"/>
      <sheetName val="Pays"/>
      <sheetName val="Entrées de touristes"/>
      <sheetName val="region"/>
      <sheetName val="Manar"/>
      <sheetName val="Voyageurs"/>
      <sheetName val="Transfert"/>
      <sheetName val="Feuil1"/>
    </sheetNames>
    <sheetDataSet>
      <sheetData sheetId="0">
        <row r="9">
          <cell r="AD9">
            <v>1707.0550000000001</v>
          </cell>
          <cell r="AE9">
            <v>1699.201</v>
          </cell>
          <cell r="AF9">
            <v>1827.453</v>
          </cell>
          <cell r="AG9">
            <v>1775.961</v>
          </cell>
          <cell r="AH9">
            <v>1769.71</v>
          </cell>
          <cell r="AI9">
            <v>1782.056</v>
          </cell>
          <cell r="AJ9">
            <v>1798.19</v>
          </cell>
          <cell r="AK9">
            <v>1563.568</v>
          </cell>
          <cell r="AL9">
            <v>1449.7570000000001</v>
          </cell>
          <cell r="AM9">
            <v>1614.011</v>
          </cell>
          <cell r="AN9">
            <v>1844.3969999999999</v>
          </cell>
        </row>
        <row r="10">
          <cell r="AD10">
            <v>595.279</v>
          </cell>
          <cell r="AE10">
            <v>642.81700000000001</v>
          </cell>
          <cell r="AF10">
            <v>726.54</v>
          </cell>
          <cell r="AG10">
            <v>693.255</v>
          </cell>
          <cell r="AH10">
            <v>730.88199999999995</v>
          </cell>
          <cell r="AI10">
            <v>682.83399999999995</v>
          </cell>
          <cell r="AJ10">
            <v>683.76099999999997</v>
          </cell>
          <cell r="AK10">
            <v>626.89599999999996</v>
          </cell>
          <cell r="AL10">
            <v>615.72</v>
          </cell>
          <cell r="AM10">
            <v>710.72900000000004</v>
          </cell>
          <cell r="AN10">
            <v>814.06899999999996</v>
          </cell>
        </row>
        <row r="11">
          <cell r="AD11">
            <v>179.03700000000001</v>
          </cell>
          <cell r="AE11">
            <v>174.38399999999999</v>
          </cell>
          <cell r="AF11">
            <v>205.417</v>
          </cell>
          <cell r="AG11">
            <v>219.57599999999999</v>
          </cell>
          <cell r="AH11">
            <v>199.34899999999999</v>
          </cell>
          <cell r="AI11">
            <v>237.852</v>
          </cell>
          <cell r="AJ11">
            <v>255.124</v>
          </cell>
          <cell r="AK11">
            <v>286.32799999999997</v>
          </cell>
          <cell r="AL11">
            <v>260.255</v>
          </cell>
          <cell r="AM11">
            <v>331.185</v>
          </cell>
          <cell r="AN11">
            <v>394.32799999999997</v>
          </cell>
        </row>
        <row r="12">
          <cell r="AD12">
            <v>163.315</v>
          </cell>
          <cell r="AE12">
            <v>177.91499999999999</v>
          </cell>
          <cell r="AF12">
            <v>233.22399999999999</v>
          </cell>
          <cell r="AG12">
            <v>211.405</v>
          </cell>
          <cell r="AH12">
            <v>196.18600000000001</v>
          </cell>
          <cell r="AI12">
            <v>234.91200000000001</v>
          </cell>
          <cell r="AJ12">
            <v>254.209</v>
          </cell>
          <cell r="AK12">
            <v>227.96100000000001</v>
          </cell>
          <cell r="AL12">
            <v>219.334</v>
          </cell>
          <cell r="AM12">
            <v>246.31200000000001</v>
          </cell>
          <cell r="AN12">
            <v>305.505</v>
          </cell>
        </row>
        <row r="13">
          <cell r="AD13">
            <v>247.28299999999999</v>
          </cell>
          <cell r="AE13">
            <v>253.255</v>
          </cell>
          <cell r="AF13">
            <v>277.185</v>
          </cell>
          <cell r="AG13">
            <v>308.70600000000002</v>
          </cell>
          <cell r="AH13">
            <v>372.267</v>
          </cell>
          <cell r="AI13">
            <v>434.76100000000002</v>
          </cell>
          <cell r="AJ13">
            <v>390.90800000000002</v>
          </cell>
          <cell r="AK13">
            <v>393.44299999999998</v>
          </cell>
          <cell r="AL13">
            <v>418.47800000000001</v>
          </cell>
          <cell r="AM13">
            <v>411.38400000000001</v>
          </cell>
          <cell r="AN13">
            <v>413.59800000000001</v>
          </cell>
          <cell r="AO13">
            <v>425.73500000000001</v>
          </cell>
          <cell r="AP13">
            <v>96.551000000000002</v>
          </cell>
          <cell r="AQ13">
            <v>121.752</v>
          </cell>
        </row>
        <row r="17">
          <cell r="AC17">
            <v>4030.8980000000001</v>
          </cell>
          <cell r="AD17">
            <v>4211.8549999999996</v>
          </cell>
          <cell r="AE17">
            <v>4292.9579999999996</v>
          </cell>
          <cell r="AF17">
            <v>4910.4350000000004</v>
          </cell>
          <cell r="AG17">
            <v>4933.8829999999998</v>
          </cell>
          <cell r="AH17">
            <v>5011.7290000000003</v>
          </cell>
          <cell r="AI17">
            <v>5323.3329999999996</v>
          </cell>
          <cell r="AJ17">
            <v>5437.4530000000004</v>
          </cell>
          <cell r="AK17">
            <v>5151.7039999999997</v>
          </cell>
          <cell r="AL17">
            <v>5103.2039999999997</v>
          </cell>
          <cell r="AM17">
            <v>5864.92</v>
          </cell>
          <cell r="AN17">
            <v>6679.1009999999997</v>
          </cell>
          <cell r="AO17">
            <v>7043.0060000000003</v>
          </cell>
          <cell r="AP17">
            <v>1407.9939999999999</v>
          </cell>
          <cell r="AQ17">
            <v>1284.335</v>
          </cell>
          <cell r="AR17">
            <v>5064.7740000000003</v>
          </cell>
        </row>
        <row r="18">
          <cell r="AH18">
            <v>4363.4269999999997</v>
          </cell>
          <cell r="AI18">
            <v>4722.9309999999996</v>
          </cell>
          <cell r="AJ18">
            <v>4845.491</v>
          </cell>
          <cell r="AK18">
            <v>5025.058</v>
          </cell>
          <cell r="AL18">
            <v>5228.527</v>
          </cell>
          <cell r="AM18">
            <v>5484.4269999999997</v>
          </cell>
          <cell r="AN18">
            <v>5609.607</v>
          </cell>
          <cell r="AO18">
            <v>5889.2539999999999</v>
          </cell>
          <cell r="AP18">
            <v>1369.808</v>
          </cell>
          <cell r="AQ18">
            <v>2437.3670000000002</v>
          </cell>
          <cell r="AR18">
            <v>5804.0829999999996</v>
          </cell>
        </row>
        <row r="19">
          <cell r="AH19">
            <v>9375.155999999999</v>
          </cell>
          <cell r="AI19">
            <v>10046.263999999999</v>
          </cell>
          <cell r="AJ19">
            <v>10282.944</v>
          </cell>
          <cell r="AK19">
            <v>10176.761999999999</v>
          </cell>
          <cell r="AL19">
            <v>10331.731</v>
          </cell>
          <cell r="AM19">
            <v>11349.347</v>
          </cell>
          <cell r="AN19">
            <v>12288.707999999999</v>
          </cell>
          <cell r="AO19">
            <v>12932.26</v>
          </cell>
          <cell r="AP19">
            <v>2777.8019999999997</v>
          </cell>
          <cell r="AQ19">
            <v>3721.7020000000002</v>
          </cell>
          <cell r="AR19">
            <v>10868.857</v>
          </cell>
        </row>
      </sheetData>
      <sheetData sheetId="1">
        <row r="3">
          <cell r="AD3">
            <v>2012</v>
          </cell>
          <cell r="AI3">
            <v>2017</v>
          </cell>
        </row>
        <row r="7">
          <cell r="Z7">
            <v>4211855</v>
          </cell>
          <cell r="AA7">
            <v>4292958</v>
          </cell>
          <cell r="AB7">
            <v>4910435</v>
          </cell>
          <cell r="AC7">
            <v>4933883</v>
          </cell>
          <cell r="AD7">
            <v>5011729</v>
          </cell>
          <cell r="AE7">
            <v>5323333</v>
          </cell>
          <cell r="AF7">
            <v>5437453</v>
          </cell>
          <cell r="AG7">
            <v>5151704</v>
          </cell>
          <cell r="AH7">
            <v>5103204</v>
          </cell>
          <cell r="AI7">
            <v>5864920</v>
          </cell>
          <cell r="AJ7">
            <v>6679101</v>
          </cell>
          <cell r="AK7">
            <v>7043006</v>
          </cell>
          <cell r="AL7">
            <v>1407994</v>
          </cell>
          <cell r="AM7">
            <v>1284335</v>
          </cell>
          <cell r="AN7">
            <v>5064774</v>
          </cell>
        </row>
        <row r="9">
          <cell r="AD9">
            <v>1769710</v>
          </cell>
          <cell r="AE9">
            <v>1782056</v>
          </cell>
          <cell r="AF9">
            <v>1798190</v>
          </cell>
          <cell r="AG9">
            <v>1563568</v>
          </cell>
          <cell r="AH9">
            <v>1449757</v>
          </cell>
          <cell r="AI9">
            <v>1614011</v>
          </cell>
          <cell r="AJ9">
            <v>1844397</v>
          </cell>
          <cell r="AK9">
            <v>1990813</v>
          </cell>
          <cell r="AL9">
            <v>412179</v>
          </cell>
          <cell r="AM9">
            <v>493933</v>
          </cell>
          <cell r="AN9">
            <v>1505443</v>
          </cell>
        </row>
        <row r="10">
          <cell r="AD10">
            <v>730882</v>
          </cell>
          <cell r="AE10">
            <v>682834</v>
          </cell>
          <cell r="AF10">
            <v>683761</v>
          </cell>
          <cell r="AG10">
            <v>626896</v>
          </cell>
          <cell r="AH10">
            <v>615720</v>
          </cell>
          <cell r="AI10">
            <v>710729</v>
          </cell>
          <cell r="AJ10">
            <v>814069</v>
          </cell>
          <cell r="AK10">
            <v>880818</v>
          </cell>
          <cell r="AL10">
            <v>200136</v>
          </cell>
          <cell r="AM10">
            <v>99495</v>
          </cell>
          <cell r="AN10">
            <v>901672</v>
          </cell>
        </row>
        <row r="11">
          <cell r="AD11">
            <v>199349</v>
          </cell>
          <cell r="AE11">
            <v>237852</v>
          </cell>
          <cell r="AF11">
            <v>255124</v>
          </cell>
          <cell r="AG11">
            <v>286328</v>
          </cell>
          <cell r="AH11">
            <v>260255</v>
          </cell>
          <cell r="AI11">
            <v>331185</v>
          </cell>
          <cell r="AJ11">
            <v>394328</v>
          </cell>
          <cell r="AK11">
            <v>413384</v>
          </cell>
          <cell r="AL11">
            <v>79077</v>
          </cell>
          <cell r="AM11">
            <v>38894</v>
          </cell>
          <cell r="AN11">
            <v>171219</v>
          </cell>
        </row>
        <row r="13">
          <cell r="AD13">
            <v>196186</v>
          </cell>
          <cell r="AE13">
            <v>234912</v>
          </cell>
          <cell r="AF13">
            <v>254209</v>
          </cell>
          <cell r="AG13">
            <v>227961</v>
          </cell>
          <cell r="AH13">
            <v>219334</v>
          </cell>
          <cell r="AI13">
            <v>246312</v>
          </cell>
          <cell r="AJ13">
            <v>305505</v>
          </cell>
          <cell r="AK13">
            <v>351916</v>
          </cell>
          <cell r="AL13">
            <v>57105</v>
          </cell>
          <cell r="AM13">
            <v>52588</v>
          </cell>
          <cell r="AN13">
            <v>239879</v>
          </cell>
        </row>
        <row r="34">
          <cell r="Z34">
            <v>110778</v>
          </cell>
          <cell r="AA34">
            <v>121144</v>
          </cell>
          <cell r="AB34">
            <v>135376</v>
          </cell>
          <cell r="AC34">
            <v>130427</v>
          </cell>
          <cell r="AD34">
            <v>140045</v>
          </cell>
          <cell r="AE34">
            <v>160033</v>
          </cell>
          <cell r="AF34">
            <v>167267</v>
          </cell>
          <cell r="AG34">
            <v>181468</v>
          </cell>
          <cell r="AH34">
            <v>197858</v>
          </cell>
          <cell r="AI34">
            <v>254531</v>
          </cell>
          <cell r="AJ34">
            <v>304960</v>
          </cell>
          <cell r="AK34">
            <v>346702</v>
          </cell>
          <cell r="AL34">
            <v>54103</v>
          </cell>
          <cell r="AM34">
            <v>66991</v>
          </cell>
          <cell r="AN34">
            <v>231006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 catégorie"/>
      <sheetName val="Par région"/>
      <sheetName val="Transfert"/>
    </sheetNames>
    <sheetDataSet>
      <sheetData sheetId="0">
        <row r="16">
          <cell r="AH16">
            <v>40</v>
          </cell>
          <cell r="AI16">
            <v>43</v>
          </cell>
          <cell r="AJ16">
            <v>44</v>
          </cell>
          <cell r="AK16">
            <v>40</v>
          </cell>
          <cell r="AL16">
            <v>40</v>
          </cell>
          <cell r="AM16">
            <v>43</v>
          </cell>
          <cell r="AN16">
            <v>46</v>
          </cell>
          <cell r="AO16">
            <v>48</v>
          </cell>
          <cell r="AP16">
            <v>26</v>
          </cell>
          <cell r="AQ16">
            <v>25</v>
          </cell>
          <cell r="AR16">
            <v>41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cité"/>
      <sheetName val="Lits établ classé par ville "/>
      <sheetName val="Cpacité total en lits par ville"/>
      <sheetName val="Selon G villes"/>
      <sheetName val="Lits étab non classé par ville"/>
      <sheetName val="copieannu"/>
      <sheetName val="Transfert"/>
      <sheetName val="Selon G villes (2)"/>
    </sheetNames>
    <sheetDataSet>
      <sheetData sheetId="0">
        <row r="15">
          <cell r="AH15">
            <v>198211</v>
          </cell>
          <cell r="AI15">
            <v>207572</v>
          </cell>
          <cell r="AJ15">
            <v>216386</v>
          </cell>
          <cell r="AK15">
            <v>233550</v>
          </cell>
          <cell r="AL15">
            <v>244971</v>
          </cell>
          <cell r="AM15">
            <v>253721</v>
          </cell>
          <cell r="AN15">
            <v>261147</v>
          </cell>
          <cell r="AO15">
            <v>268834</v>
          </cell>
          <cell r="AP15">
            <v>276267</v>
          </cell>
          <cell r="AQ15">
            <v>282429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Transfert"/>
    </sheetNames>
    <sheetDataSet>
      <sheetData sheetId="0">
        <row r="22">
          <cell r="AH22">
            <v>67151</v>
          </cell>
          <cell r="AI22">
            <v>68543</v>
          </cell>
          <cell r="AJ22">
            <v>68279</v>
          </cell>
          <cell r="AK22">
            <v>78003</v>
          </cell>
          <cell r="AL22">
            <v>80680</v>
          </cell>
          <cell r="AM22">
            <v>89375</v>
          </cell>
          <cell r="AN22">
            <v>94944</v>
          </cell>
          <cell r="AO22">
            <v>101644</v>
          </cell>
          <cell r="AP22">
            <v>84585</v>
          </cell>
          <cell r="AQ22">
            <v>114626</v>
          </cell>
        </row>
        <row r="23">
          <cell r="AH23">
            <v>67151</v>
          </cell>
          <cell r="AI23">
            <v>68543</v>
          </cell>
          <cell r="AJ23">
            <v>68279</v>
          </cell>
          <cell r="AK23">
            <v>78003</v>
          </cell>
          <cell r="AL23">
            <v>80680</v>
          </cell>
          <cell r="AM23">
            <v>89375</v>
          </cell>
          <cell r="AN23">
            <v>94944</v>
          </cell>
          <cell r="AO23">
            <v>101644</v>
          </cell>
          <cell r="AP23">
            <v>84585</v>
          </cell>
          <cell r="AQ23">
            <v>114626</v>
          </cell>
        </row>
        <row r="24">
          <cell r="AH24">
            <v>3531</v>
          </cell>
          <cell r="AI24">
            <v>3148</v>
          </cell>
          <cell r="AJ24">
            <v>3021</v>
          </cell>
          <cell r="AK24">
            <v>3365</v>
          </cell>
          <cell r="AL24">
            <v>3317</v>
          </cell>
          <cell r="AM24">
            <v>3274</v>
          </cell>
          <cell r="AN24">
            <v>3485</v>
          </cell>
          <cell r="AO24">
            <v>3384</v>
          </cell>
          <cell r="AP24">
            <v>2728</v>
          </cell>
          <cell r="AQ24">
            <v>3318</v>
          </cell>
        </row>
        <row r="26">
          <cell r="AH26">
            <v>106517</v>
          </cell>
          <cell r="AI26">
            <v>105872</v>
          </cell>
          <cell r="AJ26">
            <v>104731</v>
          </cell>
          <cell r="AK26">
            <v>118818</v>
          </cell>
          <cell r="AL26">
            <v>122947</v>
          </cell>
          <cell r="AM26">
            <v>133737</v>
          </cell>
          <cell r="AN26">
            <v>141734</v>
          </cell>
          <cell r="AO26">
            <v>152964</v>
          </cell>
          <cell r="AP26">
            <v>123348</v>
          </cell>
          <cell r="AQ26">
            <v>168839</v>
          </cell>
        </row>
        <row r="28">
          <cell r="AH28">
            <v>4167</v>
          </cell>
          <cell r="AI28">
            <v>3832</v>
          </cell>
          <cell r="AJ28">
            <v>3489</v>
          </cell>
          <cell r="AK28">
            <v>3776</v>
          </cell>
          <cell r="AL28">
            <v>3785</v>
          </cell>
          <cell r="AM28">
            <v>3726</v>
          </cell>
          <cell r="AN28">
            <v>3736</v>
          </cell>
          <cell r="AO28">
            <v>3622</v>
          </cell>
          <cell r="AP28">
            <v>3005</v>
          </cell>
          <cell r="AQ28">
            <v>3685</v>
          </cell>
        </row>
        <row r="29">
          <cell r="AH29">
            <v>11791.268904858951</v>
          </cell>
          <cell r="AI29">
            <v>10993</v>
          </cell>
          <cell r="AJ29">
            <v>10185</v>
          </cell>
          <cell r="AK29">
            <v>10647</v>
          </cell>
          <cell r="AL29">
            <v>9791</v>
          </cell>
          <cell r="AM29">
            <v>10492</v>
          </cell>
          <cell r="AN29">
            <v>8725</v>
          </cell>
          <cell r="AO29">
            <v>10003</v>
          </cell>
          <cell r="AP29">
            <v>8221</v>
          </cell>
          <cell r="AQ29">
            <v>10743</v>
          </cell>
        </row>
        <row r="30">
          <cell r="AH30">
            <v>90099</v>
          </cell>
          <cell r="AI30">
            <v>90399</v>
          </cell>
          <cell r="AJ30">
            <v>91057</v>
          </cell>
          <cell r="AK30">
            <v>104395</v>
          </cell>
          <cell r="AL30">
            <v>109371</v>
          </cell>
          <cell r="AM30">
            <v>119519</v>
          </cell>
          <cell r="AN30">
            <v>128249</v>
          </cell>
          <cell r="AO30">
            <v>139339</v>
          </cell>
          <cell r="AP30">
            <v>112121</v>
          </cell>
          <cell r="AQ30">
            <v>154411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fic"/>
      <sheetName val="Chemins de fer"/>
      <sheetName val="Routier"/>
      <sheetName val="R.Financiers"/>
      <sheetName val="Aerien"/>
      <sheetName val="Feuil1"/>
      <sheetName val="Transfert"/>
    </sheetNames>
    <sheetDataSet>
      <sheetData sheetId="0">
        <row r="11">
          <cell r="AH11">
            <v>36000</v>
          </cell>
          <cell r="AI11">
            <v>38100</v>
          </cell>
          <cell r="AJ11">
            <v>39500</v>
          </cell>
          <cell r="AK11">
            <v>40500</v>
          </cell>
          <cell r="AL11">
            <v>41500</v>
          </cell>
          <cell r="AM11">
            <v>39900</v>
          </cell>
          <cell r="AN11">
            <v>35196</v>
          </cell>
          <cell r="AO11">
            <v>38264</v>
          </cell>
          <cell r="AP11">
            <v>22368</v>
          </cell>
          <cell r="AQ11">
            <v>34482</v>
          </cell>
          <cell r="AR11">
            <v>45931</v>
          </cell>
        </row>
        <row r="12">
          <cell r="AH12">
            <v>2010.394</v>
          </cell>
          <cell r="AI12">
            <v>4456.634</v>
          </cell>
          <cell r="AJ12">
            <v>4429.6729999999998</v>
          </cell>
          <cell r="AK12">
            <v>4611.5159999999996</v>
          </cell>
          <cell r="AL12">
            <v>2247.4279999999999</v>
          </cell>
          <cell r="AM12">
            <v>2412.3820000000001</v>
          </cell>
          <cell r="AN12">
            <v>2573.2979999999998</v>
          </cell>
          <cell r="AO12">
            <v>2544.8739999999998</v>
          </cell>
          <cell r="AP12">
            <v>330</v>
          </cell>
          <cell r="AQ12">
            <v>723</v>
          </cell>
          <cell r="AR12">
            <v>3566</v>
          </cell>
        </row>
        <row r="14">
          <cell r="AH14">
            <v>15104.662</v>
          </cell>
          <cell r="AI14">
            <v>16496.190999999999</v>
          </cell>
          <cell r="AJ14">
            <v>17294.870999999999</v>
          </cell>
          <cell r="AK14">
            <v>17609.746999999999</v>
          </cell>
          <cell r="AL14">
            <v>18237.272000000001</v>
          </cell>
          <cell r="AM14">
            <v>20406.16</v>
          </cell>
          <cell r="AN14">
            <v>22539.802</v>
          </cell>
          <cell r="AO14">
            <v>25075</v>
          </cell>
          <cell r="AP14">
            <v>7154.8969999999999</v>
          </cell>
          <cell r="AQ14">
            <v>9938.607</v>
          </cell>
          <cell r="AR14">
            <v>20592.349999999999</v>
          </cell>
        </row>
        <row r="21">
          <cell r="AH21">
            <v>37011</v>
          </cell>
          <cell r="AI21">
            <v>36200</v>
          </cell>
          <cell r="AJ21">
            <v>34600</v>
          </cell>
          <cell r="AK21">
            <v>31721</v>
          </cell>
          <cell r="AL21">
            <v>28151</v>
          </cell>
          <cell r="AM21">
            <v>29563</v>
          </cell>
          <cell r="AN21">
            <v>26805</v>
          </cell>
          <cell r="AO21">
            <v>24737</v>
          </cell>
          <cell r="AP21">
            <v>24888</v>
          </cell>
          <cell r="AQ21">
            <v>25487</v>
          </cell>
          <cell r="AR21">
            <v>20886</v>
          </cell>
        </row>
        <row r="23">
          <cell r="AH23">
            <v>71167</v>
          </cell>
          <cell r="AI23">
            <v>67861.040999999997</v>
          </cell>
          <cell r="AJ23">
            <v>75835.304000000004</v>
          </cell>
          <cell r="AK23">
            <v>71504.048999999999</v>
          </cell>
          <cell r="AL23">
            <v>77403.721000000005</v>
          </cell>
          <cell r="AM23">
            <v>83669</v>
          </cell>
          <cell r="AN23">
            <v>85313.18</v>
          </cell>
          <cell r="AO23">
            <v>88005.735000000001</v>
          </cell>
          <cell r="AP23">
            <v>92512</v>
          </cell>
          <cell r="AQ23">
            <v>91041</v>
          </cell>
          <cell r="AR23">
            <v>87201</v>
          </cell>
        </row>
        <row r="25">
          <cell r="AH25">
            <v>52.000922000000003</v>
          </cell>
          <cell r="AI25">
            <v>52.773820000000008</v>
          </cell>
          <cell r="AJ25">
            <v>54.147969999999994</v>
          </cell>
          <cell r="AK25">
            <v>64.247</v>
          </cell>
          <cell r="AL25">
            <v>68.436000000000007</v>
          </cell>
          <cell r="AM25">
            <v>82.079890000000006</v>
          </cell>
          <cell r="AN25">
            <v>88.230699999999999</v>
          </cell>
          <cell r="AO25">
            <v>96.120999999999995</v>
          </cell>
          <cell r="AP25">
            <v>61.405000000000001</v>
          </cell>
          <cell r="AQ25">
            <v>70.016999999999996</v>
          </cell>
          <cell r="AR25">
            <v>69.751000000000005</v>
          </cell>
        </row>
      </sheetData>
      <sheetData sheetId="1"/>
      <sheetData sheetId="2">
        <row r="9">
          <cell r="AH9">
            <v>88.423000000000002</v>
          </cell>
          <cell r="AI9">
            <v>91.614000000000004</v>
          </cell>
          <cell r="AJ9">
            <v>92.86</v>
          </cell>
          <cell r="AK9">
            <v>93.699999999999989</v>
          </cell>
          <cell r="AL9">
            <v>99.339999999999989</v>
          </cell>
          <cell r="AM9">
            <v>102.33</v>
          </cell>
          <cell r="AN9">
            <v>106.85</v>
          </cell>
          <cell r="AO9">
            <v>109.64</v>
          </cell>
          <cell r="AP9">
            <v>82.45</v>
          </cell>
          <cell r="AQ9">
            <v>106.67999999999999</v>
          </cell>
        </row>
        <row r="10">
          <cell r="AH10">
            <v>59.515999999999998</v>
          </cell>
          <cell r="AI10">
            <v>61.08</v>
          </cell>
          <cell r="AJ10">
            <v>60.2</v>
          </cell>
          <cell r="AK10">
            <v>59.99</v>
          </cell>
          <cell r="AL10">
            <v>63.73</v>
          </cell>
          <cell r="AM10">
            <v>63.31</v>
          </cell>
          <cell r="AN10">
            <v>66.83</v>
          </cell>
          <cell r="AO10">
            <v>70.08</v>
          </cell>
          <cell r="AP10">
            <v>52.72</v>
          </cell>
          <cell r="AQ10">
            <v>67.63</v>
          </cell>
        </row>
        <row r="11">
          <cell r="AH11">
            <v>16.195</v>
          </cell>
          <cell r="AI11">
            <v>17.193999999999999</v>
          </cell>
          <cell r="AJ11">
            <v>17.420000000000002</v>
          </cell>
          <cell r="AK11">
            <v>17.89</v>
          </cell>
          <cell r="AL11">
            <v>19.22</v>
          </cell>
          <cell r="AM11">
            <v>20.53</v>
          </cell>
          <cell r="AN11">
            <v>20.67</v>
          </cell>
          <cell r="AO11">
            <v>20.91</v>
          </cell>
          <cell r="AP11">
            <v>15.36</v>
          </cell>
          <cell r="AQ11">
            <v>20.329999999999998</v>
          </cell>
        </row>
        <row r="12">
          <cell r="AH12">
            <v>12.712</v>
          </cell>
          <cell r="AI12">
            <v>13.34</v>
          </cell>
          <cell r="AJ12">
            <v>15.24</v>
          </cell>
          <cell r="AK12">
            <v>15.82</v>
          </cell>
          <cell r="AL12">
            <v>16.39</v>
          </cell>
          <cell r="AM12">
            <v>18.489999999999998</v>
          </cell>
          <cell r="AN12">
            <v>19.350000000000001</v>
          </cell>
          <cell r="AO12">
            <v>18.64</v>
          </cell>
          <cell r="AP12">
            <v>14.37</v>
          </cell>
          <cell r="AQ12">
            <v>18.72</v>
          </cell>
        </row>
        <row r="14">
          <cell r="AH14">
            <v>1416</v>
          </cell>
          <cell r="AI14">
            <v>1416</v>
          </cell>
          <cell r="AJ14">
            <v>1511</v>
          </cell>
          <cell r="AK14">
            <v>1588</v>
          </cell>
          <cell r="AL14">
            <v>1773</v>
          </cell>
          <cell r="AM14">
            <v>1800</v>
          </cell>
          <cell r="AN14">
            <v>1800</v>
          </cell>
          <cell r="AO14">
            <v>1800</v>
          </cell>
          <cell r="AP14">
            <v>1800</v>
          </cell>
          <cell r="AQ14">
            <v>1800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3E12-F971-43B5-BEC0-417B77C4B082}">
  <sheetPr>
    <tabColor theme="5" tint="0.79998168889431442"/>
  </sheetPr>
  <dimension ref="A1:AL425"/>
  <sheetViews>
    <sheetView tabSelected="1" view="pageBreakPreview" zoomScale="62" zoomScaleNormal="55" zoomScaleSheetLayoutView="62" workbookViewId="0">
      <selection activeCell="A2" sqref="A2"/>
    </sheetView>
  </sheetViews>
  <sheetFormatPr baseColWidth="10" defaultRowHeight="26.25" x14ac:dyDescent="0.25"/>
  <cols>
    <col min="1" max="1" width="115.5703125" style="1" customWidth="1"/>
    <col min="2" max="2" width="21.7109375" style="1" hidden="1" customWidth="1"/>
    <col min="3" max="3" width="20.140625" style="1" customWidth="1"/>
    <col min="4" max="4" width="20.42578125" style="1" customWidth="1"/>
    <col min="5" max="6" width="20.140625" style="1" customWidth="1"/>
    <col min="7" max="8" width="20.140625" style="2" customWidth="1"/>
    <col min="9" max="9" width="20.42578125" style="1" bestFit="1" customWidth="1"/>
    <col min="10" max="10" width="13.7109375" style="1" bestFit="1" customWidth="1"/>
    <col min="11" max="21" width="11.42578125" style="1"/>
    <col min="22" max="22" width="18.28515625" style="1" bestFit="1" customWidth="1"/>
    <col min="23" max="31" width="11.42578125" style="1"/>
    <col min="32" max="32" width="19.7109375" style="1" bestFit="1" customWidth="1"/>
    <col min="33" max="33" width="11.42578125" style="1"/>
    <col min="34" max="34" width="18.42578125" style="1" bestFit="1" customWidth="1"/>
    <col min="35" max="16384" width="11.42578125" style="1"/>
  </cols>
  <sheetData>
    <row r="1" spans="1:8" ht="6" customHeight="1" x14ac:dyDescent="0.25">
      <c r="A1" s="151"/>
      <c r="B1" s="150"/>
      <c r="C1" s="150"/>
      <c r="D1" s="150"/>
      <c r="E1" s="150"/>
      <c r="F1" s="4"/>
    </row>
    <row r="2" spans="1:8" ht="30.75" thickBot="1" x14ac:dyDescent="0.45">
      <c r="A2" s="46" t="s">
        <v>244</v>
      </c>
      <c r="B2" s="45"/>
      <c r="C2" s="42"/>
      <c r="D2" s="45"/>
      <c r="E2" s="44"/>
      <c r="F2" s="44"/>
      <c r="G2" s="43"/>
      <c r="H2" s="43"/>
    </row>
    <row r="3" spans="1:8" s="38" customFormat="1" ht="32.25" customHeight="1" thickBot="1" x14ac:dyDescent="0.3">
      <c r="A3" s="39"/>
      <c r="B3" s="41"/>
      <c r="C3" s="40" t="s">
        <v>16</v>
      </c>
      <c r="D3" s="149"/>
      <c r="E3" s="41"/>
      <c r="F3" s="41"/>
      <c r="G3" s="41"/>
      <c r="H3" s="41"/>
    </row>
    <row r="4" spans="1:8" ht="33" customHeight="1" thickBot="1" x14ac:dyDescent="0.35">
      <c r="A4" s="37"/>
      <c r="B4" s="36"/>
      <c r="C4" s="35" t="s">
        <v>15</v>
      </c>
      <c r="D4" s="35" t="s">
        <v>243</v>
      </c>
      <c r="E4" s="35" t="s">
        <v>242</v>
      </c>
      <c r="F4" s="35" t="s">
        <v>241</v>
      </c>
      <c r="G4" s="35" t="s">
        <v>240</v>
      </c>
      <c r="H4" s="35" t="s">
        <v>239</v>
      </c>
    </row>
    <row r="5" spans="1:8" s="17" customFormat="1" ht="13.5" customHeight="1" x14ac:dyDescent="0.4">
      <c r="A5" s="148"/>
      <c r="B5" s="147"/>
      <c r="C5" s="147"/>
      <c r="E5" s="18"/>
      <c r="F5" s="74"/>
      <c r="G5" s="74"/>
    </row>
    <row r="6" spans="1:8" s="17" customFormat="1" ht="32.25" customHeight="1" x14ac:dyDescent="0.4">
      <c r="A6" s="146" t="s">
        <v>238</v>
      </c>
      <c r="B6" s="26"/>
      <c r="C6" s="26"/>
      <c r="E6" s="18"/>
      <c r="F6" s="74"/>
      <c r="G6" s="74"/>
    </row>
    <row r="7" spans="1:8" s="17" customFormat="1" ht="32.25" customHeight="1" x14ac:dyDescent="0.4">
      <c r="A7" s="129" t="s">
        <v>237</v>
      </c>
      <c r="B7" s="26"/>
      <c r="C7" s="26"/>
      <c r="E7" s="18"/>
      <c r="F7" s="74"/>
      <c r="G7" s="74"/>
    </row>
    <row r="8" spans="1:8" s="17" customFormat="1" ht="32.25" customHeight="1" x14ac:dyDescent="0.4">
      <c r="A8" s="109" t="s">
        <v>236</v>
      </c>
      <c r="B8" s="26"/>
      <c r="C8" s="140">
        <f>+AVERAGE([35]Hauteur!$AH$29:$AM$29)</f>
        <v>345.18333333333334</v>
      </c>
      <c r="D8" s="142">
        <f>+[35]Hauteur!AN29</f>
        <v>348.24</v>
      </c>
      <c r="E8" s="142">
        <f>+[35]Hauteur!AO29</f>
        <v>296.7</v>
      </c>
      <c r="F8" s="142">
        <f>+[35]Hauteur!AP29</f>
        <v>255.6</v>
      </c>
      <c r="G8" s="142">
        <f>+[35]Hauteur!AQ29</f>
        <v>291</v>
      </c>
      <c r="H8" s="142">
        <f>+[35]Hauteur!AR29</f>
        <v>188</v>
      </c>
    </row>
    <row r="9" spans="1:8" s="17" customFormat="1" ht="32.25" customHeight="1" x14ac:dyDescent="0.4">
      <c r="A9" s="109" t="s">
        <v>235</v>
      </c>
      <c r="B9" s="26"/>
      <c r="C9" s="142"/>
      <c r="D9" s="142"/>
      <c r="E9" s="142"/>
      <c r="F9" s="142"/>
      <c r="G9" s="142"/>
      <c r="H9" s="142"/>
    </row>
    <row r="10" spans="1:8" s="17" customFormat="1" ht="32.25" customHeight="1" x14ac:dyDescent="0.4">
      <c r="A10" s="30" t="s">
        <v>229</v>
      </c>
      <c r="B10" s="26"/>
      <c r="C10" s="140">
        <f>+AVERAGE('[34]Superficie principales cultures'!$AG$10:$AL$10)</f>
        <v>5030.5690866666673</v>
      </c>
      <c r="D10" s="140">
        <f>+'[34]Superficie principales cultures'!AM10</f>
        <v>4659.0309999999999</v>
      </c>
      <c r="E10" s="140">
        <f>+'[34]Superficie principales cultures'!AN10</f>
        <v>3645.2000000000003</v>
      </c>
      <c r="F10" s="140">
        <f>+'[34]Superficie principales cultures'!AO10</f>
        <v>4431.1000000000004</v>
      </c>
      <c r="G10" s="140">
        <f>+'[34]Superficie principales cultures'!AP10</f>
        <v>4475.4990000000016</v>
      </c>
      <c r="H10" s="140">
        <f>+'[34]Superficie principales cultures'!AQ10</f>
        <v>3571</v>
      </c>
    </row>
    <row r="11" spans="1:8" s="17" customFormat="1" ht="32.25" customHeight="1" x14ac:dyDescent="0.4">
      <c r="A11" s="20" t="s">
        <v>228</v>
      </c>
      <c r="B11" s="26"/>
      <c r="C11" s="139">
        <f>+AVERAGE('[34]Superficie principales cultures'!$AG11:$AL11)</f>
        <v>955.8450199793333</v>
      </c>
      <c r="D11" s="139">
        <f>+'[34]Superficie principales cultures'!AM11</f>
        <v>996.63800000000003</v>
      </c>
      <c r="E11" s="139">
        <f>+'[34]Superficie principales cultures'!AN11</f>
        <v>818.7</v>
      </c>
      <c r="F11" s="139">
        <f>+'[34]Superficie principales cultures'!AO11</f>
        <v>993.3</v>
      </c>
      <c r="G11" s="139">
        <f>+'[34]Superficie principales cultures'!AP11</f>
        <v>987.91</v>
      </c>
      <c r="H11" s="139">
        <f>+'[34]Superficie principales cultures'!AQ11</f>
        <v>831</v>
      </c>
    </row>
    <row r="12" spans="1:8" s="17" customFormat="1" ht="32.25" customHeight="1" x14ac:dyDescent="0.4">
      <c r="A12" s="20" t="s">
        <v>227</v>
      </c>
      <c r="B12" s="26"/>
      <c r="C12" s="139">
        <f>+AVERAGE('[34]Superficie principales cultures'!$AG12:$AL12)</f>
        <v>2111.2929764933333</v>
      </c>
      <c r="D12" s="139">
        <f>+'[34]Superficie principales cultures'!AM12</f>
        <v>1891.46</v>
      </c>
      <c r="E12" s="139">
        <f>+'[34]Superficie principales cultures'!AN12</f>
        <v>1687.3</v>
      </c>
      <c r="F12" s="139">
        <f>+'[34]Superficie principales cultures'!AO12</f>
        <v>1852</v>
      </c>
      <c r="G12" s="139">
        <f>+'[34]Superficie principales cultures'!AP12</f>
        <v>1876.6569999999999</v>
      </c>
      <c r="H12" s="139">
        <f>+'[34]Superficie principales cultures'!AQ12</f>
        <v>1602</v>
      </c>
    </row>
    <row r="13" spans="1:8" s="17" customFormat="1" ht="32.25" customHeight="1" x14ac:dyDescent="0.4">
      <c r="A13" s="20" t="s">
        <v>226</v>
      </c>
      <c r="B13" s="26"/>
      <c r="C13" s="139">
        <f>+AVERAGE('[34]Superficie principales cultures'!$AG13:$AL13)</f>
        <v>1775.7827974066668</v>
      </c>
      <c r="D13" s="139">
        <f>+'[34]Superficie principales cultures'!AM13</f>
        <v>1598.68</v>
      </c>
      <c r="E13" s="139">
        <f>+'[34]Superficie principales cultures'!AN13</f>
        <v>1050.2</v>
      </c>
      <c r="F13" s="139">
        <f>+'[34]Superficie principales cultures'!AO13</f>
        <v>1495</v>
      </c>
      <c r="G13" s="139">
        <f>+'[34]Superficie principales cultures'!AP13</f>
        <v>1489.2570000000001</v>
      </c>
      <c r="H13" s="139">
        <f>+'[34]Superficie principales cultures'!AQ13</f>
        <v>1137</v>
      </c>
    </row>
    <row r="14" spans="1:8" s="17" customFormat="1" ht="32.25" customHeight="1" x14ac:dyDescent="0.4">
      <c r="A14" s="20" t="s">
        <v>225</v>
      </c>
      <c r="B14" s="26"/>
      <c r="C14" s="139">
        <f>+AVERAGE('[34]Superficie principales cultures'!$AG14:$AL14)</f>
        <v>138.18449999999999</v>
      </c>
      <c r="D14" s="139">
        <f>+'[34]Superficie principales cultures'!AM14</f>
        <v>148.178</v>
      </c>
      <c r="E14" s="139">
        <f>+'[34]Superficie principales cultures'!AN14</f>
        <v>63.3</v>
      </c>
      <c r="F14" s="139">
        <f>+'[34]Superficie principales cultures'!AO14</f>
        <v>71.099999999999994</v>
      </c>
      <c r="G14" s="139">
        <f>+'[34]Superficie principales cultures'!AP14</f>
        <v>91.658000000000001</v>
      </c>
      <c r="H14" s="139"/>
    </row>
    <row r="15" spans="1:8" s="88" customFormat="1" ht="32.25" customHeight="1" x14ac:dyDescent="0.35">
      <c r="A15" s="30" t="s">
        <v>224</v>
      </c>
      <c r="B15" s="26"/>
      <c r="C15" s="140">
        <f>+AVERAGE('[34]Superficie principales cultures'!$AG16:AL16)</f>
        <v>359.95368333333334</v>
      </c>
      <c r="D15" s="140">
        <f>+'[34]Superficie principales cultures'!AM16</f>
        <v>330.3</v>
      </c>
      <c r="E15" s="140">
        <f>+'[34]Superficie principales cultures'!AN16</f>
        <v>283.5</v>
      </c>
      <c r="F15" s="140">
        <f>+'[34]Superficie principales cultures'!AO16</f>
        <v>271.89999999999998</v>
      </c>
      <c r="G15" s="140">
        <f>+'[34]Superficie principales cultures'!AP16</f>
        <v>261.1825</v>
      </c>
      <c r="H15" s="140"/>
    </row>
    <row r="16" spans="1:8" s="88" customFormat="1" ht="32.25" customHeight="1" x14ac:dyDescent="0.35">
      <c r="A16" s="30" t="s">
        <v>223</v>
      </c>
      <c r="B16" s="26"/>
      <c r="C16" s="140">
        <f>+AVERAGE('[34]Superficie principales cultures'!$AG17:AL17)</f>
        <v>40.06005833333333</v>
      </c>
      <c r="D16" s="140">
        <f>+'[34]Superficie principales cultures'!AM17</f>
        <v>35.300000000000004</v>
      </c>
      <c r="E16" s="140">
        <f>+'[34]Superficie principales cultures'!AN17</f>
        <v>48.5</v>
      </c>
      <c r="F16" s="140">
        <f>+'[34]Superficie principales cultures'!AO17</f>
        <v>42.3</v>
      </c>
      <c r="G16" s="140">
        <f>+'[34]Superficie principales cultures'!AP17</f>
        <v>37.139500000000005</v>
      </c>
      <c r="H16" s="140"/>
    </row>
    <row r="17" spans="1:8" s="17" customFormat="1" ht="32.25" customHeight="1" x14ac:dyDescent="0.4">
      <c r="A17" s="20" t="s">
        <v>222</v>
      </c>
      <c r="B17" s="26"/>
      <c r="C17" s="140">
        <f>+AVERAGE('[34]Superficie principales cultures'!$AG18:AL18)</f>
        <v>23.901</v>
      </c>
      <c r="D17" s="139">
        <f>+'[34]Superficie principales cultures'!AM18</f>
        <v>21.7</v>
      </c>
      <c r="E17" s="139">
        <f>+'[34]Superficie principales cultures'!AN18</f>
        <v>22.2</v>
      </c>
      <c r="F17" s="139">
        <f>+'[34]Superficie principales cultures'!AO18</f>
        <v>18.5</v>
      </c>
      <c r="G17" s="139">
        <f>+'[34]Superficie principales cultures'!AP18</f>
        <v>16.286000000000001</v>
      </c>
      <c r="H17" s="139"/>
    </row>
    <row r="18" spans="1:8" s="17" customFormat="1" ht="32.25" customHeight="1" x14ac:dyDescent="0.4">
      <c r="A18" s="20" t="s">
        <v>221</v>
      </c>
      <c r="B18" s="26"/>
      <c r="C18" s="140">
        <f>+AVERAGE('[34]Superficie principales cultures'!$AG19:AL19)</f>
        <v>15.190833333333336</v>
      </c>
      <c r="D18" s="139">
        <f>+'[34]Superficie principales cultures'!AM19</f>
        <v>12.9</v>
      </c>
      <c r="E18" s="139">
        <f>+'[34]Superficie principales cultures'!AN19</f>
        <v>15.3</v>
      </c>
      <c r="F18" s="139">
        <f>+'[34]Superficie principales cultures'!AO19</f>
        <v>14</v>
      </c>
      <c r="G18" s="139">
        <f>+'[34]Superficie principales cultures'!AP19</f>
        <v>13.438000000000001</v>
      </c>
      <c r="H18" s="139"/>
    </row>
    <row r="19" spans="1:8" s="88" customFormat="1" ht="32.25" customHeight="1" x14ac:dyDescent="0.35">
      <c r="A19" s="30" t="s">
        <v>220</v>
      </c>
      <c r="B19" s="26"/>
      <c r="C19" s="140">
        <f>+AVERAGE('[34]Superficie principales cultures'!$AG20:AL20)</f>
        <v>94.682648333333347</v>
      </c>
      <c r="D19" s="140">
        <f>+'[34]Superficie principales cultures'!AM20</f>
        <v>62.7</v>
      </c>
      <c r="E19" s="140">
        <f>+'[34]Superficie principales cultures'!AN20</f>
        <v>68.5</v>
      </c>
      <c r="F19" s="140">
        <f>+'[34]Superficie principales cultures'!AO20</f>
        <v>69.400000000000006</v>
      </c>
      <c r="G19" s="140">
        <f>+'[34]Superficie principales cultures'!AP20</f>
        <v>54.7</v>
      </c>
      <c r="H19" s="140"/>
    </row>
    <row r="20" spans="1:8" s="17" customFormat="1" ht="32.25" customHeight="1" x14ac:dyDescent="0.4">
      <c r="A20" s="20" t="s">
        <v>219</v>
      </c>
      <c r="B20" s="26"/>
      <c r="C20" s="139">
        <f>+AVERAGE('[34]Superficie principales cultures'!AG21:AL21)</f>
        <v>49.959183333333335</v>
      </c>
      <c r="D20" s="139">
        <f>+'[34]Superficie principales cultures'!AM21</f>
        <v>54</v>
      </c>
      <c r="E20" s="139">
        <f>+'[34]Superficie principales cultures'!AN21</f>
        <v>57.2</v>
      </c>
      <c r="F20" s="139">
        <f>+'[34]Superficie principales cultures'!AO21</f>
        <v>57.6</v>
      </c>
      <c r="G20" s="139">
        <f>+'[34]Superficie principales cultures'!AP21</f>
        <v>45.2</v>
      </c>
      <c r="H20" s="139"/>
    </row>
    <row r="21" spans="1:8" s="17" customFormat="1" ht="32.25" customHeight="1" x14ac:dyDescent="0.4">
      <c r="A21" s="20" t="s">
        <v>218</v>
      </c>
      <c r="B21" s="26"/>
      <c r="C21" s="139">
        <f>+AVERAGE('[34]Superficie principales cultures'!AG22:AL22)</f>
        <v>11.425911666666666</v>
      </c>
      <c r="D21" s="139">
        <f>+'[34]Superficie principales cultures'!AM22</f>
        <v>8.6999999999999993</v>
      </c>
      <c r="E21" s="139">
        <f>+'[34]Superficie principales cultures'!AN22</f>
        <v>11.3</v>
      </c>
      <c r="F21" s="139">
        <f>+'[34]Superficie principales cultures'!AO22</f>
        <v>11.8</v>
      </c>
      <c r="G21" s="139">
        <f>+'[34]Superficie principales cultures'!AP22</f>
        <v>9.5</v>
      </c>
      <c r="H21" s="139"/>
    </row>
    <row r="22" spans="1:8" s="143" customFormat="1" ht="32.25" hidden="1" customHeight="1" x14ac:dyDescent="0.35">
      <c r="A22" s="145" t="s">
        <v>234</v>
      </c>
      <c r="B22" s="144"/>
      <c r="C22" s="140">
        <f>+'[13]Annexe global'!C657</f>
        <v>7546.9591855551835</v>
      </c>
      <c r="D22" s="140">
        <f>+'[13]Annexe global'!F657</f>
        <v>8900.4259999999995</v>
      </c>
      <c r="E22" s="140">
        <f>+'[13]Annexe global'!G657</f>
        <v>6437.880282410053</v>
      </c>
      <c r="F22" s="140">
        <f>+'[13]Annexe global'!H657</f>
        <v>8420.1659999999993</v>
      </c>
      <c r="G22" s="140">
        <f>+'[13]Annexe global'!I657</f>
        <v>7635.056592042858</v>
      </c>
      <c r="H22" s="140">
        <f>+'[13]Annexe global'!J657</f>
        <v>0</v>
      </c>
    </row>
    <row r="23" spans="1:8" s="143" customFormat="1" ht="32.25" hidden="1" customHeight="1" x14ac:dyDescent="0.35">
      <c r="A23" s="145" t="s">
        <v>233</v>
      </c>
      <c r="B23" s="144"/>
      <c r="C23" s="140">
        <f>+'[13]Annexe global'!C658</f>
        <v>9188.3294963247081</v>
      </c>
      <c r="D23" s="140">
        <f>+'[13]Annexe global'!F658</f>
        <v>0</v>
      </c>
      <c r="E23" s="140">
        <f>+'[13]Annexe global'!G658</f>
        <v>0</v>
      </c>
      <c r="F23" s="140">
        <f>+'[13]Annexe global'!H658</f>
        <v>0</v>
      </c>
      <c r="G23" s="140">
        <f>+'[13]Annexe global'!I658</f>
        <v>0</v>
      </c>
      <c r="H23" s="140">
        <f>+'[13]Annexe global'!J658</f>
        <v>0</v>
      </c>
    </row>
    <row r="24" spans="1:8" s="143" customFormat="1" ht="32.25" hidden="1" customHeight="1" x14ac:dyDescent="0.35">
      <c r="A24" s="145" t="s">
        <v>232</v>
      </c>
      <c r="B24" s="144"/>
      <c r="C24" s="142">
        <f>+'[13]Annexe global'!C659</f>
        <v>81.013227895648271</v>
      </c>
      <c r="D24" s="142">
        <f>+'[13]Annexe global'!F659</f>
        <v>0</v>
      </c>
      <c r="E24" s="142">
        <f>+'[13]Annexe global'!G659</f>
        <v>0</v>
      </c>
      <c r="F24" s="142">
        <f>+'[13]Annexe global'!H659</f>
        <v>0</v>
      </c>
      <c r="G24" s="142">
        <f>+'[13]Annexe global'!I659</f>
        <v>0</v>
      </c>
      <c r="H24" s="142">
        <f>+'[13]Annexe global'!J659</f>
        <v>0</v>
      </c>
    </row>
    <row r="25" spans="1:8" s="17" customFormat="1" ht="12" customHeight="1" x14ac:dyDescent="0.4">
      <c r="A25" s="30"/>
      <c r="B25" s="109"/>
      <c r="C25" s="142"/>
      <c r="D25" s="142"/>
      <c r="E25" s="142"/>
      <c r="F25" s="142"/>
      <c r="G25" s="142"/>
      <c r="H25" s="142"/>
    </row>
    <row r="26" spans="1:8" s="17" customFormat="1" ht="32.25" customHeight="1" x14ac:dyDescent="0.4">
      <c r="A26" s="109" t="s">
        <v>231</v>
      </c>
      <c r="B26" s="26"/>
      <c r="C26" s="141"/>
      <c r="D26" s="141"/>
      <c r="E26" s="141"/>
      <c r="F26" s="141"/>
      <c r="G26" s="141"/>
      <c r="H26" s="141"/>
    </row>
    <row r="27" spans="1:8" s="17" customFormat="1" ht="32.25" customHeight="1" x14ac:dyDescent="0.4">
      <c r="A27" s="30" t="s">
        <v>229</v>
      </c>
      <c r="B27" s="26"/>
      <c r="C27" s="140">
        <f>+AVERAGE('[33]Principales cultures'!AH10:AM10)</f>
        <v>78524.855929769546</v>
      </c>
      <c r="D27" s="140">
        <f>+'[33]Principales cultures'!AN10</f>
        <v>104677.18210000001</v>
      </c>
      <c r="E27" s="140">
        <f>+'[33]Principales cultures'!AO10</f>
        <v>53036.500000000007</v>
      </c>
      <c r="F27" s="140">
        <f>+'[33]Principales cultures'!AP10</f>
        <v>33120.299999999996</v>
      </c>
      <c r="G27" s="140">
        <f>+'[33]Principales cultures'!AQ10</f>
        <v>104548.88299999993</v>
      </c>
      <c r="H27" s="140">
        <f>+'[33]Principales cultures'!AR10</f>
        <v>34000</v>
      </c>
    </row>
    <row r="28" spans="1:8" s="17" customFormat="1" ht="32.25" customHeight="1" x14ac:dyDescent="0.4">
      <c r="A28" s="20" t="s">
        <v>228</v>
      </c>
      <c r="B28" s="26"/>
      <c r="C28" s="139">
        <f>+AVERAGE('[33]Principales cultures'!AH11:AM11)</f>
        <v>16538.827162240024</v>
      </c>
      <c r="D28" s="139">
        <f>+'[33]Principales cultures'!AN11</f>
        <v>24319.7925</v>
      </c>
      <c r="E28" s="139">
        <f>+'[33]Principales cultures'!AO11</f>
        <v>13436.5</v>
      </c>
      <c r="F28" s="139">
        <f>+'[33]Principales cultures'!AP11</f>
        <v>7919.2</v>
      </c>
      <c r="G28" s="139">
        <f>+'[33]Principales cultures'!AQ11</f>
        <v>24831.478999999981</v>
      </c>
      <c r="H28" s="139">
        <f>+'[33]Principales cultures'!AR11</f>
        <v>8100</v>
      </c>
    </row>
    <row r="29" spans="1:8" s="17" customFormat="1" ht="32.25" customHeight="1" x14ac:dyDescent="0.4">
      <c r="A29" s="20" t="s">
        <v>227</v>
      </c>
      <c r="B29" s="26"/>
      <c r="C29" s="139">
        <f>+AVERAGE('[33]Principales cultures'!AH12:AM12)</f>
        <v>39835.227331838454</v>
      </c>
      <c r="D29" s="139">
        <f>+'[33]Principales cultures'!AN12</f>
        <v>49101.128600000004</v>
      </c>
      <c r="E29" s="139">
        <f>+'[33]Principales cultures'!AO12</f>
        <v>26816.5</v>
      </c>
      <c r="F29" s="139">
        <f>+'[33]Principales cultures'!AP12</f>
        <v>17700</v>
      </c>
      <c r="G29" s="139">
        <f>+'[33]Principales cultures'!AQ12</f>
        <v>50606.999999999964</v>
      </c>
      <c r="H29" s="139">
        <f>+'[33]Principales cultures'!AR12</f>
        <v>18900</v>
      </c>
    </row>
    <row r="30" spans="1:8" s="17" customFormat="1" ht="32.25" customHeight="1" x14ac:dyDescent="0.4">
      <c r="A30" s="20" t="s">
        <v>226</v>
      </c>
      <c r="B30" s="26"/>
      <c r="C30" s="139">
        <f>+AVERAGE('[33]Principales cultures'!AH13:AM13)</f>
        <v>20075.781843884055</v>
      </c>
      <c r="D30" s="139">
        <f>+'[33]Principales cultures'!AN13</f>
        <v>29194.620999999999</v>
      </c>
      <c r="E30" s="139">
        <f>+'[33]Principales cultures'!AO13</f>
        <v>11611.8</v>
      </c>
      <c r="F30" s="139">
        <f>+'[33]Principales cultures'!AP13</f>
        <v>6450.3</v>
      </c>
      <c r="G30" s="139">
        <f>+'[33]Principales cultures'!AQ13</f>
        <v>27803.45399999998</v>
      </c>
      <c r="H30" s="139">
        <f>+'[33]Principales cultures'!AR13</f>
        <v>7000</v>
      </c>
    </row>
    <row r="31" spans="1:8" s="17" customFormat="1" ht="32.25" customHeight="1" x14ac:dyDescent="0.4">
      <c r="A31" s="20" t="s">
        <v>225</v>
      </c>
      <c r="B31" s="26"/>
      <c r="C31" s="139">
        <f>+AVERAGE('[33]Principales cultures'!AH14:AM14)</f>
        <v>1086.5487216666668</v>
      </c>
      <c r="D31" s="139">
        <f>+'[33]Principales cultures'!AN14</f>
        <v>1183.8</v>
      </c>
      <c r="E31" s="139">
        <f>+'[33]Principales cultures'!AO14</f>
        <v>404.9</v>
      </c>
      <c r="F31" s="139">
        <f>+'[33]Principales cultures'!AP14</f>
        <v>298.89999999999998</v>
      </c>
      <c r="G31" s="139">
        <f>+'[33]Principales cultures'!AQ14</f>
        <v>486.37300000000005</v>
      </c>
      <c r="H31" s="139"/>
    </row>
    <row r="32" spans="1:8" s="17" customFormat="1" ht="32.25" customHeight="1" x14ac:dyDescent="0.4">
      <c r="A32" s="30" t="s">
        <v>224</v>
      </c>
      <c r="B32" s="26"/>
      <c r="C32" s="140">
        <f>+AVERAGE('[33]Principales cultures'!AH16:AM16)</f>
        <v>2448.9885007882881</v>
      </c>
      <c r="D32" s="140">
        <f>+'[33]Principales cultures'!AN16</f>
        <v>2817.0342175999999</v>
      </c>
      <c r="E32" s="140">
        <f>+'[33]Principales cultures'!AO16</f>
        <v>2244</v>
      </c>
      <c r="F32" s="140">
        <f>+'[33]Principales cultures'!AP16</f>
        <v>1495.3</v>
      </c>
      <c r="G32" s="140">
        <f>+'[33]Principales cultures'!AQ16</f>
        <v>3002.7667999999999</v>
      </c>
      <c r="H32" s="140">
        <f>+'[33]Principales cultures'!AR16</f>
        <v>1003</v>
      </c>
    </row>
    <row r="33" spans="1:8" s="17" customFormat="1" ht="32.25" customHeight="1" x14ac:dyDescent="0.4">
      <c r="A33" s="30" t="s">
        <v>223</v>
      </c>
      <c r="B33" s="26"/>
      <c r="C33" s="140">
        <f>+AVERAGE('[33]Principales cultures'!AH17:AM17)</f>
        <v>658.78641666666647</v>
      </c>
      <c r="D33" s="140">
        <f>+'[33]Principales cultures'!AN17</f>
        <v>705.54150000000004</v>
      </c>
      <c r="E33" s="140">
        <f>+'[33]Principales cultures'!AO17</f>
        <v>790</v>
      </c>
      <c r="F33" s="140">
        <f>+'[33]Principales cultures'!AP17</f>
        <v>688.8</v>
      </c>
      <c r="G33" s="140">
        <f>+'[33]Principales cultures'!AQ17</f>
        <v>707.48399999999992</v>
      </c>
      <c r="H33" s="140">
        <f>+'[33]Principales cultures'!AR17</f>
        <v>585</v>
      </c>
    </row>
    <row r="34" spans="1:8" s="17" customFormat="1" ht="32.25" customHeight="1" x14ac:dyDescent="0.4">
      <c r="A34" s="20" t="s">
        <v>222</v>
      </c>
      <c r="B34" s="26"/>
      <c r="C34" s="139">
        <f>+AVERAGE('[33]Principales cultures'!AH18:AM18)</f>
        <v>283.9801333333333</v>
      </c>
      <c r="D34" s="139">
        <f>+'[33]Principales cultures'!AN18</f>
        <v>376.0215</v>
      </c>
      <c r="E34" s="139">
        <f>+'[33]Principales cultures'!AO18</f>
        <v>294.60000000000002</v>
      </c>
      <c r="F34" s="139">
        <f>+'[33]Principales cultures'!AP18</f>
        <v>224</v>
      </c>
      <c r="G34" s="139">
        <f>+'[33]Principales cultures'!AQ18</f>
        <v>246.01599999999999</v>
      </c>
      <c r="H34" s="139"/>
    </row>
    <row r="35" spans="1:8" s="17" customFormat="1" ht="32.25" customHeight="1" x14ac:dyDescent="0.4">
      <c r="A35" s="20" t="s">
        <v>221</v>
      </c>
      <c r="B35" s="26"/>
      <c r="C35" s="139">
        <f>+AVERAGE('[33]Principales cultures'!AH19:AM19)</f>
        <v>365.60999999999996</v>
      </c>
      <c r="D35" s="139">
        <f>+'[33]Principales cultures'!AN19</f>
        <v>321.52</v>
      </c>
      <c r="E35" s="139">
        <f>+'[33]Principales cultures'!AO19</f>
        <v>396.7</v>
      </c>
      <c r="F35" s="139">
        <f>+'[33]Principales cultures'!AP19</f>
        <v>367.3</v>
      </c>
      <c r="G35" s="139">
        <f>+'[33]Principales cultures'!AQ19</f>
        <v>367.88800000000003</v>
      </c>
      <c r="H35" s="139"/>
    </row>
    <row r="36" spans="1:8" s="17" customFormat="1" ht="32.25" customHeight="1" x14ac:dyDescent="0.4">
      <c r="A36" s="30" t="s">
        <v>220</v>
      </c>
      <c r="B36" s="26"/>
      <c r="C36" s="140">
        <f>+AVERAGE('[33]Principales cultures'!AH20:AM20)</f>
        <v>35942.270049999999</v>
      </c>
      <c r="D36" s="140">
        <f>+'[33]Principales cultures'!AN20</f>
        <v>43266.280100000004</v>
      </c>
      <c r="E36" s="140">
        <f>+'[33]Principales cultures'!AO20</f>
        <v>42118</v>
      </c>
      <c r="F36" s="140">
        <f>+'[33]Principales cultures'!AP20</f>
        <v>44240</v>
      </c>
      <c r="G36" s="140">
        <f>+'[33]Principales cultures'!AQ20</f>
        <v>31872.45</v>
      </c>
      <c r="H36" s="140">
        <f>+'[33]Principales cultures'!AR20</f>
        <v>24699</v>
      </c>
    </row>
    <row r="37" spans="1:8" s="17" customFormat="1" ht="32.25" customHeight="1" x14ac:dyDescent="0.4">
      <c r="A37" s="20" t="s">
        <v>219</v>
      </c>
      <c r="B37" s="26"/>
      <c r="C37" s="139">
        <f>+AVERAGE('[33]Principales cultures'!AH21:AM21)</f>
        <v>31355.829266666668</v>
      </c>
      <c r="D37" s="139">
        <f>+'[33]Principales cultures'!AN21</f>
        <v>37105.144200000002</v>
      </c>
      <c r="E37" s="139">
        <f>+'[33]Principales cultures'!AO21</f>
        <v>36928.800000000003</v>
      </c>
      <c r="F37" s="139">
        <f>+'[33]Principales cultures'!AP21</f>
        <v>36315.5</v>
      </c>
      <c r="G37" s="139">
        <f>+'[33]Principales cultures'!AQ21</f>
        <v>25739.91</v>
      </c>
      <c r="H37" s="139"/>
    </row>
    <row r="38" spans="1:8" s="17" customFormat="1" ht="32.25" customHeight="1" x14ac:dyDescent="0.4">
      <c r="A38" s="20" t="s">
        <v>218</v>
      </c>
      <c r="B38" s="26"/>
      <c r="C38" s="139">
        <f>+AVERAGE('[33]Principales cultures'!AH22:AM22)</f>
        <v>4586.4407833333325</v>
      </c>
      <c r="D38" s="139">
        <f>+'[33]Principales cultures'!AN22</f>
        <v>6161.1359000000002</v>
      </c>
      <c r="E38" s="139">
        <f>+'[33]Principales cultures'!AO22</f>
        <v>5189.6000000000004</v>
      </c>
      <c r="F38" s="139">
        <f>+'[33]Principales cultures'!AP22</f>
        <v>7924.9</v>
      </c>
      <c r="G38" s="139">
        <f>+'[33]Principales cultures'!AQ22</f>
        <v>6132.54</v>
      </c>
      <c r="H38" s="139"/>
    </row>
    <row r="39" spans="1:8" s="17" customFormat="1" ht="12" customHeight="1" x14ac:dyDescent="0.4">
      <c r="A39" s="20"/>
      <c r="B39" s="26"/>
      <c r="C39" s="33"/>
      <c r="D39" s="33"/>
      <c r="E39" s="33"/>
      <c r="F39" s="33"/>
      <c r="G39" s="33"/>
      <c r="H39" s="33"/>
    </row>
    <row r="40" spans="1:8" s="17" customFormat="1" ht="32.25" customHeight="1" x14ac:dyDescent="0.4">
      <c r="A40" s="109" t="s">
        <v>230</v>
      </c>
      <c r="B40" s="26"/>
      <c r="C40" s="27"/>
      <c r="D40" s="27"/>
      <c r="E40" s="27"/>
      <c r="F40" s="27"/>
      <c r="G40" s="27"/>
      <c r="H40" s="27"/>
    </row>
    <row r="41" spans="1:8" s="17" customFormat="1" ht="32.25" customHeight="1" x14ac:dyDescent="0.4">
      <c r="A41" s="30" t="s">
        <v>229</v>
      </c>
      <c r="B41" s="26"/>
      <c r="C41" s="32">
        <f>+AVERAGE('[32]Principaux rendements agricoles'!AG10:AL10)</f>
        <v>15.229042637120349</v>
      </c>
      <c r="D41" s="32">
        <f>+'[32]Principaux rendements agricoles'!AM10</f>
        <v>22.467586521746689</v>
      </c>
      <c r="E41" s="32">
        <f>+'[32]Principaux rendements agricoles'!AN10</f>
        <v>14.549681773290905</v>
      </c>
      <c r="F41" s="32">
        <f>+'[32]Principaux rendements agricoles'!AO10</f>
        <v>7.4745097154205489</v>
      </c>
      <c r="G41" s="32">
        <f>+'[32]Principaux rendements agricoles'!AP10</f>
        <v>23.360274016372227</v>
      </c>
      <c r="H41" s="32">
        <f>+'[32]Principaux rendements agricoles'!AQ10</f>
        <v>9.5211425371044527</v>
      </c>
    </row>
    <row r="42" spans="1:8" s="17" customFormat="1" ht="32.25" customHeight="1" x14ac:dyDescent="0.4">
      <c r="A42" s="20" t="s">
        <v>228</v>
      </c>
      <c r="B42" s="26"/>
      <c r="C42" s="19">
        <f>+AVERAGE('[32]Principaux rendements agricoles'!AG11:AL11)</f>
        <v>17.043389847123837</v>
      </c>
      <c r="D42" s="19">
        <f>+'[32]Principaux rendements agricoles'!AM11</f>
        <v>24.401831457359641</v>
      </c>
      <c r="E42" s="19">
        <f>+'[32]Principaux rendements agricoles'!AN11</f>
        <v>16.41199462562599</v>
      </c>
      <c r="F42" s="19">
        <f>+'[32]Principaux rendements agricoles'!AO11</f>
        <v>7.9726165307560661</v>
      </c>
      <c r="G42" s="19">
        <f>+'[32]Principaux rendements agricoles'!AP11</f>
        <v>25.135365569738116</v>
      </c>
      <c r="H42" s="19">
        <f>+'[32]Principaux rendements agricoles'!AQ11</f>
        <v>9.7472924187725631</v>
      </c>
    </row>
    <row r="43" spans="1:8" s="17" customFormat="1" ht="32.25" customHeight="1" x14ac:dyDescent="0.4">
      <c r="A43" s="20" t="s">
        <v>227</v>
      </c>
      <c r="B43" s="26"/>
      <c r="C43" s="19">
        <f>+AVERAGE('[32]Principaux rendements agricoles'!AG12:AL12)</f>
        <v>18.44549448257435</v>
      </c>
      <c r="D43" s="19">
        <f>+'[32]Principaux rendements agricoles'!AM12</f>
        <v>25.959379844141566</v>
      </c>
      <c r="E43" s="19">
        <f>+'[32]Principaux rendements agricoles'!AN12</f>
        <v>15.893142891009305</v>
      </c>
      <c r="F43" s="19">
        <f>+'[32]Principaux rendements agricoles'!AO12</f>
        <v>9.5572354211663075</v>
      </c>
      <c r="G43" s="19">
        <f>+'[32]Principaux rendements agricoles'!AP12</f>
        <v>26.966568744315005</v>
      </c>
      <c r="H43" s="19">
        <f>+'[32]Principaux rendements agricoles'!AQ12</f>
        <v>11.797752808988765</v>
      </c>
    </row>
    <row r="44" spans="1:8" s="17" customFormat="1" ht="32.25" customHeight="1" x14ac:dyDescent="0.4">
      <c r="A44" s="20" t="s">
        <v>226</v>
      </c>
      <c r="B44" s="26"/>
      <c r="C44" s="19">
        <f>+AVERAGE('[32]Principaux rendements agricoles'!AG13:AL13)</f>
        <v>10.826765027712968</v>
      </c>
      <c r="D44" s="19">
        <f>+'[32]Principaux rendements agricoles'!AM13</f>
        <v>18.261704030825431</v>
      </c>
      <c r="E44" s="19">
        <f>+'[32]Principaux rendements agricoles'!AN13</f>
        <v>11.056751095029517</v>
      </c>
      <c r="F44" s="19">
        <f>+'[32]Principaux rendements agricoles'!AO13</f>
        <v>4.3145819397993312</v>
      </c>
      <c r="G44" s="19">
        <f>+'[32]Principaux rendements agricoles'!AP13</f>
        <v>18.669345855013592</v>
      </c>
      <c r="H44" s="19">
        <f>+'[32]Principaux rendements agricoles'!AQ13</f>
        <v>6.1565523306948107</v>
      </c>
    </row>
    <row r="45" spans="1:8" s="17" customFormat="1" ht="32.25" customHeight="1" x14ac:dyDescent="0.4">
      <c r="A45" s="20" t="s">
        <v>225</v>
      </c>
      <c r="B45" s="26"/>
      <c r="C45" s="19">
        <f>+AVERAGE('[32]Principaux rendements agricoles'!AG14:AL14)</f>
        <v>7.9240114589737258</v>
      </c>
      <c r="D45" s="19">
        <f>+'[32]Principaux rendements agricoles'!AM14</f>
        <v>7.9890402083980074</v>
      </c>
      <c r="E45" s="19">
        <f>+'[32]Principaux rendements agricoles'!AN14</f>
        <v>6.39652448657188</v>
      </c>
      <c r="F45" s="19">
        <f>+'[32]Principaux rendements agricoles'!AO14</f>
        <v>4.2039381153305202</v>
      </c>
      <c r="G45" s="19">
        <f>+'[32]Principaux rendements agricoles'!AP14</f>
        <v>5.3063889676842182</v>
      </c>
      <c r="H45" s="19"/>
    </row>
    <row r="46" spans="1:8" s="17" customFormat="1" ht="32.25" customHeight="1" x14ac:dyDescent="0.4">
      <c r="A46" s="30" t="s">
        <v>224</v>
      </c>
      <c r="B46" s="26"/>
      <c r="C46" s="32">
        <f>+AVERAGE('[32]Principaux rendements agricoles'!AG16:AL16)</f>
        <v>6.7085464175620269</v>
      </c>
      <c r="D46" s="32">
        <f>+'[32]Principaux rendements agricoles'!AM16</f>
        <v>8.5287139497426576</v>
      </c>
      <c r="E46" s="32">
        <f>+'[32]Principaux rendements agricoles'!AN16</f>
        <v>7.9153439153439153</v>
      </c>
      <c r="F46" s="32">
        <f>+'[32]Principaux rendements agricoles'!AO16</f>
        <v>5.4994483265906586</v>
      </c>
      <c r="G46" s="32">
        <f>+'[32]Principaux rendements agricoles'!AP16</f>
        <v>11.496814679390846</v>
      </c>
      <c r="H46" s="32"/>
    </row>
    <row r="47" spans="1:8" s="17" customFormat="1" ht="32.25" customHeight="1" x14ac:dyDescent="0.4">
      <c r="A47" s="30" t="s">
        <v>223</v>
      </c>
      <c r="B47" s="26"/>
      <c r="C47" s="32">
        <f>+AVERAGE('[32]Principaux rendements agricoles'!AG17:AL17)</f>
        <v>16.880807085395528</v>
      </c>
      <c r="D47" s="32">
        <f>+'[32]Principaux rendements agricoles'!AM17</f>
        <v>19.987011331444759</v>
      </c>
      <c r="E47" s="32">
        <f>+'[32]Principaux rendements agricoles'!AN17</f>
        <v>16.288659793814432</v>
      </c>
      <c r="F47" s="32">
        <f>+'[32]Principaux rendements agricoles'!AO17</f>
        <v>16.283687943262411</v>
      </c>
      <c r="G47" s="32">
        <f>+'[32]Principaux rendements agricoles'!AP17</f>
        <v>19.049367923639249</v>
      </c>
      <c r="H47" s="32"/>
    </row>
    <row r="48" spans="1:8" s="17" customFormat="1" ht="32.25" customHeight="1" x14ac:dyDescent="0.4">
      <c r="A48" s="20" t="s">
        <v>222</v>
      </c>
      <c r="B48" s="26"/>
      <c r="C48" s="19">
        <f>+AVERAGE('[32]Principaux rendements agricoles'!AG18:AL18)</f>
        <v>12.350139056289267</v>
      </c>
      <c r="D48" s="19">
        <f>+'[32]Principaux rendements agricoles'!AM18</f>
        <v>17.328179723502306</v>
      </c>
      <c r="E48" s="19">
        <f>+'[32]Principaux rendements agricoles'!AN18</f>
        <v>13.270270270270272</v>
      </c>
      <c r="F48" s="19">
        <f>+'[32]Principaux rendements agricoles'!AO18</f>
        <v>12.108108108108109</v>
      </c>
      <c r="G48" s="19">
        <f>+'[32]Principaux rendements agricoles'!AP18</f>
        <v>15.105980596831632</v>
      </c>
      <c r="H48" s="19"/>
    </row>
    <row r="49" spans="1:11" s="17" customFormat="1" ht="32.25" customHeight="1" x14ac:dyDescent="0.4">
      <c r="A49" s="20" t="s">
        <v>221</v>
      </c>
      <c r="B49" s="26"/>
      <c r="C49" s="19">
        <f>+AVERAGE('[32]Principaux rendements agricoles'!AG19:AL19)</f>
        <v>24.096579584543893</v>
      </c>
      <c r="D49" s="19">
        <f>+'[32]Principaux rendements agricoles'!AM19</f>
        <v>24.924031007751935</v>
      </c>
      <c r="E49" s="19">
        <f>+'[32]Principaux rendements agricoles'!AN19</f>
        <v>25.928104575163395</v>
      </c>
      <c r="F49" s="19">
        <f>+'[32]Principaux rendements agricoles'!AO19</f>
        <v>26.235714285714288</v>
      </c>
      <c r="G49" s="19">
        <f>+'[32]Principaux rendements agricoles'!AP19</f>
        <v>27.376692960261945</v>
      </c>
      <c r="H49" s="19"/>
    </row>
    <row r="50" spans="1:11" s="17" customFormat="1" ht="32.25" customHeight="1" x14ac:dyDescent="0.4">
      <c r="A50" s="30" t="s">
        <v>220</v>
      </c>
      <c r="B50" s="26"/>
      <c r="C50" s="32">
        <f>+AVERAGE('[32]Principaux rendements agricoles'!AG20:AL20)</f>
        <v>467.50299935373079</v>
      </c>
      <c r="D50" s="32">
        <f>+'[32]Principaux rendements agricoles'!AM20</f>
        <v>690.05231419457743</v>
      </c>
      <c r="E50" s="32">
        <f>+'[32]Principaux rendements agricoles'!AN20</f>
        <v>614.86131386861314</v>
      </c>
      <c r="F50" s="32">
        <f>+'[32]Principaux rendements agricoles'!AO20</f>
        <v>637.46397694524489</v>
      </c>
      <c r="G50" s="32">
        <f>+'[32]Principaux rendements agricoles'!AP20</f>
        <v>582.67733089579519</v>
      </c>
      <c r="H50" s="32"/>
    </row>
    <row r="51" spans="1:11" s="17" customFormat="1" ht="32.25" customHeight="1" x14ac:dyDescent="0.4">
      <c r="A51" s="20" t="s">
        <v>219</v>
      </c>
      <c r="B51" s="26"/>
      <c r="C51" s="32">
        <f>+AVERAGE('[32]Principaux rendements agricoles'!AG21:AL21)</f>
        <v>615.6757024934617</v>
      </c>
      <c r="D51" s="19">
        <f>+'[32]Principaux rendements agricoles'!AM21</f>
        <v>687.1323000000001</v>
      </c>
      <c r="E51" s="19">
        <f>+'[32]Principaux rendements agricoles'!AN21</f>
        <v>645.60839160839157</v>
      </c>
      <c r="F51" s="19">
        <f>+'[32]Principaux rendements agricoles'!AO21</f>
        <v>630.47743055555554</v>
      </c>
      <c r="G51" s="19">
        <f>+'[32]Principaux rendements agricoles'!AP21</f>
        <v>569.46703539823</v>
      </c>
      <c r="H51" s="19"/>
      <c r="K51" s="138"/>
    </row>
    <row r="52" spans="1:11" s="17" customFormat="1" ht="32.25" customHeight="1" x14ac:dyDescent="0.4">
      <c r="A52" s="20" t="s">
        <v>218</v>
      </c>
      <c r="B52" s="26"/>
      <c r="C52" s="19">
        <f>+AVERAGE('[32]Principaux rendements agricoles'!AG22:AL22)</f>
        <v>410.6678854625161</v>
      </c>
      <c r="D52" s="19">
        <f>+'[32]Principaux rendements agricoles'!AM22</f>
        <v>708.17654022988518</v>
      </c>
      <c r="E52" s="19">
        <f>+'[32]Principaux rendements agricoles'!AN22</f>
        <v>459.25663716814159</v>
      </c>
      <c r="F52" s="19">
        <f>+'[32]Principaux rendements agricoles'!AO22</f>
        <v>671.60169491525414</v>
      </c>
      <c r="G52" s="19">
        <f>+'[32]Principaux rendements agricoles'!AP22</f>
        <v>645.53052631578942</v>
      </c>
      <c r="H52" s="19"/>
    </row>
    <row r="53" spans="1:11" s="17" customFormat="1" ht="51" customHeight="1" x14ac:dyDescent="0.4">
      <c r="A53" s="137" t="s">
        <v>217</v>
      </c>
      <c r="B53" s="26"/>
      <c r="C53" s="107">
        <f>+AVERAGE([31]Production_cultures_maraicheres!$AF$17:$AK$17)</f>
        <v>7565.4360147861489</v>
      </c>
      <c r="D53" s="107">
        <f>+[31]Production_cultures_maraicheres!AL17</f>
        <v>7831.519690000001</v>
      </c>
      <c r="E53" s="107">
        <f>+[31]Production_cultures_maraicheres!AM17</f>
        <v>7206.1174000000001</v>
      </c>
      <c r="F53" s="107">
        <f>+[31]Production_cultures_maraicheres!AN17</f>
        <v>7124.45435</v>
      </c>
      <c r="G53" s="107">
        <f>+[31]Production_cultures_maraicheres!AO17</f>
        <v>7304.5379999999996</v>
      </c>
      <c r="H53" s="107"/>
    </row>
    <row r="54" spans="1:11" s="17" customFormat="1" ht="32.25" customHeight="1" x14ac:dyDescent="0.4">
      <c r="A54" s="20" t="s">
        <v>216</v>
      </c>
      <c r="B54" s="109"/>
      <c r="C54" s="107"/>
      <c r="D54" s="107"/>
      <c r="E54" s="107"/>
      <c r="F54" s="107"/>
      <c r="G54" s="107"/>
      <c r="H54" s="107"/>
    </row>
    <row r="55" spans="1:11" s="17" customFormat="1" ht="32.25" customHeight="1" x14ac:dyDescent="0.4">
      <c r="A55" s="53" t="s">
        <v>215</v>
      </c>
      <c r="B55" s="109"/>
      <c r="C55" s="136">
        <f>+AVERAGE([31]Production_cultures_maraicheres!$AF$18:$AK$18)/AVERAGE([31]Production_cultures_maraicheres!$AF$17:$AK$17)*100</f>
        <v>16.353688858759575</v>
      </c>
      <c r="D55" s="136">
        <f>+[31]Production_cultures_maraicheres!AL18/[31]Production_cultures_maraicheres!AL17*100</f>
        <v>16.986705679852538</v>
      </c>
      <c r="E55" s="136">
        <f>+[31]Production_cultures_maraicheres!AM18/[31]Production_cultures_maraicheres!AM17*100</f>
        <v>18.693631052971742</v>
      </c>
      <c r="F55" s="136">
        <f>+[31]Production_cultures_maraicheres!AN18/[31]Production_cultures_maraicheres!AN17*100</f>
        <v>18.794156495647982</v>
      </c>
      <c r="G55" s="136">
        <f>+[31]Production_cultures_maraicheres!AO18/[31]Production_cultures_maraicheres!AO17*100</f>
        <v>16.920522557347226</v>
      </c>
      <c r="H55" s="136"/>
    </row>
    <row r="56" spans="1:11" s="17" customFormat="1" ht="32.25" customHeight="1" x14ac:dyDescent="0.4">
      <c r="A56" s="53" t="s">
        <v>214</v>
      </c>
      <c r="B56" s="109"/>
      <c r="C56" s="136">
        <f>+AVERAGE([31]Production_cultures_maraicheres!$AF$19:$AK$19)/AVERAGE([31]Production_cultures_maraicheres!$AF$17:$AK$17)*100</f>
        <v>24.558971974314954</v>
      </c>
      <c r="D56" s="136">
        <f>+[31]Production_cultures_maraicheres!AL19/[31]Production_cultures_maraicheres!AL17*100</f>
        <v>23.867002497442481</v>
      </c>
      <c r="E56" s="136">
        <f>+[31]Production_cultures_maraicheres!AM19/[31]Production_cultures_maraicheres!AM17*100</f>
        <v>25.872240160838899</v>
      </c>
      <c r="F56" s="136">
        <f>+[31]Production_cultures_maraicheres!AN19/[31]Production_cultures_maraicheres!AN17*100</f>
        <v>23.960686898078031</v>
      </c>
      <c r="G56" s="136">
        <f>+[31]Production_cultures_maraicheres!AO19/[31]Production_cultures_maraicheres!AO17*100</f>
        <v>22.47716419573695</v>
      </c>
      <c r="H56" s="136"/>
    </row>
    <row r="57" spans="1:11" s="17" customFormat="1" ht="32.25" customHeight="1" x14ac:dyDescent="0.4">
      <c r="A57" s="53"/>
      <c r="B57" s="109"/>
      <c r="C57" s="19"/>
      <c r="D57" s="18"/>
      <c r="E57" s="2"/>
      <c r="F57" s="18"/>
      <c r="G57" s="18"/>
      <c r="H57" s="18"/>
    </row>
    <row r="58" spans="1:11" s="17" customFormat="1" ht="17.25" customHeight="1" x14ac:dyDescent="0.4">
      <c r="A58" s="135"/>
      <c r="B58" s="109"/>
      <c r="C58" s="19"/>
      <c r="D58" s="19"/>
      <c r="E58" s="18"/>
      <c r="F58" s="2"/>
      <c r="G58" s="18"/>
      <c r="H58" s="18"/>
    </row>
    <row r="59" spans="1:11" ht="31.5" customHeight="1" x14ac:dyDescent="0.3">
      <c r="A59" s="119" t="s">
        <v>181</v>
      </c>
      <c r="B59" s="14"/>
      <c r="C59" s="9"/>
      <c r="D59" s="71"/>
      <c r="E59" s="4"/>
      <c r="F59" s="2"/>
      <c r="G59" s="3"/>
      <c r="H59" s="3"/>
    </row>
    <row r="60" spans="1:11" ht="31.5" customHeight="1" x14ac:dyDescent="0.3">
      <c r="A60" s="134" t="s">
        <v>180</v>
      </c>
      <c r="B60" s="134"/>
      <c r="C60" s="134"/>
      <c r="D60" s="134"/>
      <c r="E60" s="134"/>
      <c r="F60" s="134"/>
      <c r="G60" s="134"/>
      <c r="H60" s="134"/>
    </row>
    <row r="61" spans="1:11" ht="31.5" customHeight="1" x14ac:dyDescent="0.3">
      <c r="A61" s="116" t="s">
        <v>179</v>
      </c>
      <c r="B61" s="14"/>
      <c r="C61" s="6"/>
      <c r="D61" s="13"/>
      <c r="E61" s="4"/>
      <c r="F61" s="2"/>
      <c r="G61" s="3"/>
      <c r="H61" s="3"/>
    </row>
    <row r="62" spans="1:11" ht="22.5" customHeight="1" x14ac:dyDescent="0.3">
      <c r="A62" s="133"/>
      <c r="B62" s="14"/>
      <c r="C62" s="6"/>
      <c r="D62" s="13"/>
      <c r="E62" s="4"/>
      <c r="F62" s="2"/>
      <c r="G62" s="3"/>
      <c r="H62" s="3"/>
    </row>
    <row r="63" spans="1:11" ht="1.5" customHeight="1" x14ac:dyDescent="0.3">
      <c r="A63" s="4"/>
      <c r="B63" s="14"/>
      <c r="C63" s="132"/>
      <c r="D63" s="71"/>
      <c r="E63" s="4"/>
      <c r="F63" s="2"/>
      <c r="G63" s="3"/>
      <c r="H63" s="3"/>
    </row>
    <row r="64" spans="1:11" ht="30.75" thickBot="1" x14ac:dyDescent="0.45">
      <c r="A64" s="46" t="s">
        <v>213</v>
      </c>
      <c r="B64" s="45"/>
      <c r="C64" s="42"/>
      <c r="D64" s="44"/>
      <c r="E64" s="44"/>
      <c r="F64" s="43"/>
      <c r="G64" s="42"/>
      <c r="H64" s="42"/>
    </row>
    <row r="65" spans="1:8" s="38" customFormat="1" ht="25.5" customHeight="1" thickBot="1" x14ac:dyDescent="0.45">
      <c r="A65" s="39"/>
      <c r="B65" s="41"/>
      <c r="C65" s="97" t="s">
        <v>16</v>
      </c>
      <c r="D65" s="67"/>
      <c r="E65" s="67"/>
      <c r="F65" s="67"/>
      <c r="G65" s="67"/>
      <c r="H65" s="67"/>
    </row>
    <row r="66" spans="1:8" ht="27.75" customHeight="1" thickBot="1" x14ac:dyDescent="0.35">
      <c r="A66" s="37"/>
      <c r="B66" s="131"/>
      <c r="C66" s="110" t="s">
        <v>15</v>
      </c>
      <c r="D66" s="110">
        <v>2018</v>
      </c>
      <c r="E66" s="110">
        <v>2019</v>
      </c>
      <c r="F66" s="110">
        <v>2020</v>
      </c>
      <c r="G66" s="110">
        <v>2021</v>
      </c>
      <c r="H66" s="110">
        <v>2022</v>
      </c>
    </row>
    <row r="67" spans="1:8" s="17" customFormat="1" ht="32.25" customHeight="1" x14ac:dyDescent="0.4">
      <c r="A67" s="129" t="s">
        <v>212</v>
      </c>
      <c r="B67" s="52"/>
      <c r="C67" s="52"/>
    </row>
    <row r="68" spans="1:8" s="17" customFormat="1" ht="32.25" customHeight="1" x14ac:dyDescent="0.4">
      <c r="A68" s="130" t="s">
        <v>211</v>
      </c>
      <c r="B68" s="52"/>
      <c r="C68" s="25">
        <f>+C69+C70+C71</f>
        <v>28406.972731835423</v>
      </c>
      <c r="D68" s="25">
        <f>+D69+D70+D71</f>
        <v>29052.400000000001</v>
      </c>
      <c r="E68" s="25">
        <f>+E69+E70+E71</f>
        <v>30925</v>
      </c>
      <c r="F68" s="25">
        <f>+F69+F70+F71</f>
        <v>31264</v>
      </c>
      <c r="G68" s="25">
        <f>+G69+G70+G71</f>
        <v>31052.300000000003</v>
      </c>
      <c r="H68" s="25">
        <f>+H69+H70+H71</f>
        <v>30947</v>
      </c>
    </row>
    <row r="69" spans="1:8" s="17" customFormat="1" ht="32.25" customHeight="1" x14ac:dyDescent="0.4">
      <c r="A69" s="31" t="s">
        <v>209</v>
      </c>
      <c r="B69" s="52"/>
      <c r="C69" s="33">
        <f>+AVERAGE('[30]Eff. cheptel'!AH15:AM15)</f>
        <v>3240.8683910646268</v>
      </c>
      <c r="D69" s="33">
        <f>+'[30]Eff. cheptel'!AN15</f>
        <v>3441.2</v>
      </c>
      <c r="E69" s="33">
        <f>+'[30]Eff. cheptel'!AO15</f>
        <v>3339</v>
      </c>
      <c r="F69" s="33">
        <f>+'[30]Eff. cheptel'!AP15</f>
        <v>3176</v>
      </c>
      <c r="G69" s="33">
        <f>+'[30]Eff. cheptel'!AQ15</f>
        <v>2965.2</v>
      </c>
      <c r="H69" s="33">
        <f>+'[30]Eff. cheptel'!AR15</f>
        <v>3101</v>
      </c>
    </row>
    <row r="70" spans="1:8" s="17" customFormat="1" ht="32.25" customHeight="1" x14ac:dyDescent="0.4">
      <c r="A70" s="31" t="s">
        <v>208</v>
      </c>
      <c r="B70" s="52"/>
      <c r="C70" s="33">
        <f>+AVERAGE('[30]Eff. cheptel'!AH16:AM16)</f>
        <v>19268.419220921802</v>
      </c>
      <c r="D70" s="33">
        <f>+'[30]Eff. cheptel'!AN16</f>
        <v>19880.2</v>
      </c>
      <c r="E70" s="33">
        <f>+'[30]Eff. cheptel'!AO16</f>
        <v>21592</v>
      </c>
      <c r="F70" s="33">
        <f>+'[30]Eff. cheptel'!AP16</f>
        <v>22107</v>
      </c>
      <c r="G70" s="33">
        <f>+'[30]Eff. cheptel'!AQ16</f>
        <v>22011.5</v>
      </c>
      <c r="H70" s="33">
        <f>+'[30]Eff. cheptel'!AR16</f>
        <v>21801</v>
      </c>
    </row>
    <row r="71" spans="1:8" s="17" customFormat="1" ht="32.25" customHeight="1" x14ac:dyDescent="0.4">
      <c r="A71" s="31" t="s">
        <v>207</v>
      </c>
      <c r="B71" s="52"/>
      <c r="C71" s="33">
        <f>+AVERAGE('[30]Eff. cheptel'!AH17:AM17)</f>
        <v>5897.6851198489921</v>
      </c>
      <c r="D71" s="33">
        <f>+'[30]Eff. cheptel'!AN17</f>
        <v>5731</v>
      </c>
      <c r="E71" s="33">
        <f>+'[30]Eff. cheptel'!AO17</f>
        <v>5994</v>
      </c>
      <c r="F71" s="33">
        <f>+'[30]Eff. cheptel'!AP17</f>
        <v>5981</v>
      </c>
      <c r="G71" s="33">
        <f>+'[30]Eff. cheptel'!AQ17</f>
        <v>6075.6</v>
      </c>
      <c r="H71" s="33">
        <f>+'[30]Eff. cheptel'!AR17</f>
        <v>6045</v>
      </c>
    </row>
    <row r="72" spans="1:8" s="17" customFormat="1" ht="32.25" customHeight="1" x14ac:dyDescent="0.4">
      <c r="A72" s="109" t="s">
        <v>210</v>
      </c>
      <c r="B72" s="52"/>
      <c r="C72" s="25">
        <f>+AVERAGE('[30]Poids de la viande'!AH9:AM9)</f>
        <v>254.08659933333331</v>
      </c>
      <c r="D72" s="25">
        <f>+'[30]Poids de la viande'!AN9</f>
        <v>271.80199999999996</v>
      </c>
      <c r="E72" s="25">
        <f>+'[30]Poids de la viande'!AO9</f>
        <v>242.03400000000002</v>
      </c>
      <c r="F72" s="25">
        <f>+'[30]Poids de la viande'!AP9</f>
        <v>236.893</v>
      </c>
      <c r="G72" s="25">
        <f>+'[30]Poids de la viande'!AQ9</f>
        <v>287.60599999999999</v>
      </c>
      <c r="H72" s="25"/>
    </row>
    <row r="73" spans="1:8" s="17" customFormat="1" ht="32.25" customHeight="1" x14ac:dyDescent="0.4">
      <c r="A73" s="31" t="s">
        <v>209</v>
      </c>
      <c r="B73" s="52"/>
      <c r="C73" s="33">
        <f>+AVERAGE('[30]Poids de la viande'!AH10:AM10)</f>
        <v>200.51970333333335</v>
      </c>
      <c r="D73" s="33">
        <f>+'[30]Poids de la viande'!AN10</f>
        <v>214.35300000000001</v>
      </c>
      <c r="E73" s="33">
        <f>+'[30]Poids de la viande'!AO10</f>
        <v>183.541</v>
      </c>
      <c r="F73" s="33">
        <f>+'[30]Poids de la viande'!AP10</f>
        <v>180.37799999999999</v>
      </c>
      <c r="G73" s="33">
        <f>+'[30]Poids de la viande'!AQ10</f>
        <v>220.55799999999999</v>
      </c>
      <c r="H73" s="33"/>
    </row>
    <row r="74" spans="1:8" s="17" customFormat="1" ht="32.25" customHeight="1" x14ac:dyDescent="0.4">
      <c r="A74" s="31" t="s">
        <v>208</v>
      </c>
      <c r="B74" s="52"/>
      <c r="C74" s="33">
        <f>+AVERAGE('[30]Poids de la viande'!AH11:AM11)</f>
        <v>34.404963500000001</v>
      </c>
      <c r="D74" s="33">
        <f>+'[30]Poids de la viande'!AN11</f>
        <v>40.131999999999998</v>
      </c>
      <c r="E74" s="33">
        <f>+'[30]Poids de la viande'!AO11</f>
        <v>40.698</v>
      </c>
      <c r="F74" s="33">
        <f>+'[30]Poids de la viande'!AP11</f>
        <v>41.28</v>
      </c>
      <c r="G74" s="33">
        <f>+'[30]Poids de la viande'!AQ11</f>
        <v>49.89</v>
      </c>
      <c r="H74" s="33"/>
    </row>
    <row r="75" spans="1:8" s="17" customFormat="1" ht="32.25" customHeight="1" x14ac:dyDescent="0.4">
      <c r="A75" s="31" t="s">
        <v>207</v>
      </c>
      <c r="B75" s="52"/>
      <c r="C75" s="33">
        <f>+AVERAGE('[30]Poids de la viande'!AH12:AM12)</f>
        <v>14.272599166666666</v>
      </c>
      <c r="D75" s="33">
        <f>+'[30]Poids de la viande'!AN12</f>
        <v>13.327999999999999</v>
      </c>
      <c r="E75" s="33">
        <f>+'[30]Poids de la viande'!AO12</f>
        <v>13.77</v>
      </c>
      <c r="F75" s="33">
        <f>+'[30]Poids de la viande'!AP12</f>
        <v>11.483000000000001</v>
      </c>
      <c r="G75" s="33">
        <f>+'[30]Poids de la viande'!AQ12</f>
        <v>13.362</v>
      </c>
      <c r="H75" s="33"/>
    </row>
    <row r="76" spans="1:8" s="17" customFormat="1" ht="32.25" customHeight="1" x14ac:dyDescent="0.4">
      <c r="A76" s="129" t="s">
        <v>206</v>
      </c>
      <c r="B76" s="53"/>
      <c r="C76" s="128"/>
      <c r="D76" s="127"/>
      <c r="E76" s="127"/>
      <c r="F76" s="127"/>
      <c r="G76" s="127"/>
      <c r="H76" s="127"/>
    </row>
    <row r="77" spans="1:8" s="17" customFormat="1" ht="32.25" customHeight="1" x14ac:dyDescent="0.4">
      <c r="A77" s="109" t="s">
        <v>205</v>
      </c>
      <c r="B77" s="53"/>
      <c r="C77" s="126"/>
      <c r="D77" s="74"/>
      <c r="E77" s="74"/>
      <c r="F77" s="74"/>
      <c r="G77" s="74"/>
      <c r="H77" s="74"/>
    </row>
    <row r="78" spans="1:8" s="17" customFormat="1" ht="32.25" customHeight="1" x14ac:dyDescent="0.4">
      <c r="A78" s="124" t="s">
        <v>204</v>
      </c>
      <c r="B78" s="53"/>
      <c r="C78" s="25">
        <f>+AVERAGE([29]Flotte_peche!$AH$7:$AM$7)</f>
        <v>2969.3333333333335</v>
      </c>
      <c r="D78" s="25">
        <f>+[29]Flotte_peche!AN7</f>
        <v>2993</v>
      </c>
      <c r="E78" s="25">
        <f>+[29]Flotte_peche!AO7</f>
        <v>2981</v>
      </c>
      <c r="F78" s="25">
        <f>+[29]Flotte_peche!AP7</f>
        <v>2994</v>
      </c>
      <c r="G78" s="25">
        <f>+[29]Flotte_peche!AQ7</f>
        <v>2963</v>
      </c>
      <c r="H78" s="25"/>
    </row>
    <row r="79" spans="1:8" s="17" customFormat="1" ht="32.25" customHeight="1" x14ac:dyDescent="0.4">
      <c r="A79" s="31" t="s">
        <v>202</v>
      </c>
      <c r="B79" s="53"/>
      <c r="C79" s="125">
        <f>+AVERAGE([29]Flotte_peche!$AH$8:$AM$8)/AVERAGE([29]Flotte_peche!$AH$7:$AM$7)*100</f>
        <v>84.614952851369551</v>
      </c>
      <c r="D79" s="125">
        <f>+[29]Flotte_peche!AN8/[29]Flotte_peche!AN7*100</f>
        <v>84.731039091212836</v>
      </c>
      <c r="E79" s="125">
        <f>+[29]Flotte_peche!AO8/[29]Flotte_peche!AO7*100</f>
        <v>84.669573968466963</v>
      </c>
      <c r="F79" s="125">
        <f>+[29]Flotte_peche!AP8/[29]Flotte_peche!AP7*100</f>
        <v>84.43553774215097</v>
      </c>
      <c r="G79" s="125">
        <f>+[29]Flotte_peche!AQ8/[29]Flotte_peche!AQ7*100</f>
        <v>84.306446169422884</v>
      </c>
      <c r="H79" s="125"/>
    </row>
    <row r="80" spans="1:8" s="17" customFormat="1" ht="32.25" customHeight="1" x14ac:dyDescent="0.4">
      <c r="A80" s="124" t="s">
        <v>203</v>
      </c>
      <c r="B80" s="53"/>
      <c r="C80" s="25">
        <f>+AVERAGE([29]Flotte_peche!$AH$10:$AM$10)/1000</f>
        <v>280.2713333333333</v>
      </c>
      <c r="D80" s="25">
        <f>+[29]Flotte_peche!AN10/1000</f>
        <v>295.24599999999998</v>
      </c>
      <c r="E80" s="25">
        <f>+[29]Flotte_peche!AO10/1000</f>
        <v>296.14699999999999</v>
      </c>
      <c r="F80" s="25">
        <f>+[29]Flotte_peche!AP10/1000</f>
        <v>304.548</v>
      </c>
      <c r="G80" s="25">
        <f>+[29]Flotte_peche!AQ10/1000</f>
        <v>306.39499999999998</v>
      </c>
      <c r="H80" s="25"/>
    </row>
    <row r="81" spans="1:8" s="17" customFormat="1" ht="32.25" customHeight="1" x14ac:dyDescent="0.4">
      <c r="A81" s="31" t="s">
        <v>202</v>
      </c>
      <c r="B81" s="109"/>
      <c r="C81" s="19">
        <f>+AVERAGE([29]Flotte_peche!$AH$11:$AM$11)/AVERAGE([29]Flotte_peche!$AH$10:$AM$10)*100</f>
        <v>46.095390895013644</v>
      </c>
      <c r="D81" s="19">
        <f>+[29]Flotte_peche!AN11/[29]Flotte_peche!AN10*100</f>
        <v>47.402505029704045</v>
      </c>
      <c r="E81" s="19">
        <f>+[29]Flotte_peche!AO11/[29]Flotte_peche!AO10*100</f>
        <v>47.980226036394086</v>
      </c>
      <c r="F81" s="19">
        <f>+[29]Flotte_peche!AP11/[29]Flotte_peche!AP10*100</f>
        <v>47.626318347189937</v>
      </c>
      <c r="G81" s="19">
        <f>+[29]Flotte_peche!AQ11/[29]Flotte_peche!AQ10*100</f>
        <v>47.350642144943613</v>
      </c>
      <c r="H81" s="19"/>
    </row>
    <row r="82" spans="1:8" s="17" customFormat="1" ht="32.25" customHeight="1" x14ac:dyDescent="0.4">
      <c r="A82" s="109" t="s">
        <v>201</v>
      </c>
      <c r="B82" s="124"/>
      <c r="C82" s="54"/>
      <c r="D82" s="54"/>
      <c r="E82" s="54"/>
      <c r="F82" s="54"/>
      <c r="G82" s="54"/>
      <c r="H82" s="54"/>
    </row>
    <row r="83" spans="1:8" s="17" customFormat="1" ht="32.25" customHeight="1" x14ac:dyDescent="0.4">
      <c r="A83" s="124" t="s">
        <v>200</v>
      </c>
      <c r="B83" s="53"/>
      <c r="C83" s="25">
        <f>+AVERAGE([28]Qantité!$AH$11:$AM$11)</f>
        <v>1333.5864999999997</v>
      </c>
      <c r="D83" s="25">
        <f>+[28]Qantité!AN11</f>
        <v>1371.69</v>
      </c>
      <c r="E83" s="25">
        <f>+[28]Qantité!AO11</f>
        <v>1461.307</v>
      </c>
      <c r="F83" s="25">
        <f>+[28]Qantité!AP11</f>
        <v>1383</v>
      </c>
      <c r="G83" s="25">
        <f>+[28]Qantité!AQ11</f>
        <v>1417.8320000000001</v>
      </c>
      <c r="H83" s="25">
        <f>+[28]Qantité!AR11</f>
        <v>1556</v>
      </c>
    </row>
    <row r="84" spans="1:8" s="17" customFormat="1" ht="32.25" customHeight="1" x14ac:dyDescent="0.4">
      <c r="A84" s="53" t="s">
        <v>199</v>
      </c>
      <c r="B84" s="124"/>
      <c r="C84" s="19">
        <f>+AVERAGE([28]Qantité!$AH$12:$AM$12)/AVERAGE([28]Qantité!$AH$11:$AM$11)*100</f>
        <v>93.237983937799839</v>
      </c>
      <c r="D84" s="19">
        <f>+[28]Qantité!AN12/[28]Qantité!AN11*100</f>
        <v>94.537176767345386</v>
      </c>
      <c r="E84" s="19">
        <f>+[28]Qantité!AO12/[28]Qantité!AO11*100</f>
        <v>94.316594664912984</v>
      </c>
      <c r="F84" s="19">
        <f>+[28]Qantité!AP12/[28]Qantité!AP11*100</f>
        <v>92.124656543745488</v>
      </c>
      <c r="G84" s="19">
        <f>+[28]Qantité!AQ12/[28]Qantité!AQ11*100</f>
        <v>92.553490117305842</v>
      </c>
      <c r="H84" s="19">
        <f>+[28]Qantité!AR12/[28]Qantité!AR11*100</f>
        <v>96.336760925449866</v>
      </c>
    </row>
    <row r="85" spans="1:8" s="17" customFormat="1" ht="32.25" customHeight="1" x14ac:dyDescent="0.4">
      <c r="A85" s="124" t="s">
        <v>198</v>
      </c>
      <c r="B85" s="53"/>
      <c r="C85" s="25">
        <f>+AVERAGE([28]Valeur!$AH$11:$AM$11)</f>
        <v>10152.271500000001</v>
      </c>
      <c r="D85" s="25">
        <f>+[28]Valeur!AN11</f>
        <v>11580.701999999999</v>
      </c>
      <c r="E85" s="25">
        <f>+[28]Valeur!AO11</f>
        <v>11699.675999999999</v>
      </c>
      <c r="F85" s="25">
        <f>+[28]Valeur!AP11</f>
        <v>11281.026</v>
      </c>
      <c r="G85" s="25">
        <f>+[28]Valeur!AQ11</f>
        <v>15063.891</v>
      </c>
      <c r="H85" s="25"/>
    </row>
    <row r="86" spans="1:8" s="17" customFormat="1" ht="32.25" customHeight="1" x14ac:dyDescent="0.4">
      <c r="A86" s="53" t="s">
        <v>197</v>
      </c>
      <c r="B86" s="53"/>
      <c r="C86" s="33">
        <f>+AVERAGE([28]Valeur!$AH$13:$AM$13)/AVERAGE([28]Valeur!$AH$11:$AM$11)*100</f>
        <v>36.917273472575403</v>
      </c>
      <c r="D86" s="33">
        <f>+[28]Valeur!AN13/[28]Valeur!AN11*100</f>
        <v>34.1061880359239</v>
      </c>
      <c r="E86" s="33">
        <f>+[28]Valeur!AO13/[28]Valeur!AO11*100</f>
        <v>34.387379616324424</v>
      </c>
      <c r="F86" s="33">
        <f>+[28]Valeur!AP13/[28]Valeur!AP11*100</f>
        <v>36.855069742769849</v>
      </c>
      <c r="G86" s="33">
        <f>+[28]Valeur!AQ13/[28]Valeur!AQ11*100</f>
        <v>37.721097424297618</v>
      </c>
      <c r="H86" s="33"/>
    </row>
    <row r="87" spans="1:8" s="17" customFormat="1" ht="32.25" customHeight="1" x14ac:dyDescent="0.4">
      <c r="A87" s="124" t="s">
        <v>196</v>
      </c>
      <c r="B87" s="53"/>
      <c r="C87" s="32">
        <f>+AVERAGE([28]Valeur!$AH$11:$AM$11)/AVERAGE([28]Qantité!$AH$11:$AM$11)</f>
        <v>7.6127581525457879</v>
      </c>
      <c r="D87" s="32">
        <f>+[28]Valeur!AN11/[28]Qantité!AN11</f>
        <v>8.4426524943682608</v>
      </c>
      <c r="E87" s="32">
        <f>+[28]Valeur!AO11/[28]Qantité!AO11</f>
        <v>8.0063094202655556</v>
      </c>
      <c r="F87" s="32">
        <f>+[28]Valeur!AP11/[28]Qantité!AP11</f>
        <v>8.156924078091107</v>
      </c>
      <c r="G87" s="32">
        <f>+[28]Valeur!AQ11/[28]Qantité!AQ11</f>
        <v>10.624595156548871</v>
      </c>
      <c r="H87" s="32"/>
    </row>
    <row r="88" spans="1:8" s="17" customFormat="1" ht="32.25" customHeight="1" x14ac:dyDescent="0.4">
      <c r="A88" s="31" t="s">
        <v>195</v>
      </c>
      <c r="B88" s="53"/>
      <c r="C88" s="19">
        <f>+AVERAGE([28]Valeur!$AH$12:$AM$12)/AVERAGE([28]Qantité!$AH$12:$AM$12)</f>
        <v>4.9620174640822832</v>
      </c>
      <c r="D88" s="19">
        <f>+[28]Valeur!AN12/[28]Qantité!AN12</f>
        <v>5.6221242684635593</v>
      </c>
      <c r="E88" s="19">
        <f>+[28]Valeur!AO12/[28]Qantité!AO12</f>
        <v>5.2836296621452483</v>
      </c>
      <c r="F88" s="19">
        <f>+[28]Valeur!AP12/[28]Qantité!AP12</f>
        <v>5.2087036647505185</v>
      </c>
      <c r="G88" s="19">
        <f>+[28]Valeur!AQ12/[28]Qantité!AQ12</f>
        <v>6.8825226537870376</v>
      </c>
      <c r="H88" s="19">
        <f>+[28]Valeur!AR12/[28]Qantité!AR12</f>
        <v>6.4744302868579053</v>
      </c>
    </row>
    <row r="89" spans="1:8" s="17" customFormat="1" ht="32.25" customHeight="1" x14ac:dyDescent="0.4">
      <c r="A89" s="31" t="s">
        <v>194</v>
      </c>
      <c r="B89" s="109"/>
      <c r="C89" s="33">
        <f>+AVERAGE([28]Valeur!$AH$13:$AM$13)/AVERAGE([28]Qantité!$AH$13:$AM$13)</f>
        <v>51.058051962500528</v>
      </c>
      <c r="D89" s="33">
        <f>+[28]Valeur!AN13/[28]Qantité!AN13</f>
        <v>68.938038887143506</v>
      </c>
      <c r="E89" s="33">
        <f>+[28]Valeur!AO13/[28]Qantité!AO13</f>
        <v>62.69712789664792</v>
      </c>
      <c r="F89" s="33">
        <f>+[28]Valeur!AP13/[28]Qantité!AP13</f>
        <v>50.35340139761896</v>
      </c>
      <c r="G89" s="33">
        <f>+[28]Valeur!AQ13/[28]Qantité!AQ13</f>
        <v>70.104683297554715</v>
      </c>
      <c r="H89" s="33"/>
    </row>
    <row r="90" spans="1:8" ht="1.5" customHeight="1" x14ac:dyDescent="0.35">
      <c r="A90" s="84"/>
      <c r="B90" s="123"/>
      <c r="C90" s="123"/>
      <c r="D90" s="3"/>
      <c r="E90" s="3"/>
      <c r="F90" s="3"/>
      <c r="G90" s="3"/>
      <c r="H90" s="3"/>
    </row>
    <row r="91" spans="1:8" s="17" customFormat="1" ht="48" customHeight="1" x14ac:dyDescent="0.4">
      <c r="A91" s="28" t="s">
        <v>193</v>
      </c>
      <c r="B91" s="26"/>
      <c r="C91" s="26"/>
      <c r="D91" s="18"/>
      <c r="E91" s="18"/>
      <c r="F91" s="18"/>
      <c r="G91" s="18"/>
      <c r="H91" s="18"/>
    </row>
    <row r="92" spans="1:8" s="17" customFormat="1" ht="52.5" customHeight="1" x14ac:dyDescent="0.4">
      <c r="A92" s="104" t="s">
        <v>192</v>
      </c>
      <c r="B92" s="31"/>
      <c r="C92" s="31"/>
      <c r="D92" s="122"/>
      <c r="E92" s="122"/>
      <c r="F92" s="122"/>
      <c r="G92" s="122"/>
      <c r="H92" s="122"/>
    </row>
    <row r="93" spans="1:8" s="17" customFormat="1" ht="33" customHeight="1" x14ac:dyDescent="0.4">
      <c r="A93" s="31" t="s">
        <v>191</v>
      </c>
      <c r="B93" s="31"/>
      <c r="C93" s="33">
        <f>+AVERAGE([27]Phosphate!$AH$7:$AM$7)</f>
        <v>27814.1685</v>
      </c>
      <c r="D93" s="33">
        <f>+[27]Phosphate!AN7</f>
        <v>34315</v>
      </c>
      <c r="E93" s="33">
        <f>+[27]Phosphate!AO7</f>
        <v>35275.82</v>
      </c>
      <c r="F93" s="33">
        <f>+[27]Phosphate!AP7</f>
        <v>37441</v>
      </c>
      <c r="G93" s="33">
        <f>+[27]Phosphate!AQ7</f>
        <v>38114.938000000002</v>
      </c>
      <c r="H93" s="33">
        <f>+[27]Phosphate!AR7</f>
        <v>30456</v>
      </c>
    </row>
    <row r="94" spans="1:8" s="17" customFormat="1" ht="33" customHeight="1" x14ac:dyDescent="0.4">
      <c r="A94" s="31" t="s">
        <v>190</v>
      </c>
      <c r="B94" s="31"/>
      <c r="C94" s="33">
        <f>+AVERAGE([27]Phosphate!$AH$9:$AM$9)</f>
        <v>8989.2258229396666</v>
      </c>
      <c r="D94" s="33">
        <f>+[27]Phosphate!AN9</f>
        <v>11250.933545004998</v>
      </c>
      <c r="E94" s="33">
        <f>+[27]Phosphate!AO9</f>
        <v>9495.4732849960001</v>
      </c>
      <c r="F94" s="33">
        <f>+[27]Phosphate!AP9</f>
        <v>10343.093752015</v>
      </c>
      <c r="G94" s="33">
        <f>+[27]Phosphate!AQ9</f>
        <v>9865</v>
      </c>
      <c r="H94" s="33">
        <f>+[27]Phosphate!AR9</f>
        <v>5219</v>
      </c>
    </row>
    <row r="95" spans="1:8" s="17" customFormat="1" ht="33" customHeight="1" x14ac:dyDescent="0.4">
      <c r="A95" s="26" t="s">
        <v>189</v>
      </c>
      <c r="B95" s="31"/>
      <c r="C95" s="54"/>
      <c r="D95" s="54"/>
      <c r="E95" s="54"/>
      <c r="F95" s="54"/>
      <c r="G95" s="54"/>
      <c r="H95" s="54"/>
    </row>
    <row r="96" spans="1:8" s="17" customFormat="1" ht="33" customHeight="1" x14ac:dyDescent="0.4">
      <c r="A96" s="31" t="s">
        <v>188</v>
      </c>
      <c r="B96" s="31"/>
      <c r="C96" s="33">
        <f>+AVERAGE('[26]derives des phosphates'!$AH$8:$AM$8)</f>
        <v>4784.2230000000009</v>
      </c>
      <c r="D96" s="33">
        <f>+'[26]derives des phosphates'!AN8</f>
        <v>5829.4</v>
      </c>
      <c r="E96" s="33">
        <f>+'[26]derives des phosphates'!AO8</f>
        <v>5828.9</v>
      </c>
      <c r="F96" s="33">
        <f>+'[26]derives des phosphates'!AP8</f>
        <v>6184.4628999999995</v>
      </c>
      <c r="G96" s="33">
        <f>+'[26]derives des phosphates'!AQ8</f>
        <v>6100</v>
      </c>
      <c r="H96" s="33"/>
    </row>
    <row r="97" spans="1:8" s="17" customFormat="1" ht="36" hidden="1" customHeight="1" x14ac:dyDescent="0.4">
      <c r="A97" s="31" t="s">
        <v>187</v>
      </c>
      <c r="B97" s="31"/>
      <c r="C97" s="33">
        <f>+AVERAGE('[26]X-phosphates et dérivés'!$P$7:$U$7)/1000000</f>
        <v>2.0216574297818334E-3</v>
      </c>
      <c r="D97" s="33">
        <f>+'[26]X-phosphates et dérivés'!V7/1000000</f>
        <v>2.0645735819070001E-3</v>
      </c>
      <c r="E97" s="33">
        <f>+'[26]X-phosphates et dérivés'!W7/1000000</f>
        <v>2.0917732009159999E-3</v>
      </c>
      <c r="F97" s="33">
        <f>+'[26]X-phosphates et dérivés'!X7/1000000</f>
        <v>1.9314388729100001E-3</v>
      </c>
      <c r="G97" s="33">
        <f>+'[26]X-phosphates et dérivés'!Y7/1000000</f>
        <v>2.1033369325989901E-3</v>
      </c>
      <c r="H97" s="33"/>
    </row>
    <row r="98" spans="1:8" s="17" customFormat="1" ht="29.25" hidden="1" customHeight="1" x14ac:dyDescent="0.4">
      <c r="A98" s="31" t="s">
        <v>186</v>
      </c>
      <c r="B98" s="31"/>
      <c r="C98" s="33">
        <f>+AVERAGE('[26]X-phosphates et dérivés'!$P$17:$U$17)/1000000</f>
        <v>1.2897102539122667E-2</v>
      </c>
      <c r="D98" s="33">
        <f>+'[26]X-phosphates et dérivés'!V17/1000000</f>
        <v>1.386276070068E-2</v>
      </c>
      <c r="E98" s="33">
        <f>+'[26]X-phosphates et dérivés'!W17/1000000</f>
        <v>1.3584420018000001E-2</v>
      </c>
      <c r="F98" s="33">
        <f>+'[26]X-phosphates et dérivés'!X17/1000000</f>
        <v>1.1382746064222999E-2</v>
      </c>
      <c r="G98" s="33">
        <f>+'[26]X-phosphates et dérivés'!Y17/1000000</f>
        <v>1.9692150691105789E-2</v>
      </c>
      <c r="H98" s="33"/>
    </row>
    <row r="99" spans="1:8" s="17" customFormat="1" ht="33" customHeight="1" x14ac:dyDescent="0.4">
      <c r="A99" s="31" t="s">
        <v>185</v>
      </c>
      <c r="B99" s="26"/>
      <c r="C99" s="33">
        <f>+C98/C97*1000</f>
        <v>6379.4698098354147</v>
      </c>
      <c r="D99" s="33">
        <f>+D98/D97*1000</f>
        <v>6714.5878558977201</v>
      </c>
      <c r="E99" s="33">
        <f>+E98/E97*1000</f>
        <v>6494.2126670574526</v>
      </c>
      <c r="F99" s="33">
        <f>+F98/F97*1000</f>
        <v>5893.4021800406235</v>
      </c>
      <c r="G99" s="33">
        <f>+G98/G97*1000</f>
        <v>9362.3377148487398</v>
      </c>
      <c r="H99" s="33"/>
    </row>
    <row r="100" spans="1:8" s="17" customFormat="1" ht="33" customHeight="1" x14ac:dyDescent="0.4">
      <c r="A100" s="26" t="s">
        <v>184</v>
      </c>
      <c r="B100" s="26"/>
      <c r="C100" s="32">
        <f>+C94/C93*100</f>
        <v>32.318873105768617</v>
      </c>
      <c r="D100" s="32">
        <f>+D94/D93*100</f>
        <v>32.787217091665447</v>
      </c>
      <c r="E100" s="32">
        <f>+E94/E93*100</f>
        <v>26.917796056891095</v>
      </c>
      <c r="F100" s="32">
        <f>+F94/F93*100</f>
        <v>27.625046745586388</v>
      </c>
      <c r="G100" s="32">
        <f>+G94/G93*100</f>
        <v>25.882240710977939</v>
      </c>
      <c r="H100" s="32">
        <f>+H94/H93*100</f>
        <v>17.136196480168113</v>
      </c>
    </row>
    <row r="101" spans="1:8" s="17" customFormat="1" ht="12.75" customHeight="1" x14ac:dyDescent="0.4">
      <c r="A101" s="26"/>
      <c r="B101" s="26"/>
      <c r="C101" s="32"/>
      <c r="D101" s="32"/>
      <c r="E101" s="32"/>
      <c r="F101" s="32"/>
      <c r="G101" s="32"/>
      <c r="H101" s="32"/>
    </row>
    <row r="102" spans="1:8" s="17" customFormat="1" ht="51.75" customHeight="1" x14ac:dyDescent="0.4">
      <c r="A102" s="104" t="s">
        <v>183</v>
      </c>
      <c r="B102" s="31"/>
      <c r="C102" s="25">
        <f t="array" ref="C102">+AVERAGE('[25]Exportations en valeur'!$P$62:$U$62+'[25]Exportations en valeur'!$P$75:$U$75)/1000</f>
        <v>42039.471297614669</v>
      </c>
      <c r="D102" s="25">
        <f>+('[25]Exportations en valeur'!U62+'[25]Exportations en valeur'!V75)/1000</f>
        <v>52060.788954669995</v>
      </c>
      <c r="E102" s="25">
        <f>+('[25]Exportations en valeur'!V62+'[25]Exportations en valeur'!W75)/1000</f>
        <v>49932.816735577013</v>
      </c>
      <c r="F102" s="25">
        <f>+('[25]Exportations en valeur'!W62+'[25]Exportations en valeur'!X75)/1000</f>
        <v>50841.235952108997</v>
      </c>
      <c r="G102" s="25">
        <f>+('[25]Exportations en valeur'!X62+'[25]Exportations en valeur'!Y75)/1000</f>
        <v>78665.284787408993</v>
      </c>
      <c r="H102" s="25">
        <f>+('[25]Exportations en valeur'!Y62+'[25]Exportations en valeur'!Z75)/1000</f>
        <v>111036.388189925</v>
      </c>
    </row>
    <row r="103" spans="1:8" s="17" customFormat="1" ht="33" customHeight="1" x14ac:dyDescent="0.4">
      <c r="A103" s="31" t="s">
        <v>182</v>
      </c>
      <c r="B103" s="26"/>
      <c r="C103" s="19">
        <f>+AVERAGE('[25]Exportations en valeur'!$P$75:$U$75)/(AVERAGE('[25]Exportations en valeur'!$P$75:$U$75)+AVERAGE('[25]Exportations en valeur'!$P$62:$U$62))*100</f>
        <v>77.842959512397542</v>
      </c>
      <c r="D103" s="19">
        <f>+'[25]Exportations en valeur'!U75/('[25]Exportations en valeur'!V75+'[25]Exportations en valeur'!V62)*100</f>
        <v>68.936959599459882</v>
      </c>
      <c r="E103" s="19">
        <f>+'[25]Exportations en valeur'!V75/('[25]Exportations en valeur'!W75+'[25]Exportations en valeur'!W62)*100</f>
        <v>89.263527864965752</v>
      </c>
      <c r="F103" s="19">
        <f>+'[25]Exportations en valeur'!W75/('[25]Exportations en valeur'!X75+'[25]Exportations en valeur'!X62)*100</f>
        <v>81.848736321254194</v>
      </c>
      <c r="G103" s="19">
        <f>+'[25]Exportations en valeur'!X75/('[25]Exportations en valeur'!Y75+'[25]Exportations en valeur'!Y62)*100</f>
        <v>54.229369313619621</v>
      </c>
      <c r="H103" s="19">
        <f>+'[25]Exportations en valeur'!Y75/('[25]Exportations en valeur'!Z75+'[25]Exportations en valeur'!Z62)*100</f>
        <v>61.764347020284525</v>
      </c>
    </row>
    <row r="104" spans="1:8" s="17" customFormat="1" ht="8.25" hidden="1" customHeight="1" x14ac:dyDescent="0.4">
      <c r="A104" s="31"/>
      <c r="B104" s="26"/>
      <c r="C104" s="19"/>
      <c r="D104" s="121">
        <f>+('[25]Exportations en valeur'!U64+'[25]Exportations en valeur'!V77)/1000</f>
        <v>572.71385082299946</v>
      </c>
      <c r="E104" s="18"/>
      <c r="F104" s="18"/>
      <c r="G104" s="74"/>
      <c r="H104" s="74"/>
    </row>
    <row r="105" spans="1:8" ht="57" customHeight="1" x14ac:dyDescent="0.3">
      <c r="A105" s="120"/>
      <c r="B105" s="57"/>
      <c r="C105" s="6"/>
      <c r="D105" s="2"/>
      <c r="E105" s="3"/>
      <c r="F105" s="3"/>
      <c r="G105" s="47"/>
      <c r="H105" s="47"/>
    </row>
    <row r="106" spans="1:8" s="68" customFormat="1" ht="31.5" customHeight="1" x14ac:dyDescent="0.3">
      <c r="A106" s="119" t="s">
        <v>181</v>
      </c>
      <c r="B106" s="118"/>
      <c r="C106" s="6"/>
      <c r="D106" s="2"/>
      <c r="E106" s="70"/>
      <c r="F106" s="70"/>
      <c r="G106" s="69"/>
      <c r="H106" s="69"/>
    </row>
    <row r="107" spans="1:8" s="68" customFormat="1" ht="31.5" customHeight="1" x14ac:dyDescent="0.3">
      <c r="A107" s="116" t="s">
        <v>180</v>
      </c>
      <c r="B107" s="118"/>
      <c r="C107" s="70"/>
      <c r="D107" s="70"/>
      <c r="E107" s="2"/>
      <c r="F107" s="70"/>
      <c r="G107" s="69"/>
      <c r="H107" s="69"/>
    </row>
    <row r="108" spans="1:8" s="68" customFormat="1" ht="31.5" customHeight="1" x14ac:dyDescent="0.3">
      <c r="A108" s="116" t="s">
        <v>135</v>
      </c>
      <c r="B108" s="87"/>
      <c r="C108" s="101"/>
      <c r="D108" s="70"/>
      <c r="E108" s="2"/>
      <c r="F108" s="70"/>
      <c r="G108" s="69"/>
      <c r="H108" s="69"/>
    </row>
    <row r="109" spans="1:8" s="68" customFormat="1" ht="31.5" customHeight="1" x14ac:dyDescent="0.3">
      <c r="A109" s="116" t="s">
        <v>179</v>
      </c>
      <c r="B109" s="117"/>
      <c r="C109" s="6"/>
      <c r="D109" s="70"/>
      <c r="E109" s="2"/>
      <c r="F109" s="70"/>
      <c r="G109" s="69"/>
      <c r="H109" s="69"/>
    </row>
    <row r="110" spans="1:8" s="68" customFormat="1" ht="31.5" customHeight="1" x14ac:dyDescent="0.3">
      <c r="A110" s="116" t="s">
        <v>178</v>
      </c>
      <c r="B110" s="87"/>
      <c r="C110" s="6"/>
      <c r="D110" s="70"/>
      <c r="E110" s="2"/>
      <c r="F110" s="70"/>
      <c r="G110" s="69"/>
      <c r="H110" s="69"/>
    </row>
    <row r="111" spans="1:8" s="112" customFormat="1" ht="31.5" customHeight="1" x14ac:dyDescent="0.3">
      <c r="A111" s="116" t="s">
        <v>177</v>
      </c>
      <c r="B111" s="7"/>
      <c r="C111" s="114"/>
      <c r="D111" s="115"/>
      <c r="E111" s="2"/>
      <c r="F111" s="114"/>
      <c r="G111" s="113"/>
      <c r="H111" s="113"/>
    </row>
    <row r="112" spans="1:8" s="112" customFormat="1" ht="31.5" customHeight="1" x14ac:dyDescent="0.3">
      <c r="A112" s="116" t="s">
        <v>176</v>
      </c>
      <c r="B112" s="7"/>
      <c r="C112" s="114"/>
      <c r="D112" s="115"/>
      <c r="E112" s="2"/>
      <c r="F112" s="114"/>
      <c r="G112" s="113"/>
      <c r="H112" s="113"/>
    </row>
    <row r="113" spans="1:8" ht="31.5" customHeight="1" x14ac:dyDescent="0.3">
      <c r="A113" s="111" t="s">
        <v>175</v>
      </c>
      <c r="B113" s="14"/>
      <c r="C113" s="101"/>
      <c r="D113" s="4"/>
      <c r="E113" s="2"/>
      <c r="F113" s="3"/>
      <c r="G113" s="47"/>
      <c r="H113" s="47"/>
    </row>
    <row r="114" spans="1:8" ht="30.75" thickBot="1" x14ac:dyDescent="0.45">
      <c r="A114" s="46" t="s">
        <v>174</v>
      </c>
      <c r="B114" s="45"/>
      <c r="C114" s="42"/>
      <c r="D114" s="43"/>
      <c r="E114" s="42"/>
      <c r="F114" s="3"/>
      <c r="G114" s="47"/>
      <c r="H114" s="47"/>
    </row>
    <row r="115" spans="1:8" s="38" customFormat="1" ht="32.25" customHeight="1" thickBot="1" x14ac:dyDescent="0.3">
      <c r="A115" s="39"/>
      <c r="B115" s="41"/>
      <c r="C115" s="40" t="s">
        <v>16</v>
      </c>
      <c r="D115" s="67"/>
      <c r="E115" s="67"/>
      <c r="F115" s="67"/>
      <c r="G115" s="67"/>
      <c r="H115" s="67"/>
    </row>
    <row r="116" spans="1:8" ht="33" customHeight="1" thickBot="1" x14ac:dyDescent="0.35">
      <c r="A116" s="37"/>
      <c r="B116" s="36"/>
      <c r="C116" s="110" t="s">
        <v>15</v>
      </c>
      <c r="D116" s="110">
        <v>2018</v>
      </c>
      <c r="E116" s="110">
        <v>2019</v>
      </c>
      <c r="F116" s="110">
        <v>2020</v>
      </c>
      <c r="G116" s="110">
        <v>2021</v>
      </c>
      <c r="H116" s="110">
        <v>2022</v>
      </c>
    </row>
    <row r="117" spans="1:8" s="17" customFormat="1" ht="57.75" customHeight="1" x14ac:dyDescent="0.4">
      <c r="A117" s="104" t="s">
        <v>173</v>
      </c>
      <c r="B117" s="31"/>
      <c r="C117" s="32">
        <f>+AVERAGE('[24]tx de croissance'!O5:T5)</f>
        <v>2.8582518201037543</v>
      </c>
      <c r="D117" s="32">
        <f>'[24]tx de croissance'!U5</f>
        <v>4.330065359477131</v>
      </c>
      <c r="E117" s="32">
        <f>'[24]tx de croissance'!V5</f>
        <v>2.8816199376946905</v>
      </c>
      <c r="F117" s="32">
        <f>'[24]tx de croissance'!W5</f>
        <v>4.9962149886449536</v>
      </c>
      <c r="G117" s="32">
        <f>'[24]tx de croissance'!X5</f>
        <v>2.0908435472242193</v>
      </c>
      <c r="H117" s="32">
        <f>'[24]tx de croissance'!Y5</f>
        <v>-18.644067796610166</v>
      </c>
    </row>
    <row r="118" spans="1:8" s="17" customFormat="1" ht="33" customHeight="1" x14ac:dyDescent="0.4">
      <c r="A118" s="31" t="s">
        <v>172</v>
      </c>
      <c r="B118" s="52"/>
      <c r="C118" s="19">
        <f>+AVERAGE('[24]tx de croissance'!O6:T6)</f>
        <v>1.0213958068498452</v>
      </c>
      <c r="D118" s="19">
        <f>'[24]tx de croissance'!U6</f>
        <v>1.5932521087160367</v>
      </c>
      <c r="E118" s="19">
        <f>'[24]tx de croissance'!V6</f>
        <v>0.96153846153845812</v>
      </c>
      <c r="F118" s="19">
        <f>'[24]tx de croissance'!W6</f>
        <v>-6.6666666666666652</v>
      </c>
      <c r="G118" s="19">
        <f>'[24]tx de croissance'!X6</f>
        <v>2.6530612244897833</v>
      </c>
      <c r="H118" s="19">
        <f>'[24]tx de croissance'!Y6</f>
        <v>2.9821073558648159</v>
      </c>
    </row>
    <row r="119" spans="1:8" s="17" customFormat="1" ht="33" customHeight="1" x14ac:dyDescent="0.4">
      <c r="A119" s="31" t="s">
        <v>171</v>
      </c>
      <c r="B119" s="31"/>
      <c r="C119" s="19">
        <f>+AVERAGE('[24]tx de croissance'!O7:T7)</f>
        <v>2.9672908080624687</v>
      </c>
      <c r="D119" s="19">
        <f>'[24]tx de croissance'!U7</f>
        <v>4.4642857142856984</v>
      </c>
      <c r="E119" s="19">
        <f>'[24]tx de croissance'!V7</f>
        <v>3.009259259259256</v>
      </c>
      <c r="F119" s="19">
        <f>'[24]tx de croissance'!W7</f>
        <v>5.4681647940074907</v>
      </c>
      <c r="G119" s="19">
        <f>'[24]tx de croissance'!X7</f>
        <v>2.0596590909090828</v>
      </c>
      <c r="H119" s="19">
        <f>'[24]tx de croissance'!Y7</f>
        <v>-19.415448851774531</v>
      </c>
    </row>
    <row r="120" spans="1:8" s="17" customFormat="1" ht="57.75" customHeight="1" x14ac:dyDescent="0.4">
      <c r="A120" s="28" t="s">
        <v>170</v>
      </c>
      <c r="B120" s="51"/>
      <c r="C120" s="18"/>
      <c r="D120" s="18"/>
      <c r="E120" s="18"/>
      <c r="F120" s="18"/>
      <c r="G120" s="18"/>
      <c r="H120" s="18"/>
    </row>
    <row r="121" spans="1:8" s="17" customFormat="1" ht="48.75" customHeight="1" x14ac:dyDescent="0.4">
      <c r="A121" s="26" t="s">
        <v>169</v>
      </c>
      <c r="B121" s="51"/>
      <c r="C121" s="18"/>
      <c r="D121" s="18"/>
      <c r="E121" s="18"/>
      <c r="F121" s="18"/>
      <c r="G121" s="18"/>
      <c r="H121" s="18"/>
    </row>
    <row r="122" spans="1:8" s="17" customFormat="1" ht="32.25" customHeight="1" x14ac:dyDescent="0.4">
      <c r="A122" s="109" t="s">
        <v>168</v>
      </c>
      <c r="B122" s="51"/>
      <c r="C122" s="25">
        <f>+AVERAGE([23]Bilan!$AH$8:$AM$8)</f>
        <v>1113.2466666666667</v>
      </c>
      <c r="D122" s="25">
        <f>+[23]bilannew!M7</f>
        <v>1764</v>
      </c>
      <c r="E122" s="25">
        <f>+[23]bilannew!N7</f>
        <v>2055</v>
      </c>
      <c r="F122" s="25">
        <f>+[23]bilannew!O7</f>
        <v>1901</v>
      </c>
      <c r="G122" s="25">
        <f>+[23]bilannew!P7</f>
        <v>2109</v>
      </c>
      <c r="H122" s="25"/>
    </row>
    <row r="123" spans="1:8" s="17" customFormat="1" ht="32.25" customHeight="1" x14ac:dyDescent="0.4">
      <c r="A123" s="30" t="s">
        <v>26</v>
      </c>
      <c r="B123" s="51"/>
      <c r="C123" s="25"/>
      <c r="D123" s="25"/>
      <c r="E123" s="25"/>
      <c r="F123" s="25"/>
      <c r="G123" s="25"/>
      <c r="H123" s="25"/>
    </row>
    <row r="124" spans="1:8" s="17" customFormat="1" ht="32.25" customHeight="1" x14ac:dyDescent="0.4">
      <c r="A124" s="31" t="s">
        <v>167</v>
      </c>
      <c r="B124" s="51"/>
      <c r="C124" s="19">
        <f>+SUM([23]bilannew!$G$9:$L$9)/SUM([23]bilannew!$G$7:$L$7)*100</f>
        <v>40.638650399156504</v>
      </c>
      <c r="D124" s="19">
        <f>+[23]bilannew!M9/[23]bilannew!M7*100</f>
        <v>24.943310657596371</v>
      </c>
      <c r="E124" s="19">
        <f>+[23]bilannew!N9/[23]bilannew!N7*100</f>
        <v>15.961070559610704</v>
      </c>
      <c r="F124" s="19">
        <f>+[23]bilannew!O9/[23]bilannew!O7*100</f>
        <v>11.888479747501316</v>
      </c>
      <c r="G124" s="19">
        <f>+[23]bilannew!P9/[23]bilannew!P7*100</f>
        <v>10.099573257467995</v>
      </c>
      <c r="H124" s="19"/>
    </row>
    <row r="125" spans="1:8" s="17" customFormat="1" ht="32.25" customHeight="1" x14ac:dyDescent="0.4">
      <c r="A125" s="31" t="s">
        <v>166</v>
      </c>
      <c r="B125" s="51"/>
      <c r="C125" s="19">
        <f>+SUM([23]bilannew!$G$10:$L$10)/SUM([23]bilannew!$G$7:$L$7)*100</f>
        <v>49.194155746347342</v>
      </c>
      <c r="D125" s="19">
        <f>+[23]bilannew!M10/[23]bilannew!M7*100</f>
        <v>56.632653061224488</v>
      </c>
      <c r="E125" s="19">
        <f>+[23]bilannew!N10/[23]bilannew!N7*100</f>
        <v>59.756690997566906</v>
      </c>
      <c r="F125" s="19">
        <f>+[23]bilannew!O10/[23]bilannew!O7*100</f>
        <v>62.809047869542347</v>
      </c>
      <c r="G125" s="19">
        <f>+[23]bilannew!P10/[23]bilannew!P7*100</f>
        <v>62.968231389284021</v>
      </c>
      <c r="H125" s="19"/>
    </row>
    <row r="126" spans="1:8" s="17" customFormat="1" ht="32.25" customHeight="1" x14ac:dyDescent="0.4">
      <c r="A126" s="31" t="s">
        <v>165</v>
      </c>
      <c r="B126" s="51"/>
      <c r="C126" s="19" t="s">
        <v>81</v>
      </c>
      <c r="D126" s="19">
        <f>+[23]bilannew!M11/[23]bilannew!M7*100</f>
        <v>14.002267573696145</v>
      </c>
      <c r="E126" s="19">
        <f>+[23]bilannew!N11/[23]bilannew!N7*100</f>
        <v>20</v>
      </c>
      <c r="F126" s="19">
        <f>+[23]bilannew!O11/[23]bilannew!O7*100</f>
        <v>20.778537611783271</v>
      </c>
      <c r="G126" s="19">
        <f>+[23]bilannew!P11/[23]bilannew!P7*100</f>
        <v>22.427690848743481</v>
      </c>
      <c r="H126" s="19"/>
    </row>
    <row r="127" spans="1:8" s="17" customFormat="1" ht="32.25" customHeight="1" x14ac:dyDescent="0.4">
      <c r="A127" s="31" t="s">
        <v>164</v>
      </c>
      <c r="B127" s="51"/>
      <c r="C127" s="19">
        <f>+SUM([23]bilannew!$G$8:$L$8)/SUM([23]bilannew!$G$7:$L$7)*100</f>
        <v>6.9438168398855247</v>
      </c>
      <c r="D127" s="19">
        <f>+[23]bilannew!M8/[23]bilannew!M7*100</f>
        <v>4.4217687074829932</v>
      </c>
      <c r="E127" s="19">
        <f>+[23]bilannew!N8/[23]bilannew!N7*100</f>
        <v>4.2335766423357661</v>
      </c>
      <c r="F127" s="19">
        <f>+[23]bilannew!O8/[23]bilannew!O7*100</f>
        <v>4.5765386638611263</v>
      </c>
      <c r="G127" s="19">
        <f>+[23]bilannew!P8/[23]bilannew!P7*100</f>
        <v>4.5519203413940259</v>
      </c>
      <c r="H127" s="19"/>
    </row>
    <row r="128" spans="1:8" s="17" customFormat="1" ht="32.25" hidden="1" customHeight="1" x14ac:dyDescent="0.4">
      <c r="A128" s="109" t="s">
        <v>163</v>
      </c>
      <c r="B128" s="51"/>
      <c r="C128" s="25">
        <f>+'[13]Annexe global'!C788</f>
        <v>18714.816666666669</v>
      </c>
      <c r="D128" s="25">
        <v>0</v>
      </c>
      <c r="E128" s="25">
        <v>0</v>
      </c>
      <c r="F128" s="25">
        <v>0</v>
      </c>
      <c r="G128" s="25">
        <v>0</v>
      </c>
      <c r="H128" s="25"/>
    </row>
    <row r="129" spans="1:8" s="17" customFormat="1" ht="32.25" hidden="1" customHeight="1" x14ac:dyDescent="0.4">
      <c r="A129" s="30" t="s">
        <v>26</v>
      </c>
      <c r="B129" s="51"/>
      <c r="C129" s="33">
        <f>+'[13]Annexe global'!C789</f>
        <v>0</v>
      </c>
      <c r="D129" s="33">
        <v>0</v>
      </c>
      <c r="E129" s="33">
        <v>0</v>
      </c>
      <c r="F129" s="33">
        <v>0</v>
      </c>
      <c r="G129" s="33">
        <v>0</v>
      </c>
      <c r="H129" s="33"/>
    </row>
    <row r="130" spans="1:8" s="17" customFormat="1" ht="32.25" hidden="1" customHeight="1" x14ac:dyDescent="0.4">
      <c r="A130" s="31" t="s">
        <v>160</v>
      </c>
      <c r="B130" s="51"/>
      <c r="C130" s="19">
        <f>+'[13]Annexe global'!C790</f>
        <v>6.888895024063113</v>
      </c>
      <c r="D130" s="19" t="e">
        <v>#DIV/0!</v>
      </c>
      <c r="E130" s="19" t="e">
        <v>#DIV/0!</v>
      </c>
      <c r="F130" s="19" t="e">
        <v>#DIV/0!</v>
      </c>
      <c r="G130" s="19" t="e">
        <v>#DIV/0!</v>
      </c>
      <c r="H130" s="19"/>
    </row>
    <row r="131" spans="1:8" s="17" customFormat="1" ht="32.25" hidden="1" customHeight="1" x14ac:dyDescent="0.4">
      <c r="A131" s="31" t="s">
        <v>159</v>
      </c>
      <c r="B131" s="51"/>
      <c r="C131" s="19">
        <f>+'[13]Annexe global'!C791</f>
        <v>20.852717192972687</v>
      </c>
      <c r="D131" s="19" t="e">
        <v>#DIV/0!</v>
      </c>
      <c r="E131" s="19" t="e">
        <v>#DIV/0!</v>
      </c>
      <c r="F131" s="19" t="e">
        <v>#DIV/0!</v>
      </c>
      <c r="G131" s="19" t="e">
        <v>#DIV/0!</v>
      </c>
      <c r="H131" s="19"/>
    </row>
    <row r="132" spans="1:8" s="17" customFormat="1" ht="32.25" hidden="1" customHeight="1" x14ac:dyDescent="0.4">
      <c r="A132" s="31" t="s">
        <v>162</v>
      </c>
      <c r="B132" s="51"/>
      <c r="C132" s="19">
        <f>+'[13]Annexe global'!C792</f>
        <v>26.734121779515466</v>
      </c>
      <c r="D132" s="19" t="e">
        <v>#DIV/0!</v>
      </c>
      <c r="E132" s="19" t="e">
        <v>#DIV/0!</v>
      </c>
      <c r="F132" s="19" t="e">
        <v>#DIV/0!</v>
      </c>
      <c r="G132" s="19" t="e">
        <v>#DIV/0!</v>
      </c>
      <c r="H132" s="19"/>
    </row>
    <row r="133" spans="1:8" s="17" customFormat="1" ht="32.25" hidden="1" customHeight="1" x14ac:dyDescent="0.4">
      <c r="A133" s="31" t="s">
        <v>158</v>
      </c>
      <c r="B133" s="51"/>
      <c r="C133" s="19">
        <f>+'[13]Annexe global'!C793</f>
        <v>44.841564633005738</v>
      </c>
      <c r="D133" s="19" t="e">
        <v>#DIV/0!</v>
      </c>
      <c r="E133" s="19" t="e">
        <v>#DIV/0!</v>
      </c>
      <c r="F133" s="19" t="e">
        <v>#DIV/0!</v>
      </c>
      <c r="G133" s="19" t="e">
        <v>#DIV/0!</v>
      </c>
      <c r="H133" s="19"/>
    </row>
    <row r="134" spans="1:8" s="17" customFormat="1" ht="32.25" customHeight="1" x14ac:dyDescent="0.4">
      <c r="A134" s="109" t="s">
        <v>161</v>
      </c>
      <c r="B134" s="51"/>
      <c r="C134" s="25">
        <f>+AVERAGE([23]bilannew!$G$12:$L$12)</f>
        <v>19129.333333333332</v>
      </c>
      <c r="D134" s="25">
        <f>+[23]bilannew!M12</f>
        <v>20898</v>
      </c>
      <c r="E134" s="25">
        <f>+[23]bilannew!N12</f>
        <v>21590</v>
      </c>
      <c r="F134" s="25">
        <f>+[23]bilannew!O12</f>
        <v>20022</v>
      </c>
      <c r="G134" s="25">
        <f>+[23]bilannew!P12</f>
        <v>21872</v>
      </c>
      <c r="H134" s="25"/>
    </row>
    <row r="135" spans="1:8" s="17" customFormat="1" ht="32.25" customHeight="1" x14ac:dyDescent="0.4">
      <c r="A135" s="30" t="s">
        <v>26</v>
      </c>
      <c r="B135" s="51"/>
      <c r="C135" s="33"/>
      <c r="D135" s="33"/>
      <c r="E135" s="33"/>
      <c r="F135" s="33"/>
      <c r="G135" s="33"/>
      <c r="H135" s="33"/>
    </row>
    <row r="136" spans="1:8" s="17" customFormat="1" ht="27.75" customHeight="1" x14ac:dyDescent="0.4">
      <c r="A136" s="31" t="s">
        <v>160</v>
      </c>
      <c r="B136" s="51"/>
      <c r="C136" s="19">
        <f>+SUM([23]bilannew!$G$27:$L$27)/SUM([23]bilannew!$G$12:$L$12)*100</f>
        <v>13.983411166097442</v>
      </c>
      <c r="D136" s="19">
        <f>+[23]bilannew!M27/[23]bilannew!M12*100</f>
        <v>12.26433151497751</v>
      </c>
      <c r="E136" s="19">
        <f>+[23]bilannew!N27/[23]bilannew!N12*100</f>
        <v>7.9944418712366838</v>
      </c>
      <c r="F136" s="19">
        <f>+[23]bilannew!O27/[23]bilannew!O12*100</f>
        <v>9.364698831285585</v>
      </c>
      <c r="G136" s="19">
        <f>+[23]bilannew!P27/[23]bilannew!P12*100</f>
        <v>9.0160936356986099</v>
      </c>
      <c r="H136" s="19"/>
    </row>
    <row r="137" spans="1:8" s="17" customFormat="1" ht="32.25" customHeight="1" x14ac:dyDescent="0.4">
      <c r="A137" s="31" t="s">
        <v>159</v>
      </c>
      <c r="B137" s="51"/>
      <c r="C137" s="19">
        <f>+SUM([23]bilannew!$G$14:$L$14)/SUM([23]bilannew!$G$12:$L$12)*100</f>
        <v>24.986931065728026</v>
      </c>
      <c r="D137" s="19">
        <f>+[23]bilannew!$M$14/[23]bilannew!M12*100</f>
        <v>28.950138769260214</v>
      </c>
      <c r="E137" s="19">
        <f>+[23]bilannew!$M$14/[23]bilannew!N12*100</f>
        <v>28.022232515053265</v>
      </c>
      <c r="F137" s="19">
        <f>+[23]bilannew!$M$14/[23]bilannew!O12*100</f>
        <v>30.216761562281491</v>
      </c>
      <c r="G137" s="19">
        <f>+[23]bilannew!$M$14/[23]bilannew!P12*100</f>
        <v>27.660936356986099</v>
      </c>
      <c r="H137" s="19"/>
    </row>
    <row r="138" spans="1:8" s="17" customFormat="1" ht="32.25" customHeight="1" x14ac:dyDescent="0.4">
      <c r="A138" s="31" t="s">
        <v>158</v>
      </c>
      <c r="B138" s="51"/>
      <c r="C138" s="19">
        <f>+SUM([23]bilannew!$G$13:$L$13)/SUM([23]bilannew!$G$12:$L$12)*100</f>
        <v>56.405520317836476</v>
      </c>
      <c r="D138" s="19">
        <f>+[23]bilannew!M13/[23]bilannew!M12*100</f>
        <v>53.885539286056087</v>
      </c>
      <c r="E138" s="19">
        <f>+[23]bilannew!N13/[23]bilannew!N12*100</f>
        <v>52.329782306623443</v>
      </c>
      <c r="F138" s="19">
        <f>+[23]bilannew!O13/[23]bilannew!O12*100</f>
        <v>49.620417540705226</v>
      </c>
      <c r="G138" s="19">
        <f>+[23]bilannew!P13/[23]bilannew!P12*100</f>
        <v>51.412765179224586</v>
      </c>
      <c r="H138" s="19"/>
    </row>
    <row r="139" spans="1:8" s="17" customFormat="1" ht="32.25" customHeight="1" x14ac:dyDescent="0.4">
      <c r="A139" s="31" t="s">
        <v>157</v>
      </c>
      <c r="B139" s="51"/>
      <c r="C139" s="19">
        <f>+SUM([23]bilannew!$G$16:$L$16)/SUM([23]bilannew!$G$12:$L$12)*100</f>
        <v>5.9141283892102878</v>
      </c>
      <c r="D139" s="19">
        <f>+[23]bilannew!M16/[23]bilannew!M12*100</f>
        <v>4.8999904297061923</v>
      </c>
      <c r="E139" s="19">
        <f>+[23]bilannew!N16/[23]bilannew!N12*100</f>
        <v>4.4789254284390925</v>
      </c>
      <c r="F139" s="19">
        <f>+[23]bilannew!O16/[23]bilannew!O12*100</f>
        <v>3.7508740385575869</v>
      </c>
      <c r="G139" s="19">
        <f>+[23]bilannew!P16/[23]bilannew!P12*100</f>
        <v>3.4473299195318212</v>
      </c>
      <c r="H139" s="19"/>
    </row>
    <row r="140" spans="1:8" s="17" customFormat="1" ht="32.25" customHeight="1" x14ac:dyDescent="0.4">
      <c r="A140" s="109" t="s">
        <v>156</v>
      </c>
      <c r="B140" s="51"/>
      <c r="C140" s="25">
        <f>+C134-C122</f>
        <v>18016.086666666666</v>
      </c>
      <c r="D140" s="25">
        <f>+D134-D122</f>
        <v>19134</v>
      </c>
      <c r="E140" s="25">
        <f>+E134-E122</f>
        <v>19535</v>
      </c>
      <c r="F140" s="25">
        <f>+F134-F122</f>
        <v>18121</v>
      </c>
      <c r="G140" s="25">
        <f>+G134-G122</f>
        <v>19763</v>
      </c>
      <c r="H140" s="25"/>
    </row>
    <row r="141" spans="1:8" s="17" customFormat="1" ht="32.25" customHeight="1" x14ac:dyDescent="0.4">
      <c r="A141" s="109" t="s">
        <v>155</v>
      </c>
      <c r="B141" s="26"/>
      <c r="C141" s="32">
        <f>+AVERAGE([23]bilannew!$G$21:$L$21)</f>
        <v>94.266666666666666</v>
      </c>
      <c r="D141" s="32">
        <f>+[23]bilannew!M21</f>
        <v>91.6</v>
      </c>
      <c r="E141" s="32">
        <f>+[23]bilannew!N21</f>
        <v>90.48</v>
      </c>
      <c r="F141" s="32">
        <f>+[23]bilannew!O21</f>
        <v>90.5</v>
      </c>
      <c r="G141" s="32">
        <f>+[23]bilannew!P21</f>
        <v>90.36</v>
      </c>
      <c r="H141" s="32"/>
    </row>
    <row r="142" spans="1:8" s="17" customFormat="1" ht="8.25" customHeight="1" x14ac:dyDescent="0.4"/>
    <row r="143" spans="1:8" s="17" customFormat="1" ht="35.25" customHeight="1" x14ac:dyDescent="0.4">
      <c r="A143" s="26" t="s">
        <v>154</v>
      </c>
      <c r="B143" s="26"/>
      <c r="C143" s="32">
        <f>+AVERAGE('[22]taux de croissance'!$D$7:$I$7)</f>
        <v>4.3098172289798846</v>
      </c>
      <c r="D143" s="32">
        <f>'[22]taux de croissance'!J7</f>
        <v>6.4823641563393597</v>
      </c>
      <c r="E143" s="32">
        <f>'[22]taux de croissance'!K7</f>
        <v>15.129811996418962</v>
      </c>
      <c r="F143" s="32">
        <f>'[22]taux de croissance'!L7</f>
        <v>-4.0435458786936103</v>
      </c>
      <c r="G143" s="32">
        <f>'[22]taux de croissance'!M7</f>
        <v>6.6450567260939897</v>
      </c>
      <c r="H143" s="32">
        <f>'[22]taux de croissance'!N7</f>
        <v>0.30395136778116338</v>
      </c>
    </row>
    <row r="144" spans="1:8" s="88" customFormat="1" ht="8.25" customHeight="1" x14ac:dyDescent="0.35"/>
    <row r="145" spans="1:8" s="17" customFormat="1" ht="30.75" customHeight="1" x14ac:dyDescent="0.4">
      <c r="A145" s="26" t="s">
        <v>153</v>
      </c>
      <c r="B145" s="20"/>
      <c r="C145" s="25">
        <f>+AVERAGE([21]Production!$AF$8:$AK$8)</f>
        <v>30979.338780668506</v>
      </c>
      <c r="D145" s="25">
        <f>[21]Production!AN8</f>
        <v>37295.011999999995</v>
      </c>
      <c r="E145" s="25">
        <f>[21]Production!AO8</f>
        <v>38852.570000000007</v>
      </c>
      <c r="F145" s="25">
        <f>[21]Production!AP8</f>
        <v>38371.518679749992</v>
      </c>
      <c r="G145" s="25">
        <f>[21]Production!AQ8</f>
        <v>40511.578414349999</v>
      </c>
      <c r="H145" s="25">
        <f>[21]Production!AR8</f>
        <v>42317.378927075479</v>
      </c>
    </row>
    <row r="146" spans="1:8" s="17" customFormat="1" ht="30.75" customHeight="1" x14ac:dyDescent="0.4">
      <c r="A146" s="31" t="s">
        <v>152</v>
      </c>
      <c r="B146" s="53"/>
      <c r="C146" s="19">
        <f>+AVERAGE([21]Production!$AH$9:$AM$9)/AVERAGE([21]Production!$AH$8:$AM$8)*100</f>
        <v>32.814726208417859</v>
      </c>
      <c r="D146" s="19">
        <f>[21]Production!AN9/[21]Production!AN8*100</f>
        <v>29.472104741513427</v>
      </c>
      <c r="E146" s="19">
        <f>[21]Production!AO9/[21]Production!AO8*100</f>
        <v>23.561591935874507</v>
      </c>
      <c r="F146" s="19">
        <f>[21]Production!AP9/[21]Production!AP8*100</f>
        <v>20.56140675287811</v>
      </c>
      <c r="G146" s="19">
        <f>[21]Production!AQ9/[21]Production!AQ8*100</f>
        <v>21.798708857272977</v>
      </c>
      <c r="H146" s="19">
        <f>[21]Production!AR9/[21]Production!AR8*100</f>
        <v>24.000010702759674</v>
      </c>
    </row>
    <row r="147" spans="1:8" s="17" customFormat="1" ht="30.75" customHeight="1" x14ac:dyDescent="0.4">
      <c r="A147" s="52" t="s">
        <v>151</v>
      </c>
      <c r="B147" s="26"/>
      <c r="C147" s="19">
        <f>+AVERAGE([21]Production!$AH$10:$AM$10)/AVERAGE([21]Production!$AH$8:$AM$8)*100</f>
        <v>26.16123474806027</v>
      </c>
      <c r="D147" s="19">
        <f>[21]Production!AN10/[21]Production!AN8*100</f>
        <v>22.637828887144479</v>
      </c>
      <c r="E147" s="19">
        <f>[21]Production!AO10/[21]Production!AO8*100</f>
        <v>17.759386316014613</v>
      </c>
      <c r="F147" s="19">
        <f>[21]Production!AP10/[21]Production!AP8*100</f>
        <v>15.586722592231004</v>
      </c>
      <c r="G147" s="19">
        <f>[21]Production!AQ10/[21]Production!AQ8*100</f>
        <v>16.882981998793579</v>
      </c>
      <c r="H147" s="19">
        <f>[21]Production!AR10/[21]Production!AR8*100</f>
        <v>20.514802150764719</v>
      </c>
    </row>
    <row r="148" spans="1:8" s="17" customFormat="1" ht="30.75" customHeight="1" x14ac:dyDescent="0.4">
      <c r="A148" s="108" t="s">
        <v>150</v>
      </c>
      <c r="B148" s="26"/>
      <c r="C148" s="19">
        <f>+AVERAGE([21]Production!$AH$16:$AM$16)/AVERAGE([21]Production!$AH$8:$AM$8)*100</f>
        <v>49.262050666210065</v>
      </c>
      <c r="D148" s="19">
        <f>[21]Production!AN16/[21]Production!AN8*100</f>
        <v>57.625400415476477</v>
      </c>
      <c r="E148" s="19">
        <f>[21]Production!AO16/[21]Production!AO8*100</f>
        <v>72.679078887188155</v>
      </c>
      <c r="F148" s="19">
        <f>[21]Production!AP16/[21]Production!AP8*100</f>
        <v>72.955245351087555</v>
      </c>
      <c r="G148" s="19">
        <f>[21]Production!AQ16/[21]Production!AQ8*100</f>
        <v>72.738569140920021</v>
      </c>
      <c r="H148" s="19">
        <f>[21]Production!AR16/[21]Production!AR8*100</f>
        <v>66.678322183835732</v>
      </c>
    </row>
    <row r="149" spans="1:8" s="17" customFormat="1" ht="30.75" customHeight="1" x14ac:dyDescent="0.4">
      <c r="A149" s="26" t="s">
        <v>149</v>
      </c>
      <c r="B149" s="20"/>
      <c r="C149" s="25">
        <f>+AVERAGE([21]Production!$AH$13:$AM$13)</f>
        <v>29161.408333333336</v>
      </c>
      <c r="D149" s="25">
        <f>[21]Production!AN13</f>
        <v>30736.765000000003</v>
      </c>
      <c r="E149" s="25">
        <f>[21]Production!AO13</f>
        <v>30836.231</v>
      </c>
      <c r="F149" s="25">
        <f>[21]Production!AP13</f>
        <v>30284.165429779998</v>
      </c>
      <c r="G149" s="25">
        <f>[21]Production!AQ13</f>
        <v>31951.159780497997</v>
      </c>
      <c r="H149" s="25">
        <f>[21]Production!AR13</f>
        <v>33437.477462363</v>
      </c>
    </row>
    <row r="150" spans="1:8" s="17" customFormat="1" ht="30.75" customHeight="1" x14ac:dyDescent="0.4">
      <c r="A150" s="31" t="s">
        <v>30</v>
      </c>
      <c r="B150" s="20"/>
      <c r="C150" s="19"/>
      <c r="D150" s="19"/>
      <c r="E150" s="19"/>
      <c r="F150" s="19"/>
      <c r="G150" s="19"/>
      <c r="H150" s="19"/>
    </row>
    <row r="151" spans="1:8" s="17" customFormat="1" ht="30.75" customHeight="1" x14ac:dyDescent="0.4">
      <c r="A151" s="52" t="s">
        <v>148</v>
      </c>
      <c r="B151" s="20"/>
      <c r="C151" s="19">
        <f>+AVERAGE([21]Production!$AH$14:$AM$14)/AVERAGE([21]Production!$AH$13:$AM$13)*100</f>
        <v>58.164835431759265</v>
      </c>
      <c r="D151" s="19">
        <f>[21]Production!AN14/[21]Production!AN13*100</f>
        <v>57.545528945547787</v>
      </c>
      <c r="E151" s="19">
        <f>[21]Production!AO14/[21]Production!AO13*100</f>
        <v>56.87664293343763</v>
      </c>
      <c r="F151" s="19">
        <f>[21]Production!AP14/[21]Production!AP13*100</f>
        <v>57.847851021025377</v>
      </c>
      <c r="G151" s="19">
        <f>[21]Production!AQ14/[21]Production!AQ13*100</f>
        <v>58.145604379085967</v>
      </c>
      <c r="H151" s="19">
        <f>[21]Production!AR14/[21]Production!AR13*100</f>
        <v>58.617893291816081</v>
      </c>
    </row>
    <row r="152" spans="1:8" s="17" customFormat="1" ht="30.75" customHeight="1" x14ac:dyDescent="0.4">
      <c r="A152" s="52" t="s">
        <v>147</v>
      </c>
      <c r="B152" s="20"/>
      <c r="C152" s="19">
        <f>+AVERAGE([21]Production!$AH$15:$AM$15)/AVERAGE([21]Production!$AH$13:$AM$13)*100</f>
        <v>41.835164568240721</v>
      </c>
      <c r="D152" s="19">
        <f>[21]Production!AN15/[21]Production!AN13*100</f>
        <v>42.454471054452213</v>
      </c>
      <c r="E152" s="19">
        <f>[21]Production!AO15/[21]Production!AO13*100</f>
        <v>43.123357066562377</v>
      </c>
      <c r="F152" s="19">
        <f>[21]Production!AP15/[21]Production!AP13*100</f>
        <v>42.152148978974637</v>
      </c>
      <c r="G152" s="19">
        <f>[21]Production!AQ15/[21]Production!AQ13*100</f>
        <v>41.854395620914026</v>
      </c>
      <c r="H152" s="19">
        <f>[21]Production!AR15/[21]Production!AR13*100</f>
        <v>41.382106708183912</v>
      </c>
    </row>
    <row r="153" spans="1:8" s="17" customFormat="1" ht="51.75" x14ac:dyDescent="0.4">
      <c r="A153" s="104" t="s">
        <v>146</v>
      </c>
      <c r="B153" s="20"/>
      <c r="C153" s="107">
        <f>+AVERAGE('[21]cons energie electrique (NN)'!$O$10:$T$10)</f>
        <v>19116.196500000002</v>
      </c>
      <c r="D153" s="107">
        <f>'[21]cons energie electrique (NN)'!U10</f>
        <v>30736.765000000003</v>
      </c>
      <c r="E153" s="107">
        <f>'[21]cons energie electrique (NN)'!V10</f>
        <v>30836.231</v>
      </c>
      <c r="F153" s="107">
        <f>'[21]cons energie electrique (NN)'!W10</f>
        <v>17518.738900780001</v>
      </c>
      <c r="G153" s="107">
        <f>'[21]cons energie electrique (NN)'!X10</f>
        <v>18578.194960498</v>
      </c>
      <c r="H153" s="107">
        <f>'[21]cons energie electrique (NN)'!Y10</f>
        <v>19600.344858362994</v>
      </c>
    </row>
    <row r="154" spans="1:8" s="17" customFormat="1" ht="31.5" customHeight="1" x14ac:dyDescent="0.4">
      <c r="A154" s="20" t="s">
        <v>145</v>
      </c>
      <c r="B154" s="20"/>
      <c r="C154" s="106">
        <f>+AVERAGE('[21]cons energie electrique (NN)'!$O$11:$T$11)</f>
        <v>12207.586333333335</v>
      </c>
      <c r="D154" s="106">
        <f>'[21]cons energie electrique (NN)'!U11</f>
        <v>23107.669000000002</v>
      </c>
      <c r="E154" s="106">
        <f>'[21]cons energie electrique (NN)'!V11</f>
        <v>22822.055999999997</v>
      </c>
      <c r="F154" s="106">
        <f>'[21]cons energie electrique (NN)'!W11</f>
        <v>22039.689051999998</v>
      </c>
      <c r="G154" s="106">
        <f>'[21]cons energie electrique (NN)'!X11</f>
        <v>23553.382887096996</v>
      </c>
      <c r="H154" s="106">
        <f>'[21]cons energie electrique (NN)'!Y11</f>
        <v>24737.621172000003</v>
      </c>
    </row>
    <row r="155" spans="1:8" s="17" customFormat="1" ht="30.75" customHeight="1" x14ac:dyDescent="0.4">
      <c r="A155" s="20" t="s">
        <v>144</v>
      </c>
      <c r="B155" s="20"/>
      <c r="C155" s="106">
        <f>+AVERAGE('[21]cons energie electrique (NN)'!$O$48:$T$48)</f>
        <v>6908.6101666666664</v>
      </c>
      <c r="D155" s="106">
        <f>'[21]cons energie electrique (NN)'!U48</f>
        <v>7629.0960000000014</v>
      </c>
      <c r="E155" s="106">
        <f>'[21]cons energie electrique (NN)'!V48</f>
        <v>8014.1750000000011</v>
      </c>
      <c r="F155" s="106">
        <f>'[21]cons energie electrique (NN)'!W48</f>
        <v>8244.4763777800017</v>
      </c>
      <c r="G155" s="106">
        <f>'[21]cons energie electrique (NN)'!X48</f>
        <v>8397.7768934010001</v>
      </c>
      <c r="H155" s="106">
        <f>'[21]cons energie electrique (NN)'!Y48</f>
        <v>8699.8562903629991</v>
      </c>
    </row>
    <row r="156" spans="1:8" s="17" customFormat="1" ht="48.75" customHeight="1" x14ac:dyDescent="0.4">
      <c r="A156" s="105" t="s">
        <v>143</v>
      </c>
      <c r="B156" s="20"/>
      <c r="C156" s="25"/>
      <c r="D156" s="25"/>
      <c r="E156" s="25"/>
      <c r="F156" s="25"/>
      <c r="G156" s="25"/>
      <c r="H156" s="25"/>
    </row>
    <row r="157" spans="1:8" s="17" customFormat="1" ht="30.75" customHeight="1" x14ac:dyDescent="0.4">
      <c r="A157" s="104" t="s">
        <v>142</v>
      </c>
      <c r="B157" s="20"/>
      <c r="C157" s="25">
        <f>+AVERAGE([20]ONEP!$AH$7:$AM$7)</f>
        <v>1068.3063333333332</v>
      </c>
      <c r="D157" s="25">
        <f>+[20]ONEP!AN7</f>
        <v>1140</v>
      </c>
      <c r="E157" s="25">
        <f>+[20]ONEP!AO7</f>
        <v>1206</v>
      </c>
      <c r="F157" s="25">
        <f>+[20]ONEP!AP7</f>
        <v>1257</v>
      </c>
      <c r="G157" s="25">
        <f>+[20]ONEP!AQ7</f>
        <v>1308.5</v>
      </c>
      <c r="H157" s="25"/>
    </row>
    <row r="158" spans="1:8" s="17" customFormat="1" ht="30.75" hidden="1" customHeight="1" x14ac:dyDescent="0.4">
      <c r="A158" s="104" t="s">
        <v>141</v>
      </c>
      <c r="B158" s="20"/>
      <c r="C158" s="25">
        <f>+'[13]Annexe global'!C818</f>
        <v>475.46733333333333</v>
      </c>
      <c r="D158" s="25"/>
      <c r="E158" s="25"/>
      <c r="F158" s="25"/>
      <c r="G158" s="25"/>
      <c r="H158" s="25"/>
    </row>
    <row r="159" spans="1:8" s="17" customFormat="1" ht="30.75" customHeight="1" x14ac:dyDescent="0.4">
      <c r="A159" s="104" t="s">
        <v>140</v>
      </c>
      <c r="B159" s="20"/>
      <c r="C159" s="32">
        <f>AVERAGE('[20]tx rempl barrages'!$AI$22:$AN$22)</f>
        <v>62.644642857142856</v>
      </c>
      <c r="D159" s="32">
        <f>'[20]tx rempl barrages'!AO22</f>
        <v>62.3</v>
      </c>
      <c r="E159" s="32">
        <f>'[20]tx rempl barrages'!AP22</f>
        <v>49.2</v>
      </c>
      <c r="F159" s="32">
        <f>'[20]tx rempl barrages'!AQ22</f>
        <v>37</v>
      </c>
      <c r="G159" s="32">
        <f>'[20]tx rempl barrages'!AR22</f>
        <v>34.200000000000003</v>
      </c>
      <c r="H159" s="32">
        <f>'[20]tx rempl barrages'!AS22</f>
        <v>31.4</v>
      </c>
    </row>
    <row r="160" spans="1:8" s="17" customFormat="1" ht="30.75" customHeight="1" x14ac:dyDescent="0.4">
      <c r="A160" s="20" t="s">
        <v>139</v>
      </c>
      <c r="B160" s="20"/>
      <c r="C160" s="19">
        <f>AVERAGE('[20]tx rempl barrages'!$AI$10:$AN$10)</f>
        <v>53.133333333333333</v>
      </c>
      <c r="D160" s="19">
        <f>'[20]tx rempl barrages'!AO10</f>
        <v>60.8</v>
      </c>
      <c r="E160" s="19">
        <f>'[20]tx rempl barrages'!AP10</f>
        <v>58.5</v>
      </c>
      <c r="F160" s="19">
        <f>'[20]tx rempl barrages'!AQ10</f>
        <v>51.6</v>
      </c>
      <c r="G160" s="19">
        <f>'[20]tx rempl barrages'!AR10</f>
        <v>59</v>
      </c>
      <c r="H160" s="19">
        <f>'[20]tx rempl barrages'!AS10</f>
        <v>55.4</v>
      </c>
    </row>
    <row r="161" spans="1:8" s="17" customFormat="1" ht="29.25" customHeight="1" x14ac:dyDescent="0.4">
      <c r="A161" s="20" t="s">
        <v>138</v>
      </c>
      <c r="B161" s="20"/>
      <c r="C161" s="19">
        <f>AVERAGE('[20]tx rempl barrages'!$AI$9:$AN$9)</f>
        <v>69.7</v>
      </c>
      <c r="D161" s="19">
        <f>'[20]tx rempl barrages'!AO9</f>
        <v>30.3</v>
      </c>
      <c r="E161" s="19">
        <f>'[20]tx rempl barrages'!AP9</f>
        <v>17.8</v>
      </c>
      <c r="F161" s="19">
        <f>'[20]tx rempl barrages'!AQ9</f>
        <v>12</v>
      </c>
      <c r="G161" s="19">
        <f>'[20]tx rempl barrages'!AR9</f>
        <v>7.5</v>
      </c>
      <c r="H161" s="19">
        <f>'[20]tx rempl barrages'!AS9</f>
        <v>4.0999999999999996</v>
      </c>
    </row>
    <row r="162" spans="1:8" s="17" customFormat="1" ht="29.25" customHeight="1" x14ac:dyDescent="0.4">
      <c r="A162" s="20" t="s">
        <v>137</v>
      </c>
      <c r="B162" s="72"/>
      <c r="C162" s="19">
        <f>AVERAGE('[20]tx rempl barrages'!$AI$11:$AN$11)</f>
        <v>58.81666666666667</v>
      </c>
      <c r="D162" s="19">
        <f>'[20]tx rempl barrages'!AO11</f>
        <v>74</v>
      </c>
      <c r="E162" s="19">
        <f>'[20]tx rempl barrages'!AP11</f>
        <v>42.2</v>
      </c>
      <c r="F162" s="19">
        <f>'[20]tx rempl barrages'!AQ11</f>
        <v>19.7</v>
      </c>
      <c r="G162" s="19">
        <f>'[20]tx rempl barrages'!AR11</f>
        <v>14</v>
      </c>
      <c r="H162" s="19">
        <f>'[20]tx rempl barrages'!AS11</f>
        <v>11.2</v>
      </c>
    </row>
    <row r="163" spans="1:8" s="68" customFormat="1" ht="29.25" customHeight="1" x14ac:dyDescent="0.4">
      <c r="A163" s="20" t="s">
        <v>136</v>
      </c>
      <c r="B163" s="87"/>
      <c r="C163" s="19">
        <f>AVERAGE('[20]tx rempl barrages'!$AI$14:$AN$14)</f>
        <v>56.583333333333336</v>
      </c>
      <c r="D163" s="19">
        <f>'[20]tx rempl barrages'!AO14</f>
        <v>77.2</v>
      </c>
      <c r="E163" s="19">
        <f>'[20]tx rempl barrages'!AP14</f>
        <v>82.5</v>
      </c>
      <c r="F163" s="19">
        <f>'[20]tx rempl barrages'!AQ14</f>
        <v>57.2</v>
      </c>
      <c r="G163" s="19">
        <f>'[20]tx rempl barrages'!AR14</f>
        <v>45.2</v>
      </c>
      <c r="H163" s="19">
        <f>'[20]tx rempl barrages'!AS14</f>
        <v>24.7</v>
      </c>
    </row>
    <row r="164" spans="1:8" s="68" customFormat="1" ht="29.25" customHeight="1" x14ac:dyDescent="0.3">
      <c r="F164" s="70"/>
      <c r="G164" s="69"/>
      <c r="H164" s="69"/>
    </row>
    <row r="165" spans="1:8" s="68" customFormat="1" ht="29.25" customHeight="1" x14ac:dyDescent="0.4">
      <c r="A165" s="20"/>
      <c r="B165" s="87"/>
      <c r="C165" s="19"/>
      <c r="D165" s="2"/>
      <c r="E165" s="70"/>
      <c r="F165" s="70"/>
      <c r="G165" s="69"/>
      <c r="H165" s="69"/>
    </row>
    <row r="166" spans="1:8" s="68" customFormat="1" ht="29.25" customHeight="1" x14ac:dyDescent="0.4">
      <c r="A166" s="20"/>
      <c r="B166" s="87"/>
      <c r="C166" s="19"/>
      <c r="D166" s="70"/>
      <c r="E166" s="2"/>
      <c r="F166" s="70"/>
      <c r="G166" s="69"/>
      <c r="H166" s="69"/>
    </row>
    <row r="167" spans="1:8" s="68" customFormat="1" ht="29.25" customHeight="1" x14ac:dyDescent="0.4">
      <c r="A167" s="20"/>
      <c r="B167" s="87"/>
      <c r="C167" s="19"/>
      <c r="D167" s="70"/>
      <c r="E167" s="2"/>
      <c r="F167" s="70"/>
      <c r="G167" s="69"/>
      <c r="H167" s="69"/>
    </row>
    <row r="168" spans="1:8" s="68" customFormat="1" ht="29.25" customHeight="1" x14ac:dyDescent="0.4">
      <c r="A168" s="20"/>
      <c r="B168" s="87"/>
      <c r="C168" s="19"/>
      <c r="D168" s="70"/>
      <c r="E168" s="2"/>
      <c r="F168" s="70"/>
      <c r="G168" s="69"/>
      <c r="H168" s="69"/>
    </row>
    <row r="169" spans="1:8" s="68" customFormat="1" ht="6" customHeight="1" x14ac:dyDescent="0.3">
      <c r="A169" s="70"/>
      <c r="B169" s="87"/>
      <c r="C169" s="70"/>
      <c r="D169" s="70"/>
      <c r="E169" s="2"/>
      <c r="F169" s="70"/>
      <c r="G169" s="69"/>
      <c r="H169" s="69"/>
    </row>
    <row r="170" spans="1:8" s="68" customFormat="1" ht="21" customHeight="1" x14ac:dyDescent="0.3">
      <c r="A170" s="70"/>
      <c r="B170" s="87"/>
      <c r="C170" s="101"/>
      <c r="D170" s="70"/>
      <c r="E170" s="2"/>
      <c r="F170" s="70"/>
      <c r="G170" s="69"/>
      <c r="H170" s="69"/>
    </row>
    <row r="171" spans="1:8" ht="21" customHeight="1" x14ac:dyDescent="0.35">
      <c r="A171" s="103"/>
      <c r="B171" s="14"/>
      <c r="C171" s="101"/>
      <c r="D171" s="4"/>
      <c r="E171" s="2"/>
      <c r="F171" s="3"/>
      <c r="G171" s="47"/>
      <c r="H171" s="47"/>
    </row>
    <row r="172" spans="1:8" s="68" customFormat="1" ht="37.5" customHeight="1" x14ac:dyDescent="0.3">
      <c r="A172" s="102" t="s">
        <v>2</v>
      </c>
      <c r="B172" s="87"/>
      <c r="C172" s="101"/>
      <c r="D172" s="70"/>
      <c r="E172" s="2"/>
      <c r="F172" s="70"/>
      <c r="G172" s="69"/>
      <c r="H172" s="69"/>
    </row>
    <row r="173" spans="1:8" s="68" customFormat="1" ht="27" customHeight="1" x14ac:dyDescent="0.3">
      <c r="A173" s="11" t="s">
        <v>135</v>
      </c>
      <c r="B173" s="72"/>
      <c r="C173" s="6"/>
      <c r="D173" s="70"/>
      <c r="E173" s="2"/>
      <c r="F173" s="70"/>
      <c r="G173" s="69"/>
      <c r="H173" s="69"/>
    </row>
    <row r="174" spans="1:8" s="68" customFormat="1" ht="27" customHeight="1" x14ac:dyDescent="0.3">
      <c r="A174" s="11" t="s">
        <v>21</v>
      </c>
      <c r="B174" s="72"/>
      <c r="C174" s="6"/>
      <c r="D174" s="70"/>
      <c r="E174" s="2"/>
      <c r="F174" s="70"/>
      <c r="G174" s="69"/>
      <c r="H174" s="69"/>
    </row>
    <row r="175" spans="1:8" s="68" customFormat="1" ht="27" customHeight="1" x14ac:dyDescent="0.3">
      <c r="A175" s="11" t="s">
        <v>134</v>
      </c>
      <c r="B175" s="87"/>
      <c r="C175" s="101"/>
      <c r="D175" s="70"/>
      <c r="E175" s="2"/>
      <c r="F175" s="70"/>
      <c r="G175" s="69"/>
      <c r="H175" s="69"/>
    </row>
    <row r="176" spans="1:8" s="68" customFormat="1" ht="27" customHeight="1" x14ac:dyDescent="0.3">
      <c r="A176" s="10" t="s">
        <v>133</v>
      </c>
      <c r="B176" s="72"/>
      <c r="C176" s="9"/>
      <c r="D176" s="100"/>
      <c r="E176" s="2"/>
      <c r="F176" s="70"/>
      <c r="G176" s="69"/>
      <c r="H176" s="69"/>
    </row>
    <row r="177" spans="1:8" s="68" customFormat="1" ht="27" customHeight="1" x14ac:dyDescent="0.3">
      <c r="A177" s="99" t="s">
        <v>132</v>
      </c>
      <c r="B177" s="72"/>
      <c r="C177" s="9"/>
      <c r="D177" s="70"/>
      <c r="E177" s="2"/>
      <c r="F177" s="70"/>
      <c r="G177" s="69"/>
      <c r="H177" s="69"/>
    </row>
    <row r="178" spans="1:8" x14ac:dyDescent="0.3">
      <c r="A178" s="98"/>
      <c r="B178" s="14"/>
      <c r="C178" s="6"/>
      <c r="D178" s="4"/>
      <c r="E178" s="2"/>
      <c r="F178" s="3"/>
      <c r="G178" s="47"/>
      <c r="H178" s="47"/>
    </row>
    <row r="179" spans="1:8" ht="30.75" thickBot="1" x14ac:dyDescent="0.45">
      <c r="A179" s="46" t="s">
        <v>131</v>
      </c>
      <c r="B179" s="45"/>
      <c r="C179" s="42"/>
      <c r="D179" s="44"/>
      <c r="E179" s="43"/>
      <c r="F179" s="42"/>
      <c r="G179" s="47"/>
      <c r="H179" s="47"/>
    </row>
    <row r="180" spans="1:8" s="38" customFormat="1" ht="32.25" customHeight="1" thickBot="1" x14ac:dyDescent="0.45">
      <c r="A180" s="39"/>
      <c r="B180" s="41"/>
      <c r="C180" s="97" t="s">
        <v>16</v>
      </c>
      <c r="D180" s="67"/>
      <c r="E180" s="67"/>
      <c r="F180" s="67"/>
      <c r="G180" s="67"/>
      <c r="H180" s="67"/>
    </row>
    <row r="181" spans="1:8" ht="33" customHeight="1" thickBot="1" x14ac:dyDescent="0.4">
      <c r="A181" s="37"/>
      <c r="B181" s="36"/>
      <c r="C181" s="35" t="s">
        <v>15</v>
      </c>
      <c r="D181" s="34">
        <v>2018</v>
      </c>
      <c r="E181" s="34">
        <v>2019</v>
      </c>
      <c r="F181" s="34">
        <v>2020</v>
      </c>
      <c r="G181" s="34">
        <v>2021</v>
      </c>
      <c r="H181" s="34">
        <v>2022</v>
      </c>
    </row>
    <row r="182" spans="1:8" s="17" customFormat="1" ht="8.25" customHeight="1" x14ac:dyDescent="0.4">
      <c r="A182" s="18"/>
      <c r="B182" s="18"/>
      <c r="C182" s="18"/>
      <c r="D182" s="18"/>
      <c r="F182" s="93"/>
      <c r="G182" s="93"/>
    </row>
    <row r="183" spans="1:8" s="17" customFormat="1" ht="32.25" customHeight="1" x14ac:dyDescent="0.4">
      <c r="A183" s="28" t="s">
        <v>130</v>
      </c>
      <c r="B183" s="26"/>
      <c r="C183" s="26"/>
      <c r="D183" s="18"/>
      <c r="F183" s="93"/>
      <c r="G183" s="93"/>
    </row>
    <row r="184" spans="1:8" s="17" customFormat="1" ht="32.25" customHeight="1" x14ac:dyDescent="0.4">
      <c r="A184" s="26" t="s">
        <v>129</v>
      </c>
      <c r="B184" s="30"/>
      <c r="C184" s="25">
        <f>AVERAGE('[19]PODUCTION px courants'!$AI$8:$AN$8)</f>
        <v>180986.76040298515</v>
      </c>
      <c r="D184" s="25">
        <f>+'[19]PODUCTION px courants'!AO7</f>
        <v>574282</v>
      </c>
      <c r="E184" s="25">
        <f>+'[19]PODUCTION px courants'!AP7</f>
        <v>595757</v>
      </c>
      <c r="F184" s="25">
        <f>+'[19]PODUCTION px courants'!AQ7</f>
        <v>549243</v>
      </c>
      <c r="G184" s="25">
        <f>+'[19]PODUCTION px courants'!AR7</f>
        <v>642277</v>
      </c>
      <c r="H184" s="25">
        <f>+'[19]PODUCTION px courants'!AS7</f>
        <v>734838</v>
      </c>
    </row>
    <row r="185" spans="1:8" s="17" customFormat="1" ht="32.25" customHeight="1" x14ac:dyDescent="0.4">
      <c r="A185" s="30" t="s">
        <v>128</v>
      </c>
      <c r="B185" s="30"/>
      <c r="C185" s="32">
        <f>+(('[19]PODUCTION px courants'!$AN$7/'[19]PODUCTION px courants'!$AI$7)^(1/('[19]PODUCTION px courants'!$AN$3-'[19]PODUCTION px courants'!$AI$3))-1)*100</f>
        <v>0.12239134183975597</v>
      </c>
      <c r="D185" s="32">
        <f>+('[19]PODUCTION px courants'!AO7/'[19]PODUCTION px courants'!AN7-1)*100</f>
        <v>6.6366349080200004</v>
      </c>
      <c r="E185" s="32">
        <f>+('[19]PODUCTION px courants'!AP7/'[19]PODUCTION px courants'!AO7-1)*100</f>
        <v>3.73945204620727</v>
      </c>
      <c r="F185" s="32">
        <f>+('[19]PODUCTION px courants'!AQ7/'[19]PODUCTION px courants'!AP7-1)*100</f>
        <v>-7.8075456939658334</v>
      </c>
      <c r="G185" s="32">
        <f>+('[19]PODUCTION px courants'!AR7/'[19]PODUCTION px courants'!AQ7-1)*100</f>
        <v>16.938586381619803</v>
      </c>
      <c r="H185" s="32">
        <f>+('[19]PODUCTION px courants'!AS7/'[19]PODUCTION px courants'!AR7-1)*100</f>
        <v>14.411383250528974</v>
      </c>
    </row>
    <row r="186" spans="1:8" s="17" customFormat="1" ht="28.5" customHeight="1" x14ac:dyDescent="0.4">
      <c r="A186" s="30" t="s">
        <v>125</v>
      </c>
      <c r="B186" s="20"/>
      <c r="C186" s="32"/>
      <c r="D186" s="32"/>
      <c r="E186" s="32"/>
      <c r="F186" s="32"/>
      <c r="G186" s="32"/>
    </row>
    <row r="187" spans="1:8" s="17" customFormat="1" ht="32.25" customHeight="1" x14ac:dyDescent="0.4">
      <c r="A187" s="20" t="s">
        <v>124</v>
      </c>
      <c r="B187" s="20"/>
      <c r="C187" s="19">
        <f>SUM('[19]PODUCTION px courants'!$AI$8:$AN$8)/SUM('[19]PODUCTION px courants'!$AI$7:$AN$7)*100</f>
        <v>33.646123016956359</v>
      </c>
      <c r="D187" s="19">
        <f>+'[19]PODUCTION px courants'!AO8/'[19]PODUCTION px courants'!AO$7*100</f>
        <v>35.595230217906881</v>
      </c>
      <c r="E187" s="19">
        <f>+'[19]PODUCTION px courants'!AP8/'[19]PODUCTION px courants'!AP$7*100</f>
        <v>35.43105662207914</v>
      </c>
      <c r="F187" s="19">
        <f>+'[19]PODUCTION px courants'!AQ8/'[19]PODUCTION px courants'!AQ$7*100</f>
        <v>37.797659687970537</v>
      </c>
      <c r="G187" s="19">
        <f>+'[19]PODUCTION px courants'!AR8/'[19]PODUCTION px courants'!AR$7*100</f>
        <v>35.108060852249103</v>
      </c>
      <c r="H187" s="19">
        <f>+'[19]PODUCTION px courants'!AS8/'[19]PODUCTION px courants'!AS$7*100</f>
        <v>33.746077366712122</v>
      </c>
    </row>
    <row r="188" spans="1:8" s="17" customFormat="1" ht="32.25" customHeight="1" x14ac:dyDescent="0.4">
      <c r="A188" s="20" t="s">
        <v>123</v>
      </c>
      <c r="B188" s="20"/>
      <c r="C188" s="19">
        <f>SUM('[19]PODUCTION px courants'!$AI$9:$AN$9)/SUM('[19]PODUCTION px courants'!$AI$7:$AN$7)*100</f>
        <v>10.211621679302327</v>
      </c>
      <c r="D188" s="19">
        <f>+'[19]PODUCTION px courants'!AO9/'[19]PODUCTION px courants'!AO$7*100</f>
        <v>9.924044284863534</v>
      </c>
      <c r="E188" s="19">
        <f>+'[19]PODUCTION px courants'!AP9/'[19]PODUCTION px courants'!AP$7*100</f>
        <v>9.69254242921191</v>
      </c>
      <c r="F188" s="19">
        <f>+'[19]PODUCTION px courants'!AQ9/'[19]PODUCTION px courants'!AQ$7*100</f>
        <v>8.8904182665960239</v>
      </c>
      <c r="G188" s="19">
        <f>+'[19]PODUCTION px courants'!AR9/'[19]PODUCTION px courants'!AR$7*100</f>
        <v>8.5414859943606878</v>
      </c>
      <c r="H188" s="19">
        <f>+'[19]PODUCTION px courants'!AS9/'[19]PODUCTION px courants'!AS$7*100</f>
        <v>8.3476902392091858</v>
      </c>
    </row>
    <row r="189" spans="1:8" s="17" customFormat="1" ht="32.25" customHeight="1" x14ac:dyDescent="0.4">
      <c r="A189" s="20" t="s">
        <v>122</v>
      </c>
      <c r="B189" s="20"/>
      <c r="C189" s="19">
        <f>SUM('[19]PODUCTION px courants'!$AI$12:$AN$12)/SUM('[19]PODUCTION px courants'!$AI$7:$AN$7)*100</f>
        <v>10.147753454960782</v>
      </c>
      <c r="D189" s="19">
        <f>+'[19]PODUCTION px courants'!AO12/'[19]PODUCTION px courants'!AO$7*100</f>
        <v>11.275993327320027</v>
      </c>
      <c r="E189" s="19">
        <f>+'[19]PODUCTION px courants'!AP12/'[19]PODUCTION px courants'!AP$7*100</f>
        <v>10.668107970195901</v>
      </c>
      <c r="F189" s="19">
        <f>+'[19]PODUCTION px courants'!AQ12/'[19]PODUCTION px courants'!AQ$7*100</f>
        <v>11.500920357655902</v>
      </c>
      <c r="G189" s="19">
        <f>+'[19]PODUCTION px courants'!AR12/'[19]PODUCTION px courants'!AR$7*100</f>
        <v>14.506046456591159</v>
      </c>
      <c r="H189" s="19">
        <f>+'[19]PODUCTION px courants'!AS12/'[19]PODUCTION px courants'!AS$7*100</f>
        <v>17.082812810442576</v>
      </c>
    </row>
    <row r="190" spans="1:8" s="17" customFormat="1" ht="32.25" customHeight="1" x14ac:dyDescent="0.4">
      <c r="A190" s="20" t="s">
        <v>119</v>
      </c>
      <c r="B190" s="20"/>
      <c r="C190" s="19">
        <f>SUM('[19]PODUCTION px courants'!$AI$19:$AN$19)/SUM('[19]PODUCTION px courants'!$AI$7:$AN$7)*100</f>
        <v>10.492409447551299</v>
      </c>
      <c r="D190" s="19">
        <f>+'[19]PODUCTION px courants'!AO19/'[19]PODUCTION px courants'!AO$7*100</f>
        <v>14.188499726615147</v>
      </c>
      <c r="E190" s="19">
        <f>+'[19]PODUCTION px courants'!AP19/'[19]PODUCTION px courants'!AP$7*100</f>
        <v>15.136876276736992</v>
      </c>
      <c r="F190" s="19">
        <f>+'[19]PODUCTION px courants'!AQ19/'[19]PODUCTION px courants'!AQ$7*100</f>
        <v>13.768951083582312</v>
      </c>
      <c r="G190" s="19">
        <f>+'[19]PODUCTION px courants'!AR19/'[19]PODUCTION px courants'!AR$7*100</f>
        <v>14.435827532357534</v>
      </c>
      <c r="H190" s="19">
        <f>+'[19]PODUCTION px courants'!AS19/'[19]PODUCTION px courants'!AS$7*100</f>
        <v>15.322833059803656</v>
      </c>
    </row>
    <row r="191" spans="1:8" s="17" customFormat="1" ht="32.25" customHeight="1" x14ac:dyDescent="0.4">
      <c r="A191" s="20" t="s">
        <v>121</v>
      </c>
      <c r="B191" s="80"/>
      <c r="C191" s="19">
        <f>(100-SUM(C187:C190))</f>
        <v>35.502092401229234</v>
      </c>
      <c r="D191" s="19">
        <f>(100-SUM(D187:D190))</f>
        <v>29.016232443294413</v>
      </c>
      <c r="E191" s="19">
        <f>(100-SUM(E187:E190))</f>
        <v>29.071416701776059</v>
      </c>
      <c r="F191" s="19">
        <f>(100-SUM(F187:F190))</f>
        <v>28.042050604195225</v>
      </c>
      <c r="G191" s="19">
        <f>(100-SUM(G187:G190))</f>
        <v>27.40857916444152</v>
      </c>
      <c r="H191" s="19">
        <f>(100-SUM(H187:H190))</f>
        <v>25.500586523832453</v>
      </c>
    </row>
    <row r="192" spans="1:8" s="17" customFormat="1" ht="42.75" customHeight="1" x14ac:dyDescent="0.4">
      <c r="A192" s="96" t="s">
        <v>127</v>
      </c>
      <c r="B192" s="20"/>
      <c r="C192" s="25">
        <f>+AVERAGE('[18]Prix courants'!$AI$9:$AN$9)</f>
        <v>153090.64636718718</v>
      </c>
      <c r="D192" s="25">
        <f>+'[18]Prix courants'!AO9</f>
        <v>177736</v>
      </c>
      <c r="E192" s="25">
        <f>+'[18]Prix courants'!AP9</f>
        <v>183041</v>
      </c>
      <c r="F192" s="25">
        <f>+'[18]Prix courants'!AQ9</f>
        <v>174916</v>
      </c>
      <c r="G192" s="25">
        <f>+'[18]Prix courants'!AR9</f>
        <v>192034</v>
      </c>
      <c r="H192" s="25">
        <f>+'[18]Prix courants'!AS9</f>
        <v>199747</v>
      </c>
    </row>
    <row r="193" spans="1:8" s="17" customFormat="1" ht="28.5" customHeight="1" x14ac:dyDescent="0.4">
      <c r="A193" s="30" t="s">
        <v>125</v>
      </c>
      <c r="B193" s="20"/>
      <c r="C193" s="32"/>
    </row>
    <row r="194" spans="1:8" s="17" customFormat="1" ht="32.25" customHeight="1" x14ac:dyDescent="0.4">
      <c r="A194" s="20" t="s">
        <v>124</v>
      </c>
      <c r="B194" s="20"/>
      <c r="C194" s="19">
        <f>+SUM('[18]Prix courants'!$AI10:$AN10)/SUM('[18]Prix courants'!$AI$9:$AN$9)*100</f>
        <v>26.375321647645883</v>
      </c>
      <c r="D194" s="19">
        <f>+'[18]Prix courants'!AO10/'[18]Prix courants'!AO$9*100</f>
        <v>28.359476977089614</v>
      </c>
      <c r="E194" s="19">
        <f>+'[18]Prix courants'!AP10/'[18]Prix courants'!AP$9*100</f>
        <v>27.433198026671619</v>
      </c>
      <c r="F194" s="19">
        <f>+'[18]Prix courants'!AQ10/'[18]Prix courants'!AQ$9*100</f>
        <v>28.719499645544143</v>
      </c>
      <c r="G194" s="19">
        <f>+'[18]Prix courants'!AR10/'[18]Prix courants'!AR$9*100</f>
        <v>25.528291864982243</v>
      </c>
      <c r="H194" s="19">
        <f>+'[18]Prix courants'!AS10/'[18]Prix courants'!AS$9*100</f>
        <v>25.307514005216596</v>
      </c>
    </row>
    <row r="195" spans="1:8" s="17" customFormat="1" ht="32.25" customHeight="1" x14ac:dyDescent="0.4">
      <c r="A195" s="20" t="s">
        <v>123</v>
      </c>
      <c r="B195" s="20"/>
      <c r="C195" s="19">
        <f>+SUM('[18]Prix courants'!$AI11:$AN11)/SUM('[18]Prix courants'!$AI$9:$AN$9)*100</f>
        <v>14.98268978432492</v>
      </c>
      <c r="D195" s="19">
        <f>+'[18]Prix courants'!AO11/'[18]Prix courants'!AO$9*100</f>
        <v>13.855381014538418</v>
      </c>
      <c r="E195" s="19">
        <f>+'[18]Prix courants'!AP11/'[18]Prix courants'!AP$9*100</f>
        <v>13.869570205582358</v>
      </c>
      <c r="F195" s="19">
        <f>+'[18]Prix courants'!AQ11/'[18]Prix courants'!AQ$9*100</f>
        <v>12.42024743305358</v>
      </c>
      <c r="G195" s="19">
        <f>+'[18]Prix courants'!AR11/'[18]Prix courants'!AR$9*100</f>
        <v>12.448316443963048</v>
      </c>
      <c r="H195" s="19">
        <f>+'[18]Prix courants'!AS11/'[18]Prix courants'!AS$9*100</f>
        <v>12.453753998808493</v>
      </c>
    </row>
    <row r="196" spans="1:8" s="17" customFormat="1" ht="32.25" customHeight="1" x14ac:dyDescent="0.4">
      <c r="A196" s="20" t="s">
        <v>122</v>
      </c>
      <c r="B196" s="20"/>
      <c r="C196" s="19">
        <f>+SUM('[18]Prix courants'!$AI14:$AN14)/SUM('[18]Prix courants'!$AI$9:$AN$9)*100</f>
        <v>10.637560966879029</v>
      </c>
      <c r="D196" s="19">
        <f>+'[18]Prix courants'!AO14/'[18]Prix courants'!AO$9*100</f>
        <v>12.766125039384255</v>
      </c>
      <c r="E196" s="19">
        <f>+'[18]Prix courants'!AP14/'[18]Prix courants'!AP$9*100</f>
        <v>11.620893679558133</v>
      </c>
      <c r="F196" s="19">
        <f>+'[18]Prix courants'!AQ14/'[18]Prix courants'!AQ$9*100</f>
        <v>14.118205309977361</v>
      </c>
      <c r="G196" s="19">
        <f>+'[18]Prix courants'!AR14/'[18]Prix courants'!AR$9*100</f>
        <v>22.833977316516869</v>
      </c>
      <c r="H196" s="19">
        <f>+'[18]Prix courants'!AS14/'[18]Prix courants'!AS$9*100</f>
        <v>29.286547482565446</v>
      </c>
    </row>
    <row r="197" spans="1:8" s="17" customFormat="1" ht="32.25" customHeight="1" x14ac:dyDescent="0.4">
      <c r="A197" s="20" t="s">
        <v>119</v>
      </c>
      <c r="B197" s="20"/>
      <c r="C197" s="19">
        <f>+SUM('[18]Prix courants'!$AI21:$AN21)/SUM('[18]Prix courants'!$AI$9:$AN$9)*100</f>
        <v>6.5972357711039917</v>
      </c>
      <c r="D197" s="19">
        <f>+'[18]Prix courants'!AO21/'[18]Prix courants'!AO$9*100</f>
        <v>8.7579331142818564</v>
      </c>
      <c r="E197" s="19">
        <f>+'[18]Prix courants'!AP21/'[18]Prix courants'!AP$9*100</f>
        <v>9.3274184472331338</v>
      </c>
      <c r="F197" s="19">
        <f>+'[18]Prix courants'!AQ21/'[18]Prix courants'!AQ$9*100</f>
        <v>8.3748770838573954</v>
      </c>
      <c r="G197" s="19">
        <f>+'[18]Prix courants'!AR21/'[18]Prix courants'!AR$9*100</f>
        <v>5.4771550871199892</v>
      </c>
      <c r="H197" s="19">
        <f>+'[18]Prix courants'!AS21/'[18]Prix courants'!AS$9*100</f>
        <v>7.0854631108352066</v>
      </c>
    </row>
    <row r="198" spans="1:8" s="17" customFormat="1" ht="32.25" customHeight="1" x14ac:dyDescent="0.4">
      <c r="A198" s="20" t="s">
        <v>121</v>
      </c>
      <c r="B198" s="80"/>
      <c r="C198" s="19">
        <f>(100-SUM(C194:C197))</f>
        <v>41.40719183004618</v>
      </c>
      <c r="D198" s="19">
        <f>(100-SUM(D194:D197))</f>
        <v>36.261083854705859</v>
      </c>
      <c r="E198" s="19">
        <f>(100-SUM(E194:E197))</f>
        <v>37.74891964095476</v>
      </c>
      <c r="F198" s="19">
        <f>(100-SUM(F194:F197))</f>
        <v>36.367170527567524</v>
      </c>
      <c r="G198" s="19">
        <f>(100-SUM(G194:G197))</f>
        <v>33.712259287417851</v>
      </c>
      <c r="H198" s="19">
        <f>(100-SUM(H194:H197))</f>
        <v>25.866721402574257</v>
      </c>
    </row>
    <row r="199" spans="1:8" s="17" customFormat="1" ht="32.25" customHeight="1" x14ac:dyDescent="0.4">
      <c r="A199" s="96" t="s">
        <v>126</v>
      </c>
      <c r="B199" s="20"/>
      <c r="C199" s="25">
        <f>+AVERAGE('[17]EXPORT (px courants)'!$AI$7:$AN$7)</f>
        <v>167840.75</v>
      </c>
      <c r="D199" s="25">
        <f>+'[17]EXPORT (px courants)'!AO7</f>
        <v>208064</v>
      </c>
      <c r="E199" s="25">
        <f>+'[17]EXPORT (px courants)'!AP7</f>
        <v>212374</v>
      </c>
      <c r="F199" s="25">
        <f>+'[17]EXPORT (px courants)'!AQ7</f>
        <v>196729</v>
      </c>
      <c r="G199" s="25">
        <f>+'[17]EXPORT (px courants)'!AR7</f>
        <v>251394</v>
      </c>
      <c r="H199" s="25">
        <f>+'[17]EXPORT (px courants)'!AS7</f>
        <v>330602</v>
      </c>
    </row>
    <row r="200" spans="1:8" s="17" customFormat="1" ht="32.25" customHeight="1" x14ac:dyDescent="0.4">
      <c r="A200" s="30" t="s">
        <v>125</v>
      </c>
      <c r="B200" s="20"/>
      <c r="C200" s="25"/>
      <c r="D200" s="25"/>
      <c r="E200" s="25"/>
      <c r="F200" s="25"/>
      <c r="G200" s="25"/>
      <c r="H200" s="25"/>
    </row>
    <row r="201" spans="1:8" s="17" customFormat="1" ht="32.25" customHeight="1" x14ac:dyDescent="0.4">
      <c r="A201" s="20" t="s">
        <v>124</v>
      </c>
      <c r="B201" s="20"/>
      <c r="C201" s="19">
        <f>+SUM('[17]EXPORT (px courants)'!$AI8:$AN8)/SUM('[17]EXPORT (px courants)'!$AI$7:$AN$7)*100</f>
        <v>16.646434194318125</v>
      </c>
      <c r="D201" s="19">
        <f>+'[17]EXPORT (px courants)'!AO8/'[17]EXPORT (px courants)'!AO$7*100</f>
        <v>15.466875576745617</v>
      </c>
      <c r="E201" s="19">
        <f>+'[17]EXPORT (px courants)'!AP8/'[17]EXPORT (px courants)'!AP$7*100</f>
        <v>15.03197189863166</v>
      </c>
      <c r="F201" s="19">
        <f>+'[17]EXPORT (px courants)'!AQ8/'[17]EXPORT (px courants)'!AQ$7*100</f>
        <v>16.118111717133722</v>
      </c>
      <c r="G201" s="19">
        <f>+'[17]EXPORT (px courants)'!AR8/'[17]EXPORT (px courants)'!AR$7*100</f>
        <v>14.243776701114585</v>
      </c>
      <c r="H201" s="19">
        <f>+'[17]EXPORT (px courants)'!AS8/'[17]EXPORT (px courants)'!AS$7*100</f>
        <v>13.097016956945209</v>
      </c>
    </row>
    <row r="202" spans="1:8" s="17" customFormat="1" ht="32.25" customHeight="1" x14ac:dyDescent="0.4">
      <c r="A202" s="20" t="s">
        <v>123</v>
      </c>
      <c r="B202" s="20"/>
      <c r="C202" s="19">
        <f>+SUM('[17]EXPORT (px courants)'!$AI9:$AN9)/SUM('[17]EXPORT (px courants)'!$AI$7:$AN$7)*100</f>
        <v>13.693933088359056</v>
      </c>
      <c r="D202" s="19">
        <f>+'[17]EXPORT (px courants)'!AO9/'[17]EXPORT (px courants)'!AO$7*100</f>
        <v>12.060712088588128</v>
      </c>
      <c r="E202" s="19">
        <f>+'[17]EXPORT (px courants)'!AP9/'[17]EXPORT (px courants)'!AP$7*100</f>
        <v>11.050316893781725</v>
      </c>
      <c r="F202" s="19">
        <f>+'[17]EXPORT (px courants)'!AQ9/'[17]EXPORT (px courants)'!AQ$7*100</f>
        <v>9.8013002658479422</v>
      </c>
      <c r="G202" s="19">
        <f>+'[17]EXPORT (px courants)'!AR9/'[17]EXPORT (px courants)'!AR$7*100</f>
        <v>8.9162828070677893</v>
      </c>
      <c r="H202" s="19">
        <f>+'[17]EXPORT (px courants)'!AS9/'[17]EXPORT (px courants)'!AS$7*100</f>
        <v>8.1291099267397051</v>
      </c>
    </row>
    <row r="203" spans="1:8" s="17" customFormat="1" ht="32.25" customHeight="1" x14ac:dyDescent="0.4">
      <c r="A203" s="20" t="s">
        <v>122</v>
      </c>
      <c r="B203" s="20"/>
      <c r="C203" s="19">
        <f>+SUM('[17]EXPORT (px courants)'!$AI12:$AN12)/SUM('[17]EXPORT (px courants)'!$AI$7:$AN$7)*100</f>
        <v>21.444434679897462</v>
      </c>
      <c r="D203" s="19">
        <f>+'[17]EXPORT (px courants)'!AO12/'[17]EXPORT (px courants)'!AO$7*100</f>
        <v>22.018225161488772</v>
      </c>
      <c r="E203" s="19">
        <f>+'[17]EXPORT (px courants)'!AP12/'[17]EXPORT (px courants)'!AP$7*100</f>
        <v>20.66542985487866</v>
      </c>
      <c r="F203" s="19">
        <f>+'[17]EXPORT (px courants)'!AQ12/'[17]EXPORT (px courants)'!AQ$7*100</f>
        <v>23.027616670648456</v>
      </c>
      <c r="G203" s="19">
        <f>+'[17]EXPORT (px courants)'!AR12/'[17]EXPORT (px courants)'!AR$7*100</f>
        <v>29.38375617556505</v>
      </c>
      <c r="H203" s="19">
        <f>+'[17]EXPORT (px courants)'!AS12/'[17]EXPORT (px courants)'!AS$7*100</f>
        <v>31.659518091239619</v>
      </c>
    </row>
    <row r="204" spans="1:8" s="17" customFormat="1" ht="32.25" customHeight="1" x14ac:dyDescent="0.4">
      <c r="A204" s="20" t="s">
        <v>119</v>
      </c>
      <c r="B204" s="20"/>
      <c r="C204" s="19">
        <f>+SUM('[17]EXPORT (px courants)'!$AI19:$AN19)/SUM('[17]EXPORT (px courants)'!$AI$7:$AN$7)*100</f>
        <v>26.483288474342494</v>
      </c>
      <c r="D204" s="19">
        <f>+'[17]EXPORT (px courants)'!AO19/'[17]EXPORT (px courants)'!AO$7*100</f>
        <v>30.21185788988004</v>
      </c>
      <c r="E204" s="19">
        <f>+'[17]EXPORT (px courants)'!AP19/'[17]EXPORT (px courants)'!AP$7*100</f>
        <v>32.195089794419282</v>
      </c>
      <c r="F204" s="19">
        <f>+'[17]EXPORT (px courants)'!AQ19/'[17]EXPORT (px courants)'!AQ$7*100</f>
        <v>29.851724961749408</v>
      </c>
      <c r="G204" s="19">
        <f>+'[17]EXPORT (px courants)'!AR19/'[17]EXPORT (px courants)'!AR$7*100</f>
        <v>27.595726230538521</v>
      </c>
      <c r="H204" s="19">
        <f>+'[17]EXPORT (px courants)'!AS19/'[17]EXPORT (px courants)'!AS$7*100</f>
        <v>27.208849311256433</v>
      </c>
    </row>
    <row r="205" spans="1:8" s="17" customFormat="1" ht="32.25" customHeight="1" x14ac:dyDescent="0.4">
      <c r="A205" s="20" t="s">
        <v>121</v>
      </c>
      <c r="B205" s="80"/>
      <c r="C205" s="19">
        <f>(100-SUM(C201:C204))</f>
        <v>21.731909563082866</v>
      </c>
      <c r="D205" s="19">
        <f>(100-SUM(D201:D204))</f>
        <v>20.242329283297451</v>
      </c>
      <c r="E205" s="19">
        <f>(100-SUM(E201:E204))</f>
        <v>21.057191558288679</v>
      </c>
      <c r="F205" s="19">
        <f>(100-SUM(F201:F204))</f>
        <v>21.201246384620475</v>
      </c>
      <c r="G205" s="19">
        <f>(100-SUM(G201:G204))</f>
        <v>19.860458085714058</v>
      </c>
      <c r="H205" s="19">
        <f>(100-SUM(H201:H204))</f>
        <v>19.905505713819039</v>
      </c>
    </row>
    <row r="206" spans="1:8" s="94" customFormat="1" ht="32.25" customHeight="1" x14ac:dyDescent="0.4">
      <c r="A206" s="96" t="s">
        <v>120</v>
      </c>
      <c r="B206" s="95"/>
      <c r="C206" s="25">
        <f>AVERAGE('[16]par produits px courants'!$C$6:$F$6)</f>
        <v>102198.75</v>
      </c>
      <c r="D206" s="25">
        <f>'[16]prix courants'!AO5</f>
        <v>121267</v>
      </c>
      <c r="E206" s="25">
        <f>'[16]prix courants'!AP5</f>
        <v>126992</v>
      </c>
      <c r="F206" s="25">
        <f>'[16]prix courants'!AQ5</f>
        <v>105121</v>
      </c>
      <c r="G206" s="25">
        <f>'[16]prix courants'!AR5</f>
        <v>116712</v>
      </c>
      <c r="H206" s="25">
        <f>'[16]prix courants'!AS5</f>
        <v>122036</v>
      </c>
    </row>
    <row r="207" spans="1:8" s="17" customFormat="1" ht="32.25" customHeight="1" x14ac:dyDescent="0.4">
      <c r="A207" s="30" t="s">
        <v>116</v>
      </c>
      <c r="B207" s="20"/>
      <c r="C207" s="19"/>
      <c r="D207" s="19"/>
      <c r="E207" s="19"/>
      <c r="F207" s="19"/>
      <c r="G207" s="19"/>
    </row>
    <row r="208" spans="1:8" s="94" customFormat="1" ht="32.25" customHeight="1" x14ac:dyDescent="0.4">
      <c r="A208" s="20" t="s">
        <v>119</v>
      </c>
      <c r="B208" s="95"/>
      <c r="C208" s="33">
        <f>+AVERAGE('[16]par produits px courants'!$C$18:$F$18)</f>
        <v>34015.25</v>
      </c>
      <c r="D208" s="33">
        <f>'[16]par produits px courants'!G18</f>
        <v>44506</v>
      </c>
      <c r="E208" s="33">
        <f>'[16]par produits px courants'!H18</f>
        <v>47970</v>
      </c>
      <c r="F208" s="33">
        <f>'[16]par produits px courants'!I18</f>
        <v>31833</v>
      </c>
      <c r="G208" s="33">
        <f>'[16]par produits px courants'!J18</f>
        <v>35968</v>
      </c>
      <c r="H208" s="33">
        <f>'[16]par produits px courants'!K18</f>
        <v>35438</v>
      </c>
    </row>
    <row r="209" spans="1:8" s="94" customFormat="1" ht="32.25" customHeight="1" x14ac:dyDescent="0.4">
      <c r="A209" s="20" t="s">
        <v>118</v>
      </c>
      <c r="B209" s="95"/>
      <c r="C209" s="33">
        <f>+AVERAGE('[16]par produits px courants'!$C$8:$F$8)</f>
        <v>324.5</v>
      </c>
      <c r="D209" s="33">
        <f>'[16]par produits px courants'!G8</f>
        <v>568</v>
      </c>
      <c r="E209" s="33">
        <f>'[16]par produits px courants'!H8</f>
        <v>616</v>
      </c>
      <c r="F209" s="33">
        <f>'[16]par produits px courants'!I8</f>
        <v>552</v>
      </c>
      <c r="G209" s="33">
        <f>'[16]par produits px courants'!J8</f>
        <v>588</v>
      </c>
      <c r="H209" s="33">
        <f>'[16]par produits px courants'!K8</f>
        <v>624</v>
      </c>
    </row>
    <row r="210" spans="1:8" s="17" customFormat="1" ht="32.25" customHeight="1" x14ac:dyDescent="0.4">
      <c r="A210" s="20"/>
      <c r="B210" s="20"/>
      <c r="C210" s="19"/>
      <c r="D210" s="19"/>
      <c r="E210" s="19"/>
      <c r="F210" s="19"/>
      <c r="G210" s="19"/>
    </row>
    <row r="211" spans="1:8" s="17" customFormat="1" ht="32.25" customHeight="1" x14ac:dyDescent="0.4">
      <c r="A211" s="20"/>
      <c r="B211" s="20"/>
      <c r="C211" s="19"/>
      <c r="D211" s="19"/>
      <c r="E211" s="19"/>
      <c r="F211" s="19"/>
      <c r="G211" s="19"/>
    </row>
    <row r="212" spans="1:8" s="17" customFormat="1" ht="9" customHeight="1" x14ac:dyDescent="0.4">
      <c r="A212" s="18"/>
      <c r="B212" s="18"/>
      <c r="C212" s="54"/>
      <c r="D212" s="18"/>
      <c r="E212" s="18"/>
      <c r="F212" s="18"/>
      <c r="G212" s="93"/>
    </row>
    <row r="213" spans="1:8" s="17" customFormat="1" ht="32.25" customHeight="1" x14ac:dyDescent="0.4">
      <c r="A213" s="31"/>
      <c r="B213" s="26"/>
      <c r="C213" s="25"/>
      <c r="D213" s="18"/>
      <c r="E213" s="18"/>
      <c r="F213" s="18"/>
      <c r="G213" s="93"/>
    </row>
    <row r="214" spans="1:8" s="17" customFormat="1" ht="51.75" x14ac:dyDescent="0.4">
      <c r="A214" s="92" t="s">
        <v>117</v>
      </c>
      <c r="B214" s="20"/>
      <c r="C214" s="32">
        <f>+AVERAGE('[15]tx de croissance'!$D$9:$I$9)</f>
        <v>2.2780170042647652</v>
      </c>
      <c r="D214" s="32">
        <f>+'[15]tx de croissance'!J9</f>
        <v>2.8837209302325473</v>
      </c>
      <c r="E214" s="32">
        <f>+'[15]tx de croissance'!K9</f>
        <v>2.3508137432188159</v>
      </c>
      <c r="F214" s="32">
        <f>+'[15]tx de croissance'!L9</f>
        <v>-6.2720848056537211</v>
      </c>
      <c r="G214" s="32">
        <f>+'[15]tx de croissance'!M9</f>
        <v>6.6918001885014178</v>
      </c>
      <c r="H214" s="32">
        <f>+'[15]tx de croissance'!N9</f>
        <v>0.79505300353355235</v>
      </c>
    </row>
    <row r="215" spans="1:8" s="17" customFormat="1" ht="32.25" customHeight="1" x14ac:dyDescent="0.4">
      <c r="A215" s="91" t="s">
        <v>116</v>
      </c>
      <c r="B215" s="20"/>
      <c r="C215" s="32"/>
      <c r="D215" s="32"/>
      <c r="E215" s="32"/>
      <c r="F215" s="32"/>
      <c r="G215" s="32"/>
      <c r="H215" s="32"/>
    </row>
    <row r="216" spans="1:8" s="17" customFormat="1" ht="32.25" customHeight="1" x14ac:dyDescent="0.4">
      <c r="A216" s="20" t="s">
        <v>115</v>
      </c>
      <c r="B216" s="20"/>
      <c r="C216" s="19">
        <f>+AVERAGE('[15]tx de croissance'!$D$10:$I$10)</f>
        <v>4.3546620121195323</v>
      </c>
      <c r="D216" s="19">
        <f>+'[15]tx de croissance'!J10</f>
        <v>0.78602620087335762</v>
      </c>
      <c r="E216" s="19">
        <f>+'[15]tx de croissance'!K10</f>
        <v>1.0398613518197486</v>
      </c>
      <c r="F216" s="19">
        <f>+'[15]tx de croissance'!L10</f>
        <v>0.85763293310463506</v>
      </c>
      <c r="G216" s="19">
        <f>+'[15]tx de croissance'!M10</f>
        <v>6.7176870748299367</v>
      </c>
      <c r="H216" s="19">
        <f>+'[15]tx de croissance'!N10</f>
        <v>4.7011952191235107</v>
      </c>
    </row>
    <row r="217" spans="1:8" s="17" customFormat="1" ht="32.25" customHeight="1" x14ac:dyDescent="0.4">
      <c r="A217" s="20" t="s">
        <v>114</v>
      </c>
      <c r="B217" s="20"/>
      <c r="C217" s="19">
        <f>+AVERAGE('[15]tx de croissance'!$D$13:$I$13)</f>
        <v>-0.52815694586790252</v>
      </c>
      <c r="D217" s="19">
        <f>+'[15]tx de croissance'!J13</f>
        <v>1.1506276150627714</v>
      </c>
      <c r="E217" s="19">
        <f>+'[15]tx de croissance'!K13</f>
        <v>-2.9989658738366121</v>
      </c>
      <c r="F217" s="19">
        <f>+'[15]tx de croissance'!L13</f>
        <v>-13.646055437100213</v>
      </c>
      <c r="G217" s="19">
        <f>+'[15]tx de croissance'!M13</f>
        <v>12.222222222222223</v>
      </c>
      <c r="H217" s="19">
        <f>+'[15]tx de croissance'!N13</f>
        <v>-0.88008800880089444</v>
      </c>
    </row>
    <row r="218" spans="1:8" s="17" customFormat="1" ht="32.25" customHeight="1" x14ac:dyDescent="0.4">
      <c r="A218" s="20" t="s">
        <v>113</v>
      </c>
      <c r="B218" s="20"/>
      <c r="C218" s="19">
        <f>+AVERAGE('[15]tx de croissance'!$D$19:$I$19)</f>
        <v>5.5802846969501623</v>
      </c>
      <c r="D218" s="19">
        <f>+'[15]tx de croissance'!J19</f>
        <v>7.3614557485525367</v>
      </c>
      <c r="E218" s="19">
        <f>+'[15]tx de croissance'!K19</f>
        <v>4.6995377503852076</v>
      </c>
      <c r="F218" s="19">
        <f>+'[15]tx de croissance'!L19</f>
        <v>8.6092715231788084</v>
      </c>
      <c r="G218" s="19">
        <f>+'[15]tx de croissance'!M19</f>
        <v>0.13550135501356753</v>
      </c>
      <c r="H218" s="19">
        <f>+'[15]tx de croissance'!N19</f>
        <v>-8.3897158322056917</v>
      </c>
    </row>
    <row r="219" spans="1:8" s="17" customFormat="1" ht="32.25" customHeight="1" x14ac:dyDescent="0.4">
      <c r="A219" s="20" t="s">
        <v>112</v>
      </c>
      <c r="B219" s="20"/>
      <c r="C219" s="19">
        <f>+AVERAGE('[15]tx de croissance'!$D$24:$I$24)</f>
        <v>2.2120265177321428</v>
      </c>
      <c r="D219" s="19">
        <f>+'[15]tx de croissance'!J24</f>
        <v>-0.50916496945010437</v>
      </c>
      <c r="E219" s="19">
        <f>+'[15]tx de croissance'!K24</f>
        <v>-3.377686796315249</v>
      </c>
      <c r="F219" s="19">
        <f>+'[15]tx de croissance'!L24</f>
        <v>-17.584745762711872</v>
      </c>
      <c r="G219" s="19">
        <f>+'[15]tx de croissance'!M24</f>
        <v>23.007712082262223</v>
      </c>
      <c r="H219" s="19">
        <f>+'[15]tx de croissance'!N24</f>
        <v>-5.8516196447231046</v>
      </c>
    </row>
    <row r="220" spans="1:8" s="17" customFormat="1" ht="32.25" customHeight="1" x14ac:dyDescent="0.4">
      <c r="A220" s="20" t="s">
        <v>111</v>
      </c>
      <c r="B220" s="20"/>
      <c r="C220" s="19">
        <f>+AVERAGE('[15]tx de croissance'!$D$28:$I$28)</f>
        <v>4.6177510298954667</v>
      </c>
      <c r="D220" s="19">
        <f>+'[15]tx de croissance'!J28</f>
        <v>8.2693947144075075</v>
      </c>
      <c r="E220" s="19">
        <f>+'[15]tx de croissance'!K28</f>
        <v>6.2992125984252079</v>
      </c>
      <c r="F220" s="19">
        <f>+'[15]tx de croissance'!L28</f>
        <v>-24.962962962962965</v>
      </c>
      <c r="G220" s="19">
        <f>+'[15]tx de croissance'!M28</f>
        <v>9.1806515301085856</v>
      </c>
      <c r="H220" s="19">
        <f>+'[15]tx de croissance'!N28</f>
        <v>12.748643761302002</v>
      </c>
    </row>
    <row r="221" spans="1:8" s="17" customFormat="1" ht="32.25" customHeight="1" x14ac:dyDescent="0.4">
      <c r="A221" s="20" t="s">
        <v>110</v>
      </c>
      <c r="B221" s="20"/>
      <c r="C221" s="19">
        <f>+AVERAGE('[15]tx de croissance'!$D$26:$I$26)</f>
        <v>-0.47540140155768124</v>
      </c>
      <c r="D221" s="19">
        <f>+'[15]tx de croissance'!J26</f>
        <v>9.7276264591439343E-2</v>
      </c>
      <c r="E221" s="19">
        <f>+'[15]tx de croissance'!K26</f>
        <v>6.4139941690962043</v>
      </c>
      <c r="F221" s="19">
        <f>+'[15]tx de croissance'!L26</f>
        <v>-17.534246575342472</v>
      </c>
      <c r="G221" s="19">
        <f>+'[15]tx de croissance'!M26</f>
        <v>18.93687707641196</v>
      </c>
      <c r="H221" s="19">
        <f>+'[15]tx de croissance'!N26</f>
        <v>7.2625698324022325</v>
      </c>
    </row>
    <row r="222" spans="1:8" ht="9" customHeight="1" x14ac:dyDescent="0.3">
      <c r="A222" s="3"/>
      <c r="B222" s="7"/>
      <c r="C222" s="6"/>
      <c r="D222" s="6"/>
      <c r="E222" s="6"/>
      <c r="F222" s="6"/>
      <c r="G222" s="6"/>
      <c r="H222" s="6"/>
    </row>
    <row r="223" spans="1:8" s="17" customFormat="1" ht="32.25" customHeight="1" x14ac:dyDescent="0.4">
      <c r="A223" s="80" t="s">
        <v>109</v>
      </c>
      <c r="B223" s="20"/>
      <c r="C223" s="19"/>
      <c r="D223" s="19"/>
      <c r="E223" s="19"/>
      <c r="F223" s="19"/>
      <c r="G223" s="19"/>
      <c r="H223" s="19"/>
    </row>
    <row r="224" spans="1:8" s="17" customFormat="1" ht="32.25" hidden="1" customHeight="1" x14ac:dyDescent="0.4">
      <c r="A224" s="82" t="s">
        <v>108</v>
      </c>
      <c r="B224" s="20"/>
      <c r="C224" s="33">
        <f>[13]macro!C583</f>
        <v>2941.4260000000004</v>
      </c>
      <c r="D224" s="33"/>
      <c r="E224" s="33"/>
      <c r="F224" s="33"/>
      <c r="G224" s="33"/>
      <c r="H224" s="33"/>
    </row>
    <row r="225" spans="1:8" s="17" customFormat="1" ht="32.25" hidden="1" customHeight="1" x14ac:dyDescent="0.4">
      <c r="A225" s="82" t="s">
        <v>107</v>
      </c>
      <c r="B225" s="20"/>
      <c r="C225" s="33">
        <f>[13]macro!C584</f>
        <v>2422.2263999999996</v>
      </c>
      <c r="D225" s="33"/>
      <c r="E225" s="33"/>
      <c r="F225" s="33"/>
      <c r="G225" s="33"/>
      <c r="H225" s="33"/>
    </row>
    <row r="226" spans="1:8" s="17" customFormat="1" ht="32.25" customHeight="1" x14ac:dyDescent="0.4">
      <c r="A226" s="90" t="s">
        <v>106</v>
      </c>
      <c r="B226" s="89"/>
      <c r="C226" s="25">
        <f>+AVERAGE([14]Sucre!$AH19:$AM19)</f>
        <v>1493.2436666666665</v>
      </c>
      <c r="D226" s="25">
        <f>+[14]Sucre!AN19</f>
        <v>2886.2759999999998</v>
      </c>
      <c r="E226" s="25">
        <f>+[14]Sucre!AO19</f>
        <v>1748.8409999999999</v>
      </c>
      <c r="F226" s="25">
        <f>+[14]Sucre!AP19</f>
        <v>1841.4159999999999</v>
      </c>
      <c r="G226" s="25">
        <f>+[14]Sucre!AQ19</f>
        <v>1810.5</v>
      </c>
      <c r="H226" s="25"/>
    </row>
    <row r="227" spans="1:8" s="17" customFormat="1" ht="32.25" customHeight="1" x14ac:dyDescent="0.4">
      <c r="A227" s="20" t="s">
        <v>102</v>
      </c>
      <c r="B227" s="20"/>
      <c r="C227" s="33">
        <f>+AVERAGE([14]Sucre!$AH20:$AM20)</f>
        <v>314.42016666666666</v>
      </c>
      <c r="D227" s="33">
        <f>+[14]Sucre!AN20</f>
        <v>317.10700000000003</v>
      </c>
      <c r="E227" s="33">
        <f>+[14]Sucre!AO20</f>
        <v>350.84100000000001</v>
      </c>
      <c r="F227" s="33">
        <f>+[14]Sucre!AP20</f>
        <v>331.471</v>
      </c>
      <c r="G227" s="33">
        <f>+[14]Sucre!AQ20</f>
        <v>327.82400000000001</v>
      </c>
      <c r="H227" s="33"/>
    </row>
    <row r="228" spans="1:8" s="17" customFormat="1" ht="32.25" customHeight="1" x14ac:dyDescent="0.4">
      <c r="A228" s="20" t="s">
        <v>105</v>
      </c>
      <c r="B228" s="20"/>
      <c r="C228" s="33">
        <f>+AVERAGE([14]Sucre!$AH21:$AM21)</f>
        <v>157.41666666666666</v>
      </c>
      <c r="D228" s="33">
        <f>+[14]Sucre!AN21</f>
        <v>181.15700000000001</v>
      </c>
      <c r="E228" s="33">
        <f>+[14]Sucre!AO21</f>
        <v>179.41499999999999</v>
      </c>
      <c r="F228" s="33">
        <f>+[14]Sucre!AP21</f>
        <v>175.24</v>
      </c>
      <c r="G228" s="33">
        <f>+[14]Sucre!AQ21</f>
        <v>186.684</v>
      </c>
      <c r="H228" s="33"/>
    </row>
    <row r="229" spans="1:8" s="17" customFormat="1" ht="32.25" customHeight="1" x14ac:dyDescent="0.4">
      <c r="A229" s="20" t="s">
        <v>103</v>
      </c>
      <c r="B229" s="20"/>
      <c r="C229" s="33">
        <f>+AVERAGE([14]Sucre!$AH22:$AM22)</f>
        <v>1021.4068333333335</v>
      </c>
      <c r="D229" s="33">
        <f>+[14]Sucre!AN22</f>
        <v>2388.0120000000002</v>
      </c>
      <c r="E229" s="33">
        <f>+[14]Sucre!AO22</f>
        <v>1218.585</v>
      </c>
      <c r="F229" s="33">
        <f>+[14]Sucre!AP22</f>
        <v>1334.7049999999999</v>
      </c>
      <c r="G229" s="33">
        <f>+[14]Sucre!AQ22</f>
        <v>1295.992</v>
      </c>
      <c r="H229" s="33"/>
    </row>
    <row r="230" spans="1:8" s="88" customFormat="1" ht="32.25" customHeight="1" x14ac:dyDescent="0.35">
      <c r="A230" s="90" t="s">
        <v>104</v>
      </c>
      <c r="B230" s="89"/>
      <c r="C230" s="25">
        <f>+AVERAGE([14]Sucre!$AH15:$AM15)</f>
        <v>1210.7643</v>
      </c>
      <c r="D230" s="25">
        <f>+[14]Sucre!AN15</f>
        <v>1221.1610000000001</v>
      </c>
      <c r="E230" s="25">
        <f>+[14]Sucre!AO15</f>
        <v>1199.308</v>
      </c>
      <c r="F230" s="25">
        <f>+[14]Sucre!AP15</f>
        <v>1141.8409999999999</v>
      </c>
      <c r="G230" s="25">
        <f>+[14]Sucre!AQ15</f>
        <v>1198.079</v>
      </c>
      <c r="H230" s="25"/>
    </row>
    <row r="231" spans="1:8" s="17" customFormat="1" ht="32.25" customHeight="1" x14ac:dyDescent="0.4">
      <c r="A231" s="20" t="s">
        <v>103</v>
      </c>
      <c r="B231" s="20"/>
      <c r="C231" s="33">
        <f>+AVERAGE([14]Sucre!$AH16:$AM16)</f>
        <v>666.87666666666667</v>
      </c>
      <c r="D231" s="33">
        <f>+[14]Sucre!AN16</f>
        <v>685.90200000000004</v>
      </c>
      <c r="E231" s="33">
        <f>+[14]Sucre!AO16</f>
        <v>671.66300000000001</v>
      </c>
      <c r="F231" s="33">
        <f>+[14]Sucre!AP16</f>
        <v>635.05499999999995</v>
      </c>
      <c r="G231" s="33">
        <f>+[14]Sucre!AQ16</f>
        <v>690.46699999999998</v>
      </c>
      <c r="H231" s="33"/>
    </row>
    <row r="232" spans="1:8" s="17" customFormat="1" ht="32.25" customHeight="1" x14ac:dyDescent="0.4">
      <c r="A232" s="20" t="s">
        <v>102</v>
      </c>
      <c r="B232" s="20"/>
      <c r="C232" s="33">
        <f>+AVERAGE([14]Sucre!$AH17:$AM17)</f>
        <v>383.42950000000002</v>
      </c>
      <c r="D232" s="33">
        <f>+[14]Sucre!AN17</f>
        <v>358.42</v>
      </c>
      <c r="E232" s="33">
        <f>+[14]Sucre!AO17</f>
        <v>349.99099999999999</v>
      </c>
      <c r="F232" s="33">
        <f>+[14]Sucre!AP17</f>
        <v>332.64299999999997</v>
      </c>
      <c r="G232" s="33">
        <f>+[14]Sucre!AQ17</f>
        <v>329.45</v>
      </c>
      <c r="H232" s="33"/>
    </row>
    <row r="233" spans="1:8" s="17" customFormat="1" ht="32.25" customHeight="1" x14ac:dyDescent="0.4">
      <c r="A233" s="20" t="s">
        <v>101</v>
      </c>
      <c r="B233" s="20"/>
      <c r="C233" s="33">
        <f>+AVERAGE([14]Sucre!$AH18:$AM18)</f>
        <v>161.81283333333334</v>
      </c>
      <c r="D233" s="33">
        <f>+[14]Sucre!AN18</f>
        <v>176.839</v>
      </c>
      <c r="E233" s="33">
        <f>+[14]Sucre!AO18</f>
        <v>177.654</v>
      </c>
      <c r="F233" s="33">
        <f>+[14]Sucre!AP18</f>
        <v>174.143</v>
      </c>
      <c r="G233" s="33">
        <f>+[14]Sucre!AQ18</f>
        <v>178.16200000000001</v>
      </c>
      <c r="H233" s="33"/>
    </row>
    <row r="234" spans="1:8" s="88" customFormat="1" ht="32.25" customHeight="1" x14ac:dyDescent="0.35"/>
    <row r="235" spans="1:8" s="68" customFormat="1" ht="22.5" customHeight="1" x14ac:dyDescent="0.3">
      <c r="A235" s="73"/>
      <c r="B235" s="72"/>
      <c r="C235" s="6"/>
      <c r="D235" s="70"/>
      <c r="E235" s="2"/>
      <c r="F235" s="70"/>
      <c r="G235" s="69"/>
      <c r="H235" s="69"/>
    </row>
    <row r="236" spans="1:8" s="68" customFormat="1" ht="39" customHeight="1" x14ac:dyDescent="0.3">
      <c r="A236" s="15" t="s">
        <v>2</v>
      </c>
      <c r="B236" s="72"/>
      <c r="C236" s="9"/>
      <c r="D236" s="70"/>
      <c r="E236" s="2"/>
      <c r="F236" s="70"/>
      <c r="G236" s="69"/>
      <c r="H236" s="69"/>
    </row>
    <row r="237" spans="1:8" s="68" customFormat="1" ht="39" customHeight="1" x14ac:dyDescent="0.3">
      <c r="A237" s="11" t="s">
        <v>21</v>
      </c>
      <c r="B237" s="87"/>
      <c r="C237" s="6"/>
      <c r="D237" s="70"/>
      <c r="E237" s="2"/>
      <c r="F237" s="70"/>
      <c r="G237" s="69"/>
      <c r="H237" s="69"/>
    </row>
    <row r="238" spans="1:8" s="68" customFormat="1" ht="22.5" customHeight="1" x14ac:dyDescent="0.3">
      <c r="A238" s="10"/>
      <c r="B238" s="72"/>
      <c r="C238" s="6"/>
      <c r="D238" s="70"/>
      <c r="E238" s="2"/>
      <c r="F238" s="70"/>
      <c r="G238" s="69"/>
      <c r="H238" s="69"/>
    </row>
    <row r="239" spans="1:8" s="68" customFormat="1" ht="33" customHeight="1" x14ac:dyDescent="0.3">
      <c r="A239" s="10"/>
      <c r="B239" s="72"/>
      <c r="C239" s="6"/>
      <c r="D239" s="70"/>
      <c r="E239" s="2"/>
      <c r="F239" s="70"/>
      <c r="G239" s="69"/>
      <c r="H239" s="69"/>
    </row>
    <row r="240" spans="1:8" s="68" customFormat="1" ht="33" customHeight="1" x14ac:dyDescent="0.3">
      <c r="A240" s="10"/>
      <c r="B240" s="72"/>
      <c r="C240" s="6"/>
      <c r="D240" s="70"/>
      <c r="E240" s="2"/>
      <c r="F240" s="70"/>
      <c r="G240" s="69"/>
      <c r="H240" s="69"/>
    </row>
    <row r="241" spans="1:8" s="68" customFormat="1" ht="33" customHeight="1" x14ac:dyDescent="0.3">
      <c r="A241" s="10"/>
      <c r="B241" s="72"/>
      <c r="C241" s="9"/>
      <c r="D241" s="70"/>
      <c r="E241" s="2"/>
      <c r="F241" s="70"/>
      <c r="G241" s="69"/>
      <c r="H241" s="69"/>
    </row>
    <row r="242" spans="1:8" x14ac:dyDescent="0.3">
      <c r="A242" s="48"/>
      <c r="B242" s="7"/>
      <c r="C242" s="9"/>
      <c r="D242" s="4"/>
      <c r="E242" s="2"/>
      <c r="F242" s="3"/>
      <c r="G242" s="47"/>
      <c r="H242" s="47"/>
    </row>
    <row r="243" spans="1:8" ht="30.75" thickBot="1" x14ac:dyDescent="0.45">
      <c r="A243" s="46" t="s">
        <v>100</v>
      </c>
      <c r="B243" s="45"/>
      <c r="C243" s="42"/>
      <c r="D243" s="44"/>
      <c r="E243" s="43"/>
      <c r="F243" s="42"/>
      <c r="G243" s="42"/>
      <c r="H243" s="42"/>
    </row>
    <row r="244" spans="1:8" s="38" customFormat="1" ht="32.25" customHeight="1" thickBot="1" x14ac:dyDescent="0.3">
      <c r="A244" s="39"/>
      <c r="B244" s="41"/>
      <c r="C244" s="40" t="s">
        <v>16</v>
      </c>
      <c r="D244" s="41"/>
      <c r="E244" s="41"/>
      <c r="F244" s="41"/>
      <c r="G244" s="41"/>
      <c r="H244" s="41"/>
    </row>
    <row r="245" spans="1:8" ht="33" customHeight="1" thickBot="1" x14ac:dyDescent="0.4">
      <c r="A245" s="37"/>
      <c r="B245" s="36"/>
      <c r="C245" s="35" t="s">
        <v>15</v>
      </c>
      <c r="D245" s="34">
        <v>2018</v>
      </c>
      <c r="E245" s="34">
        <v>2019</v>
      </c>
      <c r="F245" s="34">
        <v>2020</v>
      </c>
      <c r="G245" s="34">
        <v>2021</v>
      </c>
      <c r="H245" s="34">
        <v>2022</v>
      </c>
    </row>
    <row r="246" spans="1:8" s="17" customFormat="1" ht="32.25" customHeight="1" x14ac:dyDescent="0.4">
      <c r="A246" s="80" t="s">
        <v>99</v>
      </c>
      <c r="B246" s="20"/>
      <c r="C246" s="18"/>
      <c r="D246" s="18"/>
      <c r="E246" s="18"/>
      <c r="F246" s="18"/>
      <c r="G246" s="18"/>
      <c r="H246" s="18"/>
    </row>
    <row r="247" spans="1:8" s="17" customFormat="1" ht="32.25" customHeight="1" x14ac:dyDescent="0.4">
      <c r="A247" s="82" t="s">
        <v>98</v>
      </c>
      <c r="B247" s="20"/>
      <c r="C247" s="33">
        <f>AVERAGE([14]Minoterie!AG8:AL8)</f>
        <v>55769.666666666664</v>
      </c>
      <c r="D247" s="33">
        <f>+[14]Minoterie!AM8</f>
        <v>55002</v>
      </c>
      <c r="E247" s="33">
        <f>+[14]Minoterie!AN8</f>
        <v>54418</v>
      </c>
      <c r="F247" s="33">
        <f>+[14]Minoterie!AO8</f>
        <v>55047</v>
      </c>
      <c r="G247" s="33">
        <f>+[14]Minoterie!AP8</f>
        <v>54513</v>
      </c>
      <c r="H247" s="33">
        <f>+[14]Minoterie!AQ8</f>
        <v>55116</v>
      </c>
    </row>
    <row r="248" spans="1:8" s="17" customFormat="1" ht="32.25" customHeight="1" x14ac:dyDescent="0.4">
      <c r="A248" s="82" t="s">
        <v>97</v>
      </c>
      <c r="B248" s="20"/>
      <c r="C248" s="33">
        <f>AVERAGE([14]Minoterie!AG9:AL9)</f>
        <v>47488.333333333336</v>
      </c>
      <c r="D248" s="33">
        <f>+[14]Minoterie!AM9</f>
        <v>45629</v>
      </c>
      <c r="E248" s="33">
        <f>+[14]Minoterie!AN9</f>
        <v>45032</v>
      </c>
      <c r="F248" s="33">
        <f>+[14]Minoterie!AO9</f>
        <v>44760</v>
      </c>
      <c r="G248" s="33">
        <f>+[14]Minoterie!AP9</f>
        <v>43794</v>
      </c>
      <c r="H248" s="33">
        <f>+[14]Minoterie!AQ9</f>
        <v>47156</v>
      </c>
    </row>
    <row r="249" spans="1:8" s="17" customFormat="1" ht="32.25" customHeight="1" x14ac:dyDescent="0.4">
      <c r="A249" s="80" t="s">
        <v>96</v>
      </c>
      <c r="B249" s="20"/>
      <c r="C249" s="19"/>
      <c r="D249" s="18"/>
      <c r="E249" s="18"/>
      <c r="F249" s="18"/>
      <c r="G249" s="18"/>
      <c r="H249" s="18"/>
    </row>
    <row r="250" spans="1:8" s="17" customFormat="1" ht="32.25" customHeight="1" x14ac:dyDescent="0.4">
      <c r="A250" s="86" t="s">
        <v>95</v>
      </c>
      <c r="B250" s="20"/>
      <c r="C250" s="33">
        <f>+AVERAGE('[14]olive oil'!$X$22:$AC$22)</f>
        <v>118.33333333333333</v>
      </c>
      <c r="D250" s="33">
        <f>+'[14]olive oil'!AD22</f>
        <v>140</v>
      </c>
      <c r="E250" s="33">
        <f>+'[14]olive oil'!AE22</f>
        <v>200</v>
      </c>
      <c r="F250" s="33">
        <f>+'[14]olive oil'!AF22</f>
        <v>145</v>
      </c>
      <c r="G250" s="33">
        <f>+'[14]olive oil'!AG22</f>
        <v>160</v>
      </c>
      <c r="H250" s="33">
        <f>+'[14]olive oil'!AH22</f>
        <v>200</v>
      </c>
    </row>
    <row r="251" spans="1:8" s="17" customFormat="1" ht="32.25" customHeight="1" x14ac:dyDescent="0.4">
      <c r="A251" s="86" t="s">
        <v>94</v>
      </c>
      <c r="B251" s="20"/>
      <c r="C251" s="33">
        <f>+AVERAGE('[14]olive oil'!$X$71:$AC$71)</f>
        <v>13.583333333333334</v>
      </c>
      <c r="D251" s="33">
        <f>+'[14]olive oil'!AD71</f>
        <v>11</v>
      </c>
      <c r="E251" s="33">
        <f>+'[14]olive oil'!AE71</f>
        <v>28</v>
      </c>
      <c r="F251" s="33">
        <f>+'[14]olive oil'!AF71</f>
        <v>10.5</v>
      </c>
      <c r="G251" s="33">
        <f>+'[14]olive oil'!AG71</f>
        <v>20</v>
      </c>
      <c r="H251" s="33">
        <f>+'[14]olive oil'!AH71</f>
        <v>28</v>
      </c>
    </row>
    <row r="252" spans="1:8" s="17" customFormat="1" ht="32.25" customHeight="1" x14ac:dyDescent="0.4">
      <c r="A252" s="85" t="s">
        <v>93</v>
      </c>
      <c r="B252" s="20"/>
      <c r="C252" s="32">
        <f>+C251/C250*100</f>
        <v>11.478873239436622</v>
      </c>
      <c r="D252" s="32">
        <f>+D251/D250*100</f>
        <v>7.8571428571428568</v>
      </c>
      <c r="E252" s="32">
        <f>+E251/E250*100</f>
        <v>14.000000000000002</v>
      </c>
      <c r="F252" s="32">
        <f>+F251/F250*100</f>
        <v>7.2413793103448283</v>
      </c>
      <c r="G252" s="32">
        <f>+G251/G250*100</f>
        <v>12.5</v>
      </c>
      <c r="H252" s="32">
        <f>+H251/H250*100</f>
        <v>14.000000000000002</v>
      </c>
    </row>
    <row r="253" spans="1:8" ht="15.75" customHeight="1" x14ac:dyDescent="0.35">
      <c r="A253" s="84"/>
      <c r="B253" s="14"/>
      <c r="C253" s="6"/>
      <c r="D253" s="4"/>
      <c r="E253" s="4"/>
      <c r="F253" s="4"/>
      <c r="G253" s="4"/>
      <c r="H253" s="4"/>
    </row>
    <row r="254" spans="1:8" s="17" customFormat="1" ht="32.25" customHeight="1" x14ac:dyDescent="0.4">
      <c r="A254" s="83" t="s">
        <v>92</v>
      </c>
      <c r="B254" s="20"/>
      <c r="C254" s="19"/>
      <c r="D254" s="18"/>
      <c r="E254" s="18"/>
      <c r="F254" s="18"/>
      <c r="G254" s="18"/>
      <c r="H254" s="18"/>
    </row>
    <row r="255" spans="1:8" s="17" customFormat="1" ht="32.25" customHeight="1" x14ac:dyDescent="0.4">
      <c r="A255" s="82" t="s">
        <v>91</v>
      </c>
      <c r="B255" s="20"/>
      <c r="C255" s="33">
        <f>+AVERAGE([14]lait!$AH$9:$AM$9)</f>
        <v>2450</v>
      </c>
      <c r="D255" s="33">
        <f>+[14]lait!AN9</f>
        <v>2550</v>
      </c>
      <c r="E255" s="33">
        <f>+[14]lait!AO9</f>
        <v>2500</v>
      </c>
      <c r="F255" s="33">
        <f>+[14]lait!AP9</f>
        <v>2500</v>
      </c>
      <c r="G255" s="33">
        <f>+[14]lait!AQ9</f>
        <v>2500</v>
      </c>
      <c r="H255" s="33" t="s">
        <v>81</v>
      </c>
    </row>
    <row r="256" spans="1:8" s="81" customFormat="1" ht="32.25" hidden="1" customHeight="1" x14ac:dyDescent="0.4">
      <c r="A256" s="82" t="s">
        <v>90</v>
      </c>
      <c r="B256" s="20"/>
      <c r="C256" s="33">
        <f>+'[13]Annexe global'!C902</f>
        <v>1580</v>
      </c>
      <c r="D256" s="33"/>
      <c r="E256" s="33"/>
      <c r="F256" s="33"/>
      <c r="G256" s="33"/>
      <c r="H256" s="33"/>
    </row>
    <row r="257" spans="1:38" s="81" customFormat="1" ht="32.25" hidden="1" customHeight="1" x14ac:dyDescent="0.4">
      <c r="A257" s="82" t="s">
        <v>89</v>
      </c>
      <c r="B257" s="20"/>
      <c r="C257" s="33">
        <f>+'[13]Annexe global'!C903</f>
        <v>70.5</v>
      </c>
      <c r="D257" s="33"/>
      <c r="E257" s="33"/>
      <c r="F257" s="33"/>
      <c r="G257" s="33"/>
      <c r="H257" s="33"/>
    </row>
    <row r="258" spans="1:38" s="17" customFormat="1" ht="8.25" hidden="1" customHeight="1" x14ac:dyDescent="0.4">
      <c r="A258" s="18"/>
      <c r="B258" s="18"/>
      <c r="C258" s="18"/>
      <c r="D258" s="18"/>
      <c r="E258" s="18"/>
      <c r="F258" s="18"/>
      <c r="G258" s="18"/>
      <c r="H258" s="18"/>
    </row>
    <row r="259" spans="1:38" s="17" customFormat="1" ht="32.25" hidden="1" customHeight="1" x14ac:dyDescent="0.4">
      <c r="A259" s="80" t="s">
        <v>88</v>
      </c>
      <c r="B259" s="20"/>
      <c r="C259" s="25" t="e">
        <v>#REF!</v>
      </c>
      <c r="D259" s="18"/>
      <c r="E259" s="18"/>
      <c r="F259" s="18"/>
      <c r="G259" s="18"/>
      <c r="H259" s="18"/>
    </row>
    <row r="260" spans="1:38" s="17" customFormat="1" ht="32.25" hidden="1" customHeight="1" x14ac:dyDescent="0.4">
      <c r="A260" s="62" t="s">
        <v>87</v>
      </c>
      <c r="B260" s="51"/>
      <c r="C260" s="19" t="e">
        <v>#REF!</v>
      </c>
      <c r="D260" s="18"/>
      <c r="E260" s="18"/>
      <c r="F260" s="18"/>
      <c r="G260" s="18"/>
      <c r="H260" s="18"/>
    </row>
    <row r="261" spans="1:38" s="17" customFormat="1" ht="8.25" hidden="1" customHeight="1" x14ac:dyDescent="0.4">
      <c r="A261" s="18"/>
      <c r="B261" s="18"/>
      <c r="C261" s="18"/>
      <c r="D261" s="18"/>
      <c r="E261" s="18"/>
      <c r="F261" s="18"/>
      <c r="G261" s="18"/>
      <c r="H261" s="18"/>
    </row>
    <row r="262" spans="1:38" s="76" customFormat="1" ht="29.25" customHeight="1" x14ac:dyDescent="0.4">
      <c r="A262" s="79"/>
      <c r="B262" s="78"/>
      <c r="C262" s="77"/>
      <c r="D262" s="77"/>
      <c r="E262" s="77"/>
      <c r="F262" s="77"/>
      <c r="G262" s="77"/>
      <c r="H262" s="77"/>
    </row>
    <row r="263" spans="1:38" s="17" customFormat="1" ht="8.25" customHeight="1" x14ac:dyDescent="0.4">
      <c r="A263" s="18"/>
      <c r="B263" s="18"/>
      <c r="C263" s="18"/>
      <c r="D263" s="18"/>
      <c r="E263" s="18"/>
      <c r="F263" s="18"/>
      <c r="G263" s="18"/>
      <c r="H263" s="18"/>
    </row>
    <row r="264" spans="1:38" s="17" customFormat="1" ht="32.25" customHeight="1" x14ac:dyDescent="0.4">
      <c r="A264" s="28" t="s">
        <v>86</v>
      </c>
      <c r="B264" s="26"/>
      <c r="C264" s="18"/>
      <c r="D264" s="18"/>
      <c r="E264" s="18"/>
      <c r="F264" s="18"/>
      <c r="G264" s="18"/>
      <c r="H264" s="18"/>
    </row>
    <row r="265" spans="1:38" s="17" customFormat="1" ht="32.25" customHeight="1" x14ac:dyDescent="0.4">
      <c r="A265" s="26" t="s">
        <v>85</v>
      </c>
      <c r="B265" s="26"/>
      <c r="C265" s="18"/>
      <c r="D265" s="18"/>
      <c r="E265" s="18"/>
      <c r="F265" s="18"/>
      <c r="G265" s="18"/>
      <c r="H265" s="18"/>
    </row>
    <row r="266" spans="1:38" s="17" customFormat="1" ht="32.25" customHeight="1" x14ac:dyDescent="0.4">
      <c r="A266" s="75" t="s">
        <v>84</v>
      </c>
      <c r="B266" s="26"/>
      <c r="C266" s="33">
        <f>+AVERAGE([12]ciment!$AH$11:$AM$11)</f>
        <v>14498.177499999998</v>
      </c>
      <c r="D266" s="33">
        <f>+[12]ciment!AN11</f>
        <v>13285.536</v>
      </c>
      <c r="E266" s="33">
        <f>+[12]ciment!AO11</f>
        <v>13627.42872</v>
      </c>
      <c r="F266" s="33">
        <f>+[12]ciment!AP11</f>
        <v>12174.471</v>
      </c>
      <c r="G266" s="33">
        <f>+[12]ciment!AQ11</f>
        <v>13974.9</v>
      </c>
      <c r="H266" s="33">
        <f>+[12]ciment!AR11</f>
        <v>12486.731</v>
      </c>
    </row>
    <row r="267" spans="1:38" s="17" customFormat="1" ht="32.25" customHeight="1" x14ac:dyDescent="0.4">
      <c r="A267" s="75" t="s">
        <v>83</v>
      </c>
      <c r="B267" s="26"/>
      <c r="C267" s="19">
        <f>+(([12]ciment!$AM$11/[12]ciment!$AH$11)^(1/([12]ciment!$AM$7-[12]ciment!$AH$7))-1)*100</f>
        <v>-2.7702004162860283</v>
      </c>
      <c r="D267" s="19">
        <f>+[12]ciment!AN15</f>
        <v>-3.6667236594407626</v>
      </c>
      <c r="E267" s="19">
        <f>+[12]ciment!AO15</f>
        <v>2.5734205981602809</v>
      </c>
      <c r="F267" s="19">
        <f>+[12]ciment!AP15</f>
        <v>-10.662009318512144</v>
      </c>
      <c r="G267" s="19">
        <f>+[12]ciment!AQ15</f>
        <v>14.788560422871754</v>
      </c>
      <c r="H267" s="19">
        <f>+[12]ciment!AR15</f>
        <v>-10.6488704749229</v>
      </c>
    </row>
    <row r="268" spans="1:38" s="17" customFormat="1" ht="32.25" customHeight="1" x14ac:dyDescent="0.4">
      <c r="A268" s="26" t="s">
        <v>82</v>
      </c>
      <c r="B268" s="26"/>
      <c r="C268" s="25">
        <f>+AVERAGE([11]Autorisations!$AG$16:$AL$16)</f>
        <v>49874.666666666664</v>
      </c>
      <c r="D268" s="25">
        <f>+[11]Autorisations!AM16</f>
        <v>46935</v>
      </c>
      <c r="E268" s="25">
        <f>+[11]Autorisations!AN16</f>
        <v>46995</v>
      </c>
      <c r="F268" s="25">
        <f>+[11]Autorisations!AO16</f>
        <v>30281</v>
      </c>
      <c r="G268" s="33" t="s">
        <v>81</v>
      </c>
      <c r="H268" s="33" t="s">
        <v>81</v>
      </c>
    </row>
    <row r="269" spans="1:38" s="17" customFormat="1" ht="32.25" customHeight="1" x14ac:dyDescent="0.4">
      <c r="A269" s="30" t="s">
        <v>26</v>
      </c>
      <c r="B269" s="26"/>
      <c r="C269" s="19"/>
      <c r="D269" s="19"/>
      <c r="E269" s="19"/>
      <c r="F269" s="19"/>
      <c r="G269" s="19"/>
      <c r="H269" s="19"/>
      <c r="V269" s="59">
        <v>2007</v>
      </c>
      <c r="W269" s="59">
        <v>2008</v>
      </c>
      <c r="X269" s="59">
        <v>2009</v>
      </c>
      <c r="Y269" s="59">
        <v>2010</v>
      </c>
      <c r="Z269" s="59">
        <v>2011</v>
      </c>
      <c r="AA269" s="59">
        <v>2012</v>
      </c>
      <c r="AB269" s="59">
        <v>2013</v>
      </c>
      <c r="AC269" s="59">
        <v>2014</v>
      </c>
      <c r="AD269" s="59">
        <v>2015</v>
      </c>
      <c r="AE269" s="59">
        <v>2016</v>
      </c>
      <c r="AF269" s="59">
        <v>2017</v>
      </c>
      <c r="AG269" s="59">
        <v>2018</v>
      </c>
      <c r="AH269" s="59">
        <v>2019</v>
      </c>
      <c r="AI269" s="59">
        <v>2020</v>
      </c>
      <c r="AJ269" s="59">
        <v>2021</v>
      </c>
      <c r="AK269" s="59">
        <v>2022</v>
      </c>
      <c r="AL269" s="59">
        <v>2023</v>
      </c>
    </row>
    <row r="270" spans="1:38" s="17" customFormat="1" ht="32.25" customHeight="1" x14ac:dyDescent="0.4">
      <c r="A270" s="20" t="s">
        <v>80</v>
      </c>
      <c r="B270" s="26"/>
      <c r="C270" s="19">
        <f>AVERAGE(AA270:AF270)</f>
        <v>13.166837643846094</v>
      </c>
      <c r="D270" s="19">
        <f>+[11]Autorisations!AM9/[11]Autorisations!AM$16*100</f>
        <v>14.93341855757963</v>
      </c>
      <c r="E270" s="19">
        <f>+[11]Autorisations!AN9/[11]Autorisations!AN$16*100</f>
        <v>14.861155442068306</v>
      </c>
      <c r="F270" s="19">
        <f>+[11]Autorisations!AO9/[11]Autorisations!AO$16*100</f>
        <v>13.457283445064562</v>
      </c>
      <c r="H270" s="19"/>
      <c r="V270" s="19">
        <f>+[11]Autorisations!AB9/[11]Autorisations!AB$16*100</f>
        <v>14.386386756681771</v>
      </c>
      <c r="W270" s="19">
        <f>+[11]Autorisations!AC9/[11]Autorisations!AC$16*100</f>
        <v>12.294688310440879</v>
      </c>
      <c r="X270" s="19">
        <f>+[11]Autorisations!AD9/[11]Autorisations!AD$16*100</f>
        <v>11.586417030830292</v>
      </c>
      <c r="Y270" s="19">
        <f>+[11]Autorisations!AE9/[11]Autorisations!AE$16*100</f>
        <v>10.156031834683048</v>
      </c>
      <c r="Z270" s="19">
        <f>+[11]Autorisations!AF9/[11]Autorisations!AF$16*100</f>
        <v>12.010699619485363</v>
      </c>
      <c r="AA270" s="19">
        <f>+[11]Autorisations!AG9/[11]Autorisations!AG$16*100</f>
        <v>11.305108531228928</v>
      </c>
      <c r="AB270" s="19">
        <f>+[11]Autorisations!AH9/[11]Autorisations!AH$16*100</f>
        <v>13.12428901691681</v>
      </c>
      <c r="AC270" s="19">
        <f>+[11]Autorisations!AI9/[11]Autorisations!AI$16*100</f>
        <v>13.157894736842104</v>
      </c>
      <c r="AD270" s="19">
        <f>+[11]Autorisations!AJ9/[11]Autorisations!AJ$16*100</f>
        <v>13.617533620390587</v>
      </c>
      <c r="AE270" s="19">
        <f>+[11]Autorisations!AK9/[11]Autorisations!AK$16*100</f>
        <v>15.014424337791766</v>
      </c>
      <c r="AF270" s="19">
        <f>+[11]Autorisations!AL9/[11]Autorisations!AL$16*100</f>
        <v>12.781775619906362</v>
      </c>
      <c r="AG270" s="19">
        <f>+[11]Autorisations!AM9/[11]Autorisations!AM$16*100</f>
        <v>14.93341855757963</v>
      </c>
      <c r="AH270" s="19">
        <f>+[11]Autorisations!AN9/[11]Autorisations!AN$16*100</f>
        <v>14.861155442068306</v>
      </c>
      <c r="AI270" s="19">
        <f>+[11]Autorisations!AO9/[11]Autorisations!AO$16*100</f>
        <v>13.457283445064562</v>
      </c>
      <c r="AJ270" s="19"/>
      <c r="AK270" s="19"/>
      <c r="AL270" s="19"/>
    </row>
    <row r="271" spans="1:38" s="17" customFormat="1" ht="32.25" customHeight="1" x14ac:dyDescent="0.4">
      <c r="A271" s="20" t="s">
        <v>79</v>
      </c>
      <c r="B271" s="26"/>
      <c r="C271" s="19">
        <f>AVERAGE(AA271:AF271)</f>
        <v>4.5482250870423941</v>
      </c>
      <c r="D271" s="19">
        <f>+[11]Autorisations!AM10/[11]Autorisations!AM$16*100</f>
        <v>4.7832108234792798</v>
      </c>
      <c r="E271" s="19">
        <f>+[11]Autorisations!AN10/[11]Autorisations!AN$16*100</f>
        <v>5.6154910096818815</v>
      </c>
      <c r="F271" s="19">
        <f>+[11]Autorisations!AO10/[11]Autorisations!AO$16*100</f>
        <v>6.9647633829794264</v>
      </c>
      <c r="H271" s="19"/>
      <c r="V271" s="19">
        <f>+[11]Autorisations!AB10/[11]Autorisations!AB$16*100</f>
        <v>4.5408304818274301</v>
      </c>
      <c r="W271" s="19">
        <f>+[11]Autorisations!AC10/[11]Autorisations!AC$16*100</f>
        <v>3.8747478628373835</v>
      </c>
      <c r="X271" s="19">
        <f>+[11]Autorisations!AD10/[11]Autorisations!AD$16*100</f>
        <v>3.7946518061179493</v>
      </c>
      <c r="Y271" s="19">
        <f>+[11]Autorisations!AE10/[11]Autorisations!AE$16*100</f>
        <v>3.3754537838592573</v>
      </c>
      <c r="Z271" s="19">
        <f>+[11]Autorisations!AF10/[11]Autorisations!AF$16*100</f>
        <v>3.8296349319971368</v>
      </c>
      <c r="AA271" s="19">
        <f>+[11]Autorisations!AG10/[11]Autorisations!AG$16*100</f>
        <v>4.572709544551568</v>
      </c>
      <c r="AB271" s="19">
        <f>+[11]Autorisations!AH10/[11]Autorisations!AH$16*100</f>
        <v>4.3521338666470957</v>
      </c>
      <c r="AC271" s="19">
        <f>+[11]Autorisations!AI10/[11]Autorisations!AI$16*100</f>
        <v>4.4424482462945569</v>
      </c>
      <c r="AD271" s="19">
        <f>+[11]Autorisations!AJ10/[11]Autorisations!AJ$16*100</f>
        <v>4.5180907291390318</v>
      </c>
      <c r="AE271" s="19">
        <f>+[11]Autorisations!AK10/[11]Autorisations!AK$16*100</f>
        <v>4.6354576448990299</v>
      </c>
      <c r="AF271" s="19">
        <f>+[11]Autorisations!AL10/[11]Autorisations!AL$16*100</f>
        <v>4.76851049072308</v>
      </c>
      <c r="AG271" s="19">
        <f>+[11]Autorisations!AM10/[11]Autorisations!AM$16*100</f>
        <v>4.7832108234792798</v>
      </c>
      <c r="AH271" s="19">
        <f>+[11]Autorisations!AN10/[11]Autorisations!AN$16*100</f>
        <v>5.6154910096818815</v>
      </c>
      <c r="AI271" s="19">
        <f>+[11]Autorisations!AO10/[11]Autorisations!AO$16*100</f>
        <v>6.9647633829794264</v>
      </c>
      <c r="AJ271" s="19"/>
      <c r="AK271" s="19"/>
      <c r="AL271" s="19"/>
    </row>
    <row r="272" spans="1:38" s="17" customFormat="1" ht="32.25" customHeight="1" x14ac:dyDescent="0.4">
      <c r="A272" s="20" t="s">
        <v>78</v>
      </c>
      <c r="B272" s="26"/>
      <c r="C272" s="19">
        <f>AVERAGE(AA272:AF272)</f>
        <v>72.614676137508283</v>
      </c>
      <c r="D272" s="19">
        <f>+[11]Autorisations!AM11/[11]Autorisations!AM$16*100</f>
        <v>73.224672419303289</v>
      </c>
      <c r="E272" s="19">
        <f>+[11]Autorisations!AN11/[11]Autorisations!AN$16*100</f>
        <v>69.496754973933392</v>
      </c>
      <c r="F272" s="19">
        <f>+[11]Autorisations!AO11/[11]Autorisations!AO$16*100</f>
        <v>67.91387338595159</v>
      </c>
      <c r="H272" s="19"/>
      <c r="V272" s="19">
        <f>+[11]Autorisations!AB11/[11]Autorisations!AB$16*100</f>
        <v>73.430130398594287</v>
      </c>
      <c r="W272" s="19">
        <f>+[11]Autorisations!AC11/[11]Autorisations!AC$16*100</f>
        <v>76.520987417154927</v>
      </c>
      <c r="X272" s="19">
        <f>+[11]Autorisations!AD11/[11]Autorisations!AD$16*100</f>
        <v>77.486669606703288</v>
      </c>
      <c r="Y272" s="19">
        <f>+[11]Autorisations!AE11/[11]Autorisations!AE$16*100</f>
        <v>79.319673275621341</v>
      </c>
      <c r="Z272" s="19">
        <f>+[11]Autorisations!AF11/[11]Autorisations!AF$16*100</f>
        <v>76.25927739893757</v>
      </c>
      <c r="AA272" s="19">
        <f>+[11]Autorisations!AG11/[11]Autorisations!AG$16*100</f>
        <v>75.465198928356642</v>
      </c>
      <c r="AB272" s="19">
        <f>+[11]Autorisations!AH11/[11]Autorisations!AH$16*100</f>
        <v>74.446809291402147</v>
      </c>
      <c r="AC272" s="19">
        <f>+[11]Autorisations!AI11/[11]Autorisations!AI$16*100</f>
        <v>74.472255114123556</v>
      </c>
      <c r="AD272" s="19">
        <f>+[11]Autorisations!AJ11/[11]Autorisations!AJ$16*100</f>
        <v>73.134297900128558</v>
      </c>
      <c r="AE272" s="19">
        <f>+[11]Autorisations!AK11/[11]Autorisations!AK$16*100</f>
        <v>65.757496284640268</v>
      </c>
      <c r="AF272" s="19">
        <f>+[11]Autorisations!AL11/[11]Autorisations!AL$16*100</f>
        <v>72.411999306398485</v>
      </c>
      <c r="AG272" s="19">
        <f>+[11]Autorisations!AM11/[11]Autorisations!AM$16*100</f>
        <v>73.224672419303289</v>
      </c>
      <c r="AH272" s="19">
        <f>+[11]Autorisations!AN11/[11]Autorisations!AN$16*100</f>
        <v>69.496754973933392</v>
      </c>
      <c r="AI272" s="19">
        <f>+[11]Autorisations!AO11/[11]Autorisations!AO$16*100</f>
        <v>67.91387338595159</v>
      </c>
      <c r="AJ272" s="19"/>
      <c r="AK272" s="19"/>
      <c r="AL272" s="19"/>
    </row>
    <row r="273" spans="1:38" s="17" customFormat="1" ht="32.25" customHeight="1" x14ac:dyDescent="0.4">
      <c r="A273" s="20" t="s">
        <v>77</v>
      </c>
      <c r="B273" s="26"/>
      <c r="C273" s="19">
        <f>AVERAGE(AA273:AF273)</f>
        <v>7.6502754698636783</v>
      </c>
      <c r="D273" s="19">
        <f>+[11]Autorisations!AM12/[11]Autorisations!AM$16*100</f>
        <v>8.3754128049430072</v>
      </c>
      <c r="E273" s="19">
        <f>+[11]Autorisations!AN12/[11]Autorisations!AN$16*100</f>
        <v>8.0348973295031385</v>
      </c>
      <c r="F273" s="19">
        <f>+[11]Autorisations!AO12/[11]Autorisations!AO$16*100</f>
        <v>9.7387800931277031</v>
      </c>
      <c r="H273" s="19"/>
      <c r="V273" s="19">
        <f>+[11]Autorisations!AB12/[11]Autorisations!AB$16*100</f>
        <v>6.6642004993988717</v>
      </c>
      <c r="W273" s="19">
        <f>+[11]Autorisations!AC12/[11]Autorisations!AC$16*100</f>
        <v>6.6890788588992418</v>
      </c>
      <c r="X273" s="19">
        <f>+[11]Autorisations!AD12/[11]Autorisations!AD$16*100</f>
        <v>6.502826444292988</v>
      </c>
      <c r="Y273" s="19">
        <f>+[11]Autorisations!AE12/[11]Autorisations!AE$16*100</f>
        <v>6.3075956436749516</v>
      </c>
      <c r="Z273" s="19">
        <f>+[11]Autorisations!AF12/[11]Autorisations!AF$16*100</f>
        <v>7.1224051539012168</v>
      </c>
      <c r="AA273" s="19">
        <f>+[11]Autorisations!AG12/[11]Autorisations!AG$16*100</f>
        <v>7.845960378355719</v>
      </c>
      <c r="AB273" s="19">
        <f>+[11]Autorisations!AH12/[11]Autorisations!AH$16*100</f>
        <v>7.2657884114344427</v>
      </c>
      <c r="AC273" s="19">
        <f>+[11]Autorisations!AI12/[11]Autorisations!AI$16*100</f>
        <v>6.841288636642032</v>
      </c>
      <c r="AD273" s="19">
        <f>+[11]Autorisations!AJ12/[11]Autorisations!AJ$16*100</f>
        <v>7.2913903230414467</v>
      </c>
      <c r="AE273" s="19">
        <f>+[11]Autorisations!AK12/[11]Autorisations!AK$16*100</f>
        <v>8.1519363580732591</v>
      </c>
      <c r="AF273" s="19">
        <f>+[11]Autorisations!AL12/[11]Autorisations!AL$16*100</f>
        <v>8.5052887116351652</v>
      </c>
      <c r="AG273" s="19">
        <f>+[11]Autorisations!AM12/[11]Autorisations!AM$16*100</f>
        <v>8.3754128049430072</v>
      </c>
      <c r="AH273" s="19">
        <f>+[11]Autorisations!AN12/[11]Autorisations!AN$16*100</f>
        <v>8.0348973295031385</v>
      </c>
      <c r="AI273" s="19">
        <f>+[11]Autorisations!AO12/[11]Autorisations!AO$16*100</f>
        <v>9.7387800931277031</v>
      </c>
      <c r="AJ273" s="19"/>
      <c r="AK273" s="19"/>
      <c r="AL273" s="19"/>
    </row>
    <row r="274" spans="1:38" s="17" customFormat="1" ht="32.25" customHeight="1" x14ac:dyDescent="0.4">
      <c r="A274" s="20" t="s">
        <v>76</v>
      </c>
      <c r="B274" s="26"/>
      <c r="C274" s="19">
        <f>AVERAGE(AA274:AF274)</f>
        <v>0.53775594528041737</v>
      </c>
      <c r="D274" s="19">
        <f>+[11]Autorisations!AM13/[11]Autorisations!AM$16*100</f>
        <v>0.77341003515500162</v>
      </c>
      <c r="E274" s="19">
        <f>+[11]Autorisations!AN13/[11]Autorisations!AN$16*100</f>
        <v>1.0192573678050856</v>
      </c>
      <c r="F274" s="19">
        <f>+[11]Autorisations!AO13/[11]Autorisations!AO$16*100</f>
        <v>1.1459330933588718</v>
      </c>
      <c r="H274" s="19"/>
      <c r="V274" s="19">
        <f>+[11]Autorisations!AB13/[11]Autorisations!AB$16*100</f>
        <v>0.49384999537593638</v>
      </c>
      <c r="W274" s="19">
        <f>+[11]Autorisations!AC13/[11]Autorisations!AC$16*100</f>
        <v>0.21707809048122179</v>
      </c>
      <c r="X274" s="19">
        <f>+[11]Autorisations!AD13/[11]Autorisations!AD$16*100</f>
        <v>0.26861243635488913</v>
      </c>
      <c r="Y274" s="19">
        <f>+[11]Autorisations!AE13/[11]Autorisations!AE$16*100</f>
        <v>0.36477240994135718</v>
      </c>
      <c r="Z274" s="19">
        <f>+[11]Autorisations!AF13/[11]Autorisations!AF$16*100</f>
        <v>0.38428210827713521</v>
      </c>
      <c r="AA274" s="19">
        <f>+[11]Autorisations!AG13/[11]Autorisations!AG$16*100</f>
        <v>0.43193788842515812</v>
      </c>
      <c r="AB274" s="19">
        <f>+[11]Autorisations!AH13/[11]Autorisations!AH$16*100</f>
        <v>0.45502917324134901</v>
      </c>
      <c r="AC274" s="19">
        <f>+[11]Autorisations!AI13/[11]Autorisations!AI$16*100</f>
        <v>0.4287289208280593</v>
      </c>
      <c r="AD274" s="19">
        <f>+[11]Autorisations!AJ13/[11]Autorisations!AJ$16*100</f>
        <v>0.4775217843805481</v>
      </c>
      <c r="AE274" s="19">
        <f>+[11]Autorisations!AK13/[11]Autorisations!AK$16*100</f>
        <v>0.59882856893085068</v>
      </c>
      <c r="AF274" s="19">
        <f>+[11]Autorisations!AL13/[11]Autorisations!AL$16*100</f>
        <v>0.83448933587653895</v>
      </c>
      <c r="AG274" s="19">
        <f>+[11]Autorisations!AM13/[11]Autorisations!AM$16*100</f>
        <v>0.77341003515500162</v>
      </c>
      <c r="AH274" s="19">
        <f>+[11]Autorisations!AN13/[11]Autorisations!AN$16*100</f>
        <v>1.0192573678050856</v>
      </c>
      <c r="AI274" s="19">
        <f>+[11]Autorisations!AO13/[11]Autorisations!AO$16*100</f>
        <v>1.1459330933588718</v>
      </c>
      <c r="AJ274" s="19"/>
      <c r="AK274" s="19"/>
      <c r="AL274" s="19"/>
    </row>
    <row r="275" spans="1:38" s="17" customFormat="1" ht="32.25" customHeight="1" x14ac:dyDescent="0.4">
      <c r="A275" s="20" t="s">
        <v>75</v>
      </c>
      <c r="B275" s="26"/>
      <c r="C275" s="19">
        <f>AVERAGE(AA275:AF275)</f>
        <v>0.75372780778414394</v>
      </c>
      <c r="D275" s="19">
        <f>+[11]Autorisations!AM14/[11]Autorisations!AM$16*100</f>
        <v>0.87141791839778426</v>
      </c>
      <c r="E275" s="19">
        <f>+[11]Autorisations!AN14/[11]Autorisations!AN$16*100</f>
        <v>0.97244387700819235</v>
      </c>
      <c r="F275" s="19">
        <f>+[11]Autorisations!AO14/[11]Autorisations!AO$16*100</f>
        <v>0.77936659951784948</v>
      </c>
      <c r="H275" s="19"/>
      <c r="V275" s="19">
        <f>+[11]Autorisations!AB14/[11]Autorisations!AB$16*100</f>
        <v>0.48460186812170536</v>
      </c>
      <c r="W275" s="19">
        <f>+[11]Autorisations!AC14/[11]Autorisations!AC$16*100</f>
        <v>0.40341946018634139</v>
      </c>
      <c r="X275" s="19">
        <f>+[11]Autorisations!AD14/[11]Autorisations!AD$16*100</f>
        <v>0.36082267570059734</v>
      </c>
      <c r="Y275" s="19">
        <f>+[11]Autorisations!AE14/[11]Autorisations!AE$16*100</f>
        <v>0.47647305222005026</v>
      </c>
      <c r="Z275" s="19">
        <f>+[11]Autorisations!AF14/[11]Autorisations!AF$16*100</f>
        <v>0.39370078740157477</v>
      </c>
      <c r="AA275" s="19">
        <f>+[11]Autorisations!AG14/[11]Autorisations!AG$16*100</f>
        <v>0.37908472908199531</v>
      </c>
      <c r="AB275" s="19">
        <f>+[11]Autorisations!AH14/[11]Autorisations!AH$16*100</f>
        <v>0.35595024035815198</v>
      </c>
      <c r="AC275" s="19">
        <f>+[11]Autorisations!AI14/[11]Autorisations!AI$16*100</f>
        <v>0.65738434526969092</v>
      </c>
      <c r="AD275" s="19">
        <f>+[11]Autorisations!AJ14/[11]Autorisations!AJ$16*100</f>
        <v>0.96116564291982132</v>
      </c>
      <c r="AE275" s="19">
        <f>+[11]Autorisations!AK14/[11]Autorisations!AK$16*100</f>
        <v>1.4708453536148265</v>
      </c>
      <c r="AF275" s="19">
        <f>+[11]Autorisations!AL14/[11]Autorisations!AL$16*100</f>
        <v>0.69793653546037804</v>
      </c>
      <c r="AG275" s="19">
        <f>+[11]Autorisations!AM14/[11]Autorisations!AM$16*100</f>
        <v>0.87141791839778426</v>
      </c>
      <c r="AH275" s="19">
        <f>+[11]Autorisations!AN14/[11]Autorisations!AN$16*100</f>
        <v>0.97244387700819235</v>
      </c>
      <c r="AI275" s="19">
        <f>+[11]Autorisations!AO14/[11]Autorisations!AO$16*100</f>
        <v>0.77936659951784948</v>
      </c>
      <c r="AJ275" s="19"/>
      <c r="AK275" s="19"/>
      <c r="AL275" s="19"/>
    </row>
    <row r="276" spans="1:38" s="17" customFormat="1" ht="32.25" customHeight="1" x14ac:dyDescent="0.4">
      <c r="A276" s="26" t="s">
        <v>74</v>
      </c>
      <c r="B276" s="51"/>
      <c r="C276" s="25">
        <f>+AVERAGE([11]Autorisations!$AG$26:$AL$26)</f>
        <v>5889.833333333333</v>
      </c>
      <c r="D276" s="25">
        <f>+[11]Autorisations!AM26</f>
        <v>5861</v>
      </c>
      <c r="E276" s="25">
        <f>+[11]Autorisations!AN26</f>
        <v>7154.6229999999996</v>
      </c>
      <c r="F276" s="25">
        <f>+[11]Autorisations!AO26</f>
        <v>5215</v>
      </c>
      <c r="G276" s="25"/>
    </row>
    <row r="277" spans="1:38" s="17" customFormat="1" ht="32.25" customHeight="1" x14ac:dyDescent="0.4">
      <c r="A277" s="26" t="s">
        <v>73</v>
      </c>
      <c r="B277" s="51"/>
      <c r="C277" s="25">
        <f>+AVERAGE([11]Autorisations!$AG$18:$AL$18)</f>
        <v>16562.333333333332</v>
      </c>
      <c r="D277" s="25">
        <f>+[11]Autorisations!AM18</f>
        <v>17266</v>
      </c>
      <c r="E277" s="25">
        <f>+[11]Autorisations!AN18</f>
        <v>19959.277999999998</v>
      </c>
      <c r="F277" s="25">
        <f>+[11]Autorisations!AO18</f>
        <v>14882</v>
      </c>
      <c r="G277" s="25"/>
    </row>
    <row r="278" spans="1:38" s="17" customFormat="1" ht="32.25" customHeight="1" x14ac:dyDescent="0.4">
      <c r="A278" s="26" t="s">
        <v>72</v>
      </c>
      <c r="B278" s="51"/>
      <c r="C278" s="25">
        <f>+AVERAGE([11]Autorisations!$AG$34:$AL$34)</f>
        <v>27110.333333333332</v>
      </c>
      <c r="D278" s="25">
        <f>+[11]Autorisations!AM34</f>
        <v>33085</v>
      </c>
      <c r="E278" s="25">
        <f>+[11]Autorisations!AN34</f>
        <v>39106.192627000004</v>
      </c>
      <c r="F278" s="25">
        <f>+[11]Autorisations!AO34</f>
        <v>33390</v>
      </c>
      <c r="G278" s="25"/>
    </row>
    <row r="279" spans="1:38" s="17" customFormat="1" ht="32.25" customHeight="1" x14ac:dyDescent="0.4">
      <c r="H279" s="25"/>
    </row>
    <row r="280" spans="1:38" s="17" customFormat="1" ht="29.25" customHeight="1" x14ac:dyDescent="0.4">
      <c r="A280" s="18"/>
      <c r="B280" s="18"/>
      <c r="C280" s="18"/>
      <c r="D280" s="18"/>
      <c r="E280" s="2"/>
      <c r="F280" s="2"/>
      <c r="G280" s="2"/>
      <c r="H280" s="2"/>
    </row>
    <row r="281" spans="1:38" s="17" customFormat="1" ht="29.25" customHeight="1" x14ac:dyDescent="0.4">
      <c r="A281" s="18"/>
      <c r="B281" s="18"/>
      <c r="C281" s="18"/>
      <c r="D281" s="2"/>
      <c r="E281" s="18"/>
      <c r="F281" s="18"/>
      <c r="G281" s="74"/>
      <c r="H281" s="74"/>
    </row>
    <row r="282" spans="1:38" s="17" customFormat="1" ht="29.25" customHeight="1" x14ac:dyDescent="0.4">
      <c r="A282" s="18"/>
      <c r="B282" s="18"/>
      <c r="C282" s="18"/>
      <c r="D282" s="2"/>
      <c r="E282" s="18"/>
      <c r="F282" s="18"/>
      <c r="G282" s="74"/>
      <c r="H282" s="74"/>
    </row>
    <row r="283" spans="1:38" s="17" customFormat="1" ht="29.25" customHeight="1" x14ac:dyDescent="0.4">
      <c r="A283" s="18"/>
      <c r="B283" s="18"/>
      <c r="C283" s="18"/>
      <c r="D283" s="2"/>
      <c r="E283" s="18"/>
      <c r="F283" s="18"/>
      <c r="G283" s="74"/>
      <c r="H283" s="74"/>
    </row>
    <row r="284" spans="1:38" s="17" customFormat="1" ht="29.25" customHeight="1" x14ac:dyDescent="0.4">
      <c r="A284" s="18"/>
      <c r="B284" s="18"/>
      <c r="C284" s="18"/>
      <c r="D284" s="2"/>
      <c r="E284" s="18"/>
      <c r="F284" s="18"/>
      <c r="G284" s="74"/>
      <c r="H284" s="74"/>
    </row>
    <row r="285" spans="1:38" s="17" customFormat="1" ht="29.25" customHeight="1" x14ac:dyDescent="0.4">
      <c r="A285" s="18"/>
      <c r="B285" s="18"/>
      <c r="C285" s="18"/>
      <c r="D285" s="18"/>
      <c r="E285" s="2"/>
      <c r="F285" s="18"/>
      <c r="G285" s="74"/>
      <c r="H285" s="74"/>
    </row>
    <row r="286" spans="1:38" s="17" customFormat="1" ht="29.25" customHeight="1" x14ac:dyDescent="0.4">
      <c r="A286" s="18"/>
      <c r="B286" s="18"/>
      <c r="C286" s="18"/>
      <c r="D286" s="18"/>
      <c r="E286" s="2"/>
      <c r="F286" s="18"/>
      <c r="G286" s="74"/>
      <c r="H286" s="74"/>
    </row>
    <row r="287" spans="1:38" s="17" customFormat="1" ht="29.25" customHeight="1" x14ac:dyDescent="0.4">
      <c r="A287" s="18"/>
      <c r="B287" s="18"/>
      <c r="C287" s="18"/>
      <c r="D287" s="18"/>
      <c r="E287" s="2"/>
      <c r="F287" s="18"/>
      <c r="G287" s="74"/>
      <c r="H287" s="74"/>
    </row>
    <row r="288" spans="1:38" s="17" customFormat="1" ht="29.25" customHeight="1" x14ac:dyDescent="0.4">
      <c r="A288" s="18"/>
      <c r="B288" s="18"/>
      <c r="C288" s="18"/>
      <c r="D288" s="18"/>
      <c r="E288" s="2"/>
      <c r="F288" s="18"/>
      <c r="G288" s="74"/>
      <c r="H288" s="74"/>
    </row>
    <row r="289" spans="1:8" s="17" customFormat="1" ht="29.25" customHeight="1" x14ac:dyDescent="0.4">
      <c r="A289" s="18"/>
      <c r="B289" s="18"/>
      <c r="C289" s="18"/>
      <c r="D289" s="18"/>
      <c r="E289" s="2"/>
      <c r="F289" s="18"/>
      <c r="G289" s="74"/>
      <c r="H289" s="74"/>
    </row>
    <row r="290" spans="1:8" s="17" customFormat="1" ht="29.25" customHeight="1" x14ac:dyDescent="0.4">
      <c r="A290" s="18"/>
      <c r="B290" s="18"/>
      <c r="C290" s="18"/>
      <c r="D290" s="18"/>
      <c r="E290" s="2"/>
      <c r="F290" s="18"/>
      <c r="G290" s="74"/>
      <c r="H290" s="74"/>
    </row>
    <row r="291" spans="1:8" s="17" customFormat="1" ht="29.25" customHeight="1" x14ac:dyDescent="0.4">
      <c r="A291" s="18"/>
      <c r="B291" s="18"/>
      <c r="C291" s="18"/>
      <c r="D291" s="18"/>
      <c r="E291" s="2"/>
      <c r="F291" s="18"/>
      <c r="G291" s="74"/>
      <c r="H291" s="74"/>
    </row>
    <row r="292" spans="1:8" s="17" customFormat="1" ht="29.25" customHeight="1" x14ac:dyDescent="0.4">
      <c r="A292" s="18"/>
      <c r="B292" s="18"/>
      <c r="C292" s="18"/>
      <c r="D292" s="18"/>
      <c r="E292" s="2"/>
      <c r="F292" s="18"/>
      <c r="G292" s="74"/>
      <c r="H292" s="74"/>
    </row>
    <row r="293" spans="1:8" s="17" customFormat="1" ht="6" customHeight="1" x14ac:dyDescent="0.4">
      <c r="A293" s="18"/>
      <c r="B293" s="18"/>
      <c r="C293" s="18"/>
      <c r="D293" s="18"/>
      <c r="E293" s="2"/>
      <c r="F293" s="18"/>
      <c r="G293" s="74"/>
      <c r="H293" s="74"/>
    </row>
    <row r="294" spans="1:8" s="17" customFormat="1" ht="29.25" customHeight="1" x14ac:dyDescent="0.4">
      <c r="A294" s="18"/>
      <c r="B294" s="18"/>
      <c r="C294" s="18"/>
      <c r="D294" s="18"/>
      <c r="E294" s="2"/>
      <c r="F294" s="18"/>
      <c r="G294" s="74"/>
      <c r="H294" s="74"/>
    </row>
    <row r="295" spans="1:8" s="68" customFormat="1" ht="29.25" customHeight="1" x14ac:dyDescent="0.3">
      <c r="A295" s="73"/>
      <c r="B295" s="72"/>
      <c r="C295" s="9"/>
      <c r="D295" s="70"/>
      <c r="E295" s="2"/>
      <c r="F295" s="70"/>
      <c r="G295" s="69"/>
      <c r="H295" s="69"/>
    </row>
    <row r="296" spans="1:8" s="68" customFormat="1" ht="22.5" customHeight="1" x14ac:dyDescent="0.3">
      <c r="A296" s="15" t="s">
        <v>2</v>
      </c>
      <c r="B296" s="72"/>
      <c r="C296" s="9"/>
      <c r="D296" s="70"/>
      <c r="E296" s="2"/>
      <c r="F296" s="70"/>
      <c r="G296" s="69"/>
      <c r="H296" s="69"/>
    </row>
    <row r="297" spans="1:8" s="68" customFormat="1" ht="22.5" customHeight="1" x14ac:dyDescent="0.3">
      <c r="A297" s="11" t="s">
        <v>71</v>
      </c>
      <c r="B297" s="72"/>
      <c r="C297" s="9"/>
      <c r="D297" s="70"/>
      <c r="E297" s="2"/>
      <c r="F297" s="70"/>
      <c r="G297" s="69"/>
      <c r="H297" s="69"/>
    </row>
    <row r="298" spans="1:8" s="68" customFormat="1" ht="22.5" customHeight="1" x14ac:dyDescent="0.3">
      <c r="A298" s="11" t="s">
        <v>21</v>
      </c>
      <c r="B298" s="72"/>
      <c r="C298" s="6"/>
      <c r="D298" s="71"/>
      <c r="E298" s="2"/>
      <c r="F298" s="70"/>
      <c r="G298" s="69"/>
      <c r="H298" s="69"/>
    </row>
    <row r="299" spans="1:8" s="68" customFormat="1" ht="22.5" customHeight="1" x14ac:dyDescent="0.3">
      <c r="A299" s="11" t="s">
        <v>70</v>
      </c>
      <c r="B299" s="72"/>
      <c r="C299" s="6"/>
      <c r="D299" s="71"/>
      <c r="E299" s="2"/>
      <c r="F299" s="70"/>
      <c r="G299" s="69"/>
      <c r="H299" s="69"/>
    </row>
    <row r="300" spans="1:8" s="68" customFormat="1" ht="22.5" customHeight="1" x14ac:dyDescent="0.3">
      <c r="A300" s="11" t="s">
        <v>69</v>
      </c>
      <c r="B300" s="72"/>
      <c r="C300" s="6"/>
      <c r="D300" s="71"/>
      <c r="E300" s="2"/>
      <c r="F300" s="70"/>
      <c r="G300" s="69"/>
      <c r="H300" s="69"/>
    </row>
    <row r="301" spans="1:8" s="68" customFormat="1" ht="22.5" customHeight="1" x14ac:dyDescent="0.3">
      <c r="A301" s="11" t="s">
        <v>68</v>
      </c>
      <c r="B301" s="72"/>
      <c r="C301" s="6"/>
      <c r="D301" s="71"/>
      <c r="E301" s="2"/>
      <c r="F301" s="70"/>
      <c r="G301" s="69"/>
      <c r="H301" s="69"/>
    </row>
    <row r="302" spans="1:8" ht="11.25" customHeight="1" x14ac:dyDescent="0.3">
      <c r="A302" s="48"/>
      <c r="B302" s="7"/>
      <c r="C302" s="9"/>
      <c r="D302" s="4"/>
      <c r="E302" s="2"/>
      <c r="F302" s="3"/>
      <c r="G302" s="47"/>
      <c r="H302" s="47"/>
    </row>
    <row r="303" spans="1:8" ht="30.75" thickBot="1" x14ac:dyDescent="0.45">
      <c r="A303" s="46" t="s">
        <v>67</v>
      </c>
      <c r="B303" s="45"/>
      <c r="C303" s="42"/>
      <c r="D303" s="44"/>
      <c r="E303" s="43"/>
      <c r="F303" s="42"/>
      <c r="G303" s="47"/>
      <c r="H303" s="47"/>
    </row>
    <row r="304" spans="1:8" s="38" customFormat="1" ht="32.25" customHeight="1" thickBot="1" x14ac:dyDescent="0.3">
      <c r="A304" s="39"/>
      <c r="B304" s="41"/>
      <c r="C304" s="40" t="s">
        <v>16</v>
      </c>
      <c r="D304" s="67"/>
      <c r="E304" s="67"/>
      <c r="F304" s="67"/>
      <c r="G304" s="67"/>
      <c r="H304" s="67"/>
    </row>
    <row r="305" spans="1:8" ht="33" customHeight="1" thickBot="1" x14ac:dyDescent="0.4">
      <c r="A305" s="37"/>
      <c r="B305" s="36"/>
      <c r="C305" s="35" t="s">
        <v>15</v>
      </c>
      <c r="D305" s="34">
        <v>2018</v>
      </c>
      <c r="E305" s="34">
        <v>2019</v>
      </c>
      <c r="F305" s="34">
        <v>2020</v>
      </c>
      <c r="G305" s="34">
        <v>2021</v>
      </c>
      <c r="H305" s="34">
        <v>2022</v>
      </c>
    </row>
    <row r="306" spans="1:8" s="17" customFormat="1" ht="30.75" customHeight="1" x14ac:dyDescent="0.4">
      <c r="A306" s="28" t="s">
        <v>66</v>
      </c>
      <c r="B306" s="26"/>
      <c r="C306" s="26"/>
      <c r="D306" s="18"/>
      <c r="E306" s="18"/>
      <c r="F306" s="18"/>
      <c r="G306" s="18"/>
      <c r="H306" s="18"/>
    </row>
    <row r="307" spans="1:8" s="63" customFormat="1" ht="30.75" customHeight="1" x14ac:dyDescent="0.4">
      <c r="A307" s="26" t="s">
        <v>65</v>
      </c>
      <c r="B307" s="64"/>
      <c r="C307" s="32">
        <f>+AVERAGE([10]Parc!$AH$15:$AM$15)</f>
        <v>43.55766666666667</v>
      </c>
      <c r="D307" s="32">
        <f>+[10]Parc!$AN$15</f>
        <v>45.118000000000002</v>
      </c>
      <c r="E307" s="32">
        <f>+[10]Parc!AO15</f>
        <v>46.015000000000001</v>
      </c>
      <c r="F307" s="32">
        <f>+[10]Parc!AP15</f>
        <v>46.015000000000001</v>
      </c>
      <c r="G307" s="32">
        <f>+[10]Parc!AQ15</f>
        <v>47.154000000000003</v>
      </c>
      <c r="H307" s="32"/>
    </row>
    <row r="308" spans="1:8" s="63" customFormat="1" ht="30.75" customHeight="1" x14ac:dyDescent="0.4">
      <c r="A308" s="26" t="s">
        <v>64</v>
      </c>
      <c r="B308" s="64"/>
      <c r="C308" s="25">
        <f>+AVERAGE([9]Routier!$AH$14:$AM$14)</f>
        <v>1584</v>
      </c>
      <c r="D308" s="25">
        <f>+[9]Routier!AN14</f>
        <v>1800</v>
      </c>
      <c r="E308" s="25">
        <f>+[9]Routier!AO14</f>
        <v>1800</v>
      </c>
      <c r="F308" s="25">
        <f>+[9]Routier!AP14</f>
        <v>1800</v>
      </c>
      <c r="G308" s="25">
        <f>+[9]Routier!AQ14</f>
        <v>1800</v>
      </c>
      <c r="H308" s="25"/>
    </row>
    <row r="309" spans="1:8" s="63" customFormat="1" ht="30.75" customHeight="1" x14ac:dyDescent="0.4">
      <c r="A309" s="26" t="s">
        <v>63</v>
      </c>
      <c r="B309" s="64"/>
      <c r="C309" s="25">
        <f>+AVERAGE([10]Parc!$AH$10:$AM$10)</f>
        <v>3547.8426666666674</v>
      </c>
      <c r="D309" s="25">
        <f>+[10]Parc!AN10</f>
        <v>4311.8440000000001</v>
      </c>
      <c r="E309" s="25">
        <f>+[10]Parc!AO10</f>
        <v>4552.3561250000002</v>
      </c>
      <c r="F309" s="25">
        <f>+[10]Parc!AP10</f>
        <v>4731.9930000000004</v>
      </c>
      <c r="G309" s="25">
        <f>+[10]Parc!AQ10</f>
        <v>4911.4639999999999</v>
      </c>
      <c r="H309" s="25"/>
    </row>
    <row r="310" spans="1:8" s="63" customFormat="1" ht="30.75" customHeight="1" x14ac:dyDescent="0.4">
      <c r="A310" s="20" t="s">
        <v>62</v>
      </c>
      <c r="B310" s="64"/>
      <c r="C310" s="19">
        <f>+SUM([10]Parc!$AH$8:$AM$8)/SUM([10]Parc!$AH$10:$AM$10)*100</f>
        <v>70.241403978079447</v>
      </c>
      <c r="D310" s="19">
        <f>+[10]Parc!AN8/[10]Parc!AN10*100</f>
        <v>68.417503045100887</v>
      </c>
      <c r="E310" s="19">
        <f>+[10]Parc!AO8/[10]Parc!AO10*100</f>
        <v>67.878323117789904</v>
      </c>
      <c r="F310" s="19">
        <f>+[10]Parc!AP8/[10]Parc!AP10*100</f>
        <v>67.504474330371991</v>
      </c>
      <c r="G310" s="19">
        <f>+[10]Parc!AQ8/[10]Parc!AQ10*100</f>
        <v>67.001407319691239</v>
      </c>
      <c r="H310" s="19"/>
    </row>
    <row r="311" spans="1:8" s="63" customFormat="1" ht="30.75" hidden="1" customHeight="1" x14ac:dyDescent="0.4">
      <c r="A311" s="26" t="s">
        <v>61</v>
      </c>
      <c r="B311" s="64"/>
      <c r="C311" s="66">
        <v>49.930285714285723</v>
      </c>
      <c r="D311" s="66">
        <v>49.930285714285723</v>
      </c>
      <c r="E311" s="66">
        <v>49.930285714285723</v>
      </c>
      <c r="F311" s="66">
        <v>49.930285714285723</v>
      </c>
      <c r="G311" s="66">
        <v>49.930285714285723</v>
      </c>
      <c r="H311" s="66">
        <v>49.930285714285723</v>
      </c>
    </row>
    <row r="312" spans="1:8" s="63" customFormat="1" ht="30.75" hidden="1" customHeight="1" x14ac:dyDescent="0.4">
      <c r="A312" s="20" t="s">
        <v>60</v>
      </c>
      <c r="B312" s="64"/>
      <c r="C312" s="65">
        <v>27.648285714285716</v>
      </c>
      <c r="D312" s="65">
        <v>27.648285714285716</v>
      </c>
      <c r="E312" s="65">
        <v>27.648285714285716</v>
      </c>
      <c r="F312" s="65">
        <v>27.648285714285716</v>
      </c>
      <c r="G312" s="65">
        <v>27.648285714285716</v>
      </c>
      <c r="H312" s="65">
        <v>27.648285714285716</v>
      </c>
    </row>
    <row r="313" spans="1:8" s="63" customFormat="1" ht="30.75" hidden="1" customHeight="1" x14ac:dyDescent="0.4">
      <c r="A313" s="20" t="s">
        <v>57</v>
      </c>
      <c r="B313" s="64"/>
      <c r="C313" s="65">
        <v>8.9891428571428573</v>
      </c>
      <c r="D313" s="65">
        <v>8.9891428571428573</v>
      </c>
      <c r="E313" s="65">
        <v>8.9891428571428573</v>
      </c>
      <c r="F313" s="65">
        <v>8.9891428571428573</v>
      </c>
      <c r="G313" s="65">
        <v>8.9891428571428573</v>
      </c>
      <c r="H313" s="65">
        <v>8.9891428571428573</v>
      </c>
    </row>
    <row r="314" spans="1:8" s="63" customFormat="1" ht="30.75" hidden="1" customHeight="1" x14ac:dyDescent="0.4">
      <c r="A314" s="20" t="s">
        <v>56</v>
      </c>
      <c r="B314" s="64"/>
      <c r="C314" s="65">
        <v>5.3299999999999992</v>
      </c>
      <c r="D314" s="65">
        <v>5.3299999999999992</v>
      </c>
      <c r="E314" s="65">
        <v>5.3299999999999992</v>
      </c>
      <c r="F314" s="65">
        <v>5.3299999999999992</v>
      </c>
      <c r="G314" s="65">
        <v>5.3299999999999992</v>
      </c>
      <c r="H314" s="65">
        <v>5.3299999999999992</v>
      </c>
    </row>
    <row r="315" spans="1:8" s="63" customFormat="1" ht="30.75" customHeight="1" x14ac:dyDescent="0.4">
      <c r="A315" s="26" t="s">
        <v>59</v>
      </c>
      <c r="B315" s="64"/>
      <c r="C315" s="32">
        <f>+AVERAGE([9]Routier!$AH9:$AM9)</f>
        <v>94.711166666666657</v>
      </c>
      <c r="D315" s="32">
        <f>+[9]Routier!AN9</f>
        <v>106.85</v>
      </c>
      <c r="E315" s="32">
        <f>+[9]Routier!AO9</f>
        <v>109.64</v>
      </c>
      <c r="F315" s="32">
        <f>+[9]Routier!AP9</f>
        <v>82.45</v>
      </c>
      <c r="G315" s="32">
        <f>+[9]Routier!AQ9</f>
        <v>106.67999999999999</v>
      </c>
      <c r="H315" s="65"/>
    </row>
    <row r="316" spans="1:8" s="63" customFormat="1" ht="30.75" customHeight="1" x14ac:dyDescent="0.4">
      <c r="A316" s="20" t="s">
        <v>58</v>
      </c>
      <c r="B316" s="64"/>
      <c r="C316" s="19">
        <f>+AVERAGE([9]Routier!$AH10:$AM10)</f>
        <v>61.304333333333339</v>
      </c>
      <c r="D316" s="19">
        <f>+[9]Routier!AN10</f>
        <v>66.83</v>
      </c>
      <c r="E316" s="19">
        <f>+[9]Routier!AO10</f>
        <v>70.08</v>
      </c>
      <c r="F316" s="19">
        <f>+[9]Routier!AP10</f>
        <v>52.72</v>
      </c>
      <c r="G316" s="19">
        <f>+[9]Routier!AQ10</f>
        <v>67.63</v>
      </c>
      <c r="H316" s="19"/>
    </row>
    <row r="317" spans="1:8" s="63" customFormat="1" ht="30.75" customHeight="1" x14ac:dyDescent="0.4">
      <c r="A317" s="20" t="s">
        <v>57</v>
      </c>
      <c r="B317" s="64"/>
      <c r="C317" s="19">
        <f>+AVERAGE([9]Routier!$AH11:$AM11)</f>
        <v>18.074833333333334</v>
      </c>
      <c r="D317" s="19">
        <f>+[9]Routier!AN11</f>
        <v>20.67</v>
      </c>
      <c r="E317" s="19">
        <f>+[9]Routier!AO11</f>
        <v>20.91</v>
      </c>
      <c r="F317" s="19">
        <f>+[9]Routier!AP11</f>
        <v>15.36</v>
      </c>
      <c r="G317" s="19">
        <f>+[9]Routier!AQ11</f>
        <v>20.329999999999998</v>
      </c>
      <c r="H317" s="19"/>
    </row>
    <row r="318" spans="1:8" s="63" customFormat="1" ht="30.75" customHeight="1" x14ac:dyDescent="0.4">
      <c r="A318" s="20" t="s">
        <v>56</v>
      </c>
      <c r="B318" s="64"/>
      <c r="C318" s="19">
        <f>+AVERAGE([9]Routier!$AH12:$AM12)</f>
        <v>15.332000000000001</v>
      </c>
      <c r="D318" s="19">
        <f>+[9]Routier!AN12</f>
        <v>19.350000000000001</v>
      </c>
      <c r="E318" s="19">
        <f>+[9]Routier!AO12</f>
        <v>18.64</v>
      </c>
      <c r="F318" s="19">
        <f>+[9]Routier!AP12</f>
        <v>14.37</v>
      </c>
      <c r="G318" s="19">
        <f>+[9]Routier!AQ12</f>
        <v>18.72</v>
      </c>
      <c r="H318" s="19"/>
    </row>
    <row r="319" spans="1:8" s="17" customFormat="1" ht="30.75" customHeight="1" x14ac:dyDescent="0.4">
      <c r="A319" s="26" t="s">
        <v>55</v>
      </c>
      <c r="B319" s="20"/>
      <c r="C319" s="33"/>
      <c r="D319" s="33"/>
      <c r="F319" s="33"/>
      <c r="G319" s="33"/>
      <c r="H319" s="33"/>
    </row>
    <row r="320" spans="1:8" s="17" customFormat="1" ht="30.75" customHeight="1" x14ac:dyDescent="0.4">
      <c r="A320" s="20" t="s">
        <v>52</v>
      </c>
      <c r="B320" s="20"/>
      <c r="C320" s="33">
        <f>+AVERAGE([9]Trafic!$AH$11:$AM$11)</f>
        <v>39250</v>
      </c>
      <c r="D320" s="33">
        <f>+[9]Trafic!AN11</f>
        <v>35196</v>
      </c>
      <c r="E320" s="33">
        <f>+[9]Trafic!AO11</f>
        <v>38264</v>
      </c>
      <c r="F320" s="33">
        <f>+[9]Trafic!AP11</f>
        <v>22368</v>
      </c>
      <c r="G320" s="33">
        <f>+[9]Trafic!AQ11</f>
        <v>34482</v>
      </c>
      <c r="H320" s="33">
        <f>+[9]Trafic!AR11</f>
        <v>45931</v>
      </c>
    </row>
    <row r="321" spans="1:8" s="17" customFormat="1" ht="30.75" customHeight="1" x14ac:dyDescent="0.4">
      <c r="A321" s="20" t="s">
        <v>54</v>
      </c>
      <c r="B321" s="53"/>
      <c r="C321" s="33">
        <f>+AVERAGE([9]Trafic!$AH$14:$AM$14)</f>
        <v>17524.817166666668</v>
      </c>
      <c r="D321" s="33">
        <f>+[9]Trafic!AN14</f>
        <v>22539.802</v>
      </c>
      <c r="E321" s="33">
        <f>+[9]Trafic!AO14</f>
        <v>25075</v>
      </c>
      <c r="F321" s="33">
        <f>+[9]Trafic!AP14</f>
        <v>7154.8969999999999</v>
      </c>
      <c r="G321" s="33">
        <f>+[9]Trafic!AQ14</f>
        <v>9938.607</v>
      </c>
      <c r="H321" s="33">
        <f>+[9]Trafic!AR14</f>
        <v>20592.349999999999</v>
      </c>
    </row>
    <row r="322" spans="1:8" s="17" customFormat="1" ht="30.75" customHeight="1" x14ac:dyDescent="0.4">
      <c r="A322" s="20" t="s">
        <v>51</v>
      </c>
      <c r="B322" s="53"/>
      <c r="C322" s="33">
        <f>+AVERAGE([9]Trafic!$AH$12:$AM$12)</f>
        <v>3361.3378333333335</v>
      </c>
      <c r="D322" s="33">
        <f>+[9]Trafic!AN12</f>
        <v>2573.2979999999998</v>
      </c>
      <c r="E322" s="33">
        <f>+[9]Trafic!AO12</f>
        <v>2544.8739999999998</v>
      </c>
      <c r="F322" s="33">
        <f>+[9]Trafic!AP12</f>
        <v>330</v>
      </c>
      <c r="G322" s="33">
        <f>+[9]Trafic!AQ12</f>
        <v>723</v>
      </c>
      <c r="H322" s="33">
        <f>+[9]Trafic!AR12</f>
        <v>3566</v>
      </c>
    </row>
    <row r="323" spans="1:8" s="17" customFormat="1" ht="30.75" customHeight="1" x14ac:dyDescent="0.4">
      <c r="A323" s="26" t="s">
        <v>53</v>
      </c>
      <c r="B323" s="20"/>
      <c r="C323" s="33"/>
      <c r="D323" s="33"/>
      <c r="E323" s="33"/>
      <c r="F323" s="33"/>
      <c r="G323" s="33"/>
      <c r="H323" s="33"/>
    </row>
    <row r="324" spans="1:8" s="17" customFormat="1" ht="30.75" customHeight="1" x14ac:dyDescent="0.4">
      <c r="A324" s="20" t="s">
        <v>52</v>
      </c>
      <c r="B324" s="20"/>
      <c r="C324" s="33">
        <f>+AVERAGE([9]Trafic!$AH$21:$AM$21)</f>
        <v>32874.333333333336</v>
      </c>
      <c r="D324" s="33">
        <f>+[9]Trafic!AN21</f>
        <v>26805</v>
      </c>
      <c r="E324" s="33">
        <f>+[9]Trafic!AO21</f>
        <v>24737</v>
      </c>
      <c r="F324" s="33">
        <f>+[9]Trafic!AP21</f>
        <v>24888</v>
      </c>
      <c r="G324" s="33">
        <f>+[9]Trafic!AQ21</f>
        <v>25487</v>
      </c>
      <c r="H324" s="33">
        <f>+[9]Trafic!AR21</f>
        <v>20886</v>
      </c>
    </row>
    <row r="325" spans="1:8" s="17" customFormat="1" ht="30.75" customHeight="1" x14ac:dyDescent="0.4">
      <c r="A325" s="20" t="s">
        <v>51</v>
      </c>
      <c r="B325" s="20"/>
      <c r="C325" s="33">
        <f>+AVERAGE([9]Trafic!$AH$23:$AM$23)</f>
        <v>74573.352499999994</v>
      </c>
      <c r="D325" s="33">
        <f>+[9]Trafic!AN23</f>
        <v>85313.18</v>
      </c>
      <c r="E325" s="33">
        <f>+[9]Trafic!AO23</f>
        <v>88005.735000000001</v>
      </c>
      <c r="F325" s="33">
        <f>+[9]Trafic!AP23</f>
        <v>92512</v>
      </c>
      <c r="G325" s="33">
        <f>+[9]Trafic!AQ23</f>
        <v>91041</v>
      </c>
      <c r="H325" s="33">
        <f>+[9]Trafic!AR23</f>
        <v>87201</v>
      </c>
    </row>
    <row r="326" spans="1:8" s="17" customFormat="1" ht="30.75" customHeight="1" x14ac:dyDescent="0.4">
      <c r="A326" s="20" t="s">
        <v>50</v>
      </c>
      <c r="B326" s="20"/>
      <c r="C326" s="33">
        <f>+AVERAGE([9]Trafic!$AH$25:$AM$25)</f>
        <v>62.28093366666667</v>
      </c>
      <c r="D326" s="33">
        <f>+[9]Trafic!AN25</f>
        <v>88.230699999999999</v>
      </c>
      <c r="E326" s="33">
        <f>+[9]Trafic!AO25</f>
        <v>96.120999999999995</v>
      </c>
      <c r="F326" s="33">
        <f>+[9]Trafic!AP25</f>
        <v>61.405000000000001</v>
      </c>
      <c r="G326" s="33">
        <f>+[9]Trafic!AQ25</f>
        <v>70.016999999999996</v>
      </c>
      <c r="H326" s="33">
        <f>+[9]Trafic!AR25</f>
        <v>69.751000000000005</v>
      </c>
    </row>
    <row r="327" spans="1:8" s="17" customFormat="1" ht="30.75" customHeight="1" x14ac:dyDescent="0.4">
      <c r="A327" s="26" t="s">
        <v>49</v>
      </c>
      <c r="B327" s="20"/>
      <c r="C327" s="25">
        <f>+AVERAGE([8]Feuil1!$AH$22:$AM$22)</f>
        <v>75338.5</v>
      </c>
      <c r="D327" s="25">
        <f>+[8]Feuil1!AN22</f>
        <v>94944</v>
      </c>
      <c r="E327" s="25">
        <f>+[8]Feuil1!AO22</f>
        <v>101644</v>
      </c>
      <c r="F327" s="25">
        <f>+[8]Feuil1!AP22</f>
        <v>84585</v>
      </c>
      <c r="G327" s="25">
        <f>+[8]Feuil1!AQ22</f>
        <v>114626</v>
      </c>
      <c r="H327" s="25"/>
    </row>
    <row r="328" spans="1:8" s="17" customFormat="1" ht="30.75" customHeight="1" x14ac:dyDescent="0.4">
      <c r="A328" s="26" t="s">
        <v>48</v>
      </c>
      <c r="B328" s="20"/>
      <c r="C328" s="32">
        <f>+AVERAGE([8]Feuil1!$AH$24:$AM$24)/AVERAGE([8]Feuil1!$AH$23:$AM$23)*100</f>
        <v>4.3483743371582921</v>
      </c>
      <c r="D328" s="32">
        <f>+[8]Feuil1!AN24/[8]Feuil1!AN23*100</f>
        <v>3.6705847657566562</v>
      </c>
      <c r="E328" s="32">
        <f>+[8]Feuil1!AO24/[8]Feuil1!AO23*100</f>
        <v>3.3292668529377041</v>
      </c>
      <c r="F328" s="32">
        <f>+[8]Feuil1!AP24/[8]Feuil1!AP23*100</f>
        <v>3.2251581249630545</v>
      </c>
      <c r="G328" s="32">
        <f>+[8]Feuil1!AQ24/[8]Feuil1!AQ23*100</f>
        <v>2.89463123549631</v>
      </c>
      <c r="H328" s="32"/>
    </row>
    <row r="329" spans="1:8" s="17" customFormat="1" ht="30.75" customHeight="1" x14ac:dyDescent="0.4">
      <c r="A329" s="26" t="s">
        <v>47</v>
      </c>
      <c r="B329" s="20"/>
      <c r="C329" s="25">
        <f>+AVERAGE([8]Feuil1!$AH$26:$AM$26)</f>
        <v>115437</v>
      </c>
      <c r="D329" s="25">
        <f>+[8]Feuil1!AN26</f>
        <v>141734</v>
      </c>
      <c r="E329" s="25">
        <f>+[8]Feuil1!AO26</f>
        <v>152964</v>
      </c>
      <c r="F329" s="25">
        <f>+[8]Feuil1!AP26</f>
        <v>123348</v>
      </c>
      <c r="G329" s="25">
        <f>+[8]Feuil1!AQ26</f>
        <v>168839</v>
      </c>
      <c r="H329" s="25"/>
    </row>
    <row r="330" spans="1:8" s="17" customFormat="1" ht="30.75" customHeight="1" x14ac:dyDescent="0.4">
      <c r="A330" s="62" t="s">
        <v>46</v>
      </c>
      <c r="B330" s="20"/>
      <c r="C330" s="33">
        <f>+AVERAGE([8]Feuil1!$AH$28:$AM$28)</f>
        <v>3795.8333333333335</v>
      </c>
      <c r="D330" s="33">
        <f>+[8]Feuil1!AN28</f>
        <v>3736</v>
      </c>
      <c r="E330" s="33">
        <f>+[8]Feuil1!AO28</f>
        <v>3622</v>
      </c>
      <c r="F330" s="33">
        <f>+[8]Feuil1!AP28</f>
        <v>3005</v>
      </c>
      <c r="G330" s="33">
        <f>+[8]Feuil1!AQ28</f>
        <v>3685</v>
      </c>
      <c r="H330" s="33"/>
    </row>
    <row r="331" spans="1:8" s="17" customFormat="1" ht="30.75" customHeight="1" x14ac:dyDescent="0.4">
      <c r="A331" s="62" t="s">
        <v>45</v>
      </c>
      <c r="B331" s="20"/>
      <c r="C331" s="33">
        <f>+AVERAGE([8]Feuil1!$AH29:$AM29)</f>
        <v>10649.878150809825</v>
      </c>
      <c r="D331" s="33">
        <f>+[8]Feuil1!AN29</f>
        <v>8725</v>
      </c>
      <c r="E331" s="33">
        <f>+[8]Feuil1!AO29</f>
        <v>10003</v>
      </c>
      <c r="F331" s="33">
        <f>+[8]Feuil1!AP29</f>
        <v>8221</v>
      </c>
      <c r="G331" s="33">
        <f>+[8]Feuil1!AQ29</f>
        <v>10743</v>
      </c>
      <c r="H331" s="33"/>
    </row>
    <row r="332" spans="1:8" s="17" customFormat="1" ht="30.75" customHeight="1" x14ac:dyDescent="0.4">
      <c r="A332" s="62" t="s">
        <v>44</v>
      </c>
      <c r="B332" s="20"/>
      <c r="C332" s="33">
        <f>+AVERAGE([8]Feuil1!$AH30:$AM30)</f>
        <v>100806.66666666667</v>
      </c>
      <c r="D332" s="33">
        <f>+[8]Feuil1!AN30</f>
        <v>128249</v>
      </c>
      <c r="E332" s="33">
        <f>+[8]Feuil1!AO30</f>
        <v>139339</v>
      </c>
      <c r="F332" s="33">
        <f>+[8]Feuil1!AP30</f>
        <v>112121</v>
      </c>
      <c r="G332" s="33">
        <f>+[8]Feuil1!AQ30</f>
        <v>154411</v>
      </c>
      <c r="H332" s="33"/>
    </row>
    <row r="333" spans="1:8" s="17" customFormat="1" ht="30.75" customHeight="1" x14ac:dyDescent="0.4">
      <c r="A333" s="26"/>
      <c r="B333" s="20"/>
      <c r="C333" s="61"/>
      <c r="D333" s="18"/>
      <c r="E333" s="18"/>
      <c r="F333" s="18"/>
      <c r="G333" s="18"/>
      <c r="H333" s="18"/>
    </row>
    <row r="334" spans="1:8" s="17" customFormat="1" ht="30.75" customHeight="1" x14ac:dyDescent="0.4">
      <c r="A334" s="28" t="s">
        <v>43</v>
      </c>
      <c r="B334" s="29"/>
      <c r="C334" s="18"/>
      <c r="D334" s="18"/>
      <c r="E334" s="18"/>
      <c r="F334" s="18"/>
      <c r="G334" s="18"/>
      <c r="H334" s="18"/>
    </row>
    <row r="335" spans="1:8" s="17" customFormat="1" ht="11.25" customHeight="1" x14ac:dyDescent="0.4">
      <c r="A335" s="26"/>
      <c r="B335" s="18"/>
      <c r="C335" s="18"/>
      <c r="D335" s="18"/>
      <c r="E335" s="18"/>
      <c r="F335" s="18"/>
      <c r="G335" s="18"/>
      <c r="H335" s="18"/>
    </row>
    <row r="336" spans="1:8" s="17" customFormat="1" ht="30.75" customHeight="1" x14ac:dyDescent="0.4">
      <c r="A336" s="29" t="s">
        <v>42</v>
      </c>
      <c r="B336" s="26"/>
      <c r="C336" s="25">
        <f>+AVERAGE([7]Capacité!$AH$15:$AM$15)</f>
        <v>225735.16666666666</v>
      </c>
      <c r="D336" s="25">
        <f>+[7]Capacité!AN15</f>
        <v>261147</v>
      </c>
      <c r="E336" s="25">
        <f>+[7]Capacité!AO15</f>
        <v>268834</v>
      </c>
      <c r="F336" s="25">
        <f>+[7]Capacité!AP15</f>
        <v>276267</v>
      </c>
      <c r="G336" s="25">
        <f>+[7]Capacité!AQ15</f>
        <v>282429</v>
      </c>
      <c r="H336" s="25"/>
    </row>
    <row r="337" spans="1:32" s="17" customFormat="1" ht="30.75" customHeight="1" x14ac:dyDescent="0.4">
      <c r="A337" s="29" t="s">
        <v>41</v>
      </c>
      <c r="B337" s="26"/>
      <c r="C337" s="32">
        <f>+AVERAGE('[6]par catégorie'!$AH$16:$AM$16)</f>
        <v>41.666666666666664</v>
      </c>
      <c r="D337" s="32">
        <f>+'[6]par catégorie'!AN16</f>
        <v>46</v>
      </c>
      <c r="E337" s="32">
        <f>+'[6]par catégorie'!AO16</f>
        <v>48</v>
      </c>
      <c r="F337" s="32">
        <f>+'[6]par catégorie'!AP16</f>
        <v>26</v>
      </c>
      <c r="G337" s="32">
        <f>+'[6]par catégorie'!AQ16</f>
        <v>25</v>
      </c>
      <c r="H337" s="32">
        <f>+'[6]par catégorie'!AR16</f>
        <v>41</v>
      </c>
      <c r="V337" s="59">
        <v>2008</v>
      </c>
      <c r="W337" s="59">
        <v>2009</v>
      </c>
      <c r="X337" s="59">
        <v>2010</v>
      </c>
      <c r="Y337" s="59">
        <v>2011</v>
      </c>
      <c r="Z337" s="59">
        <v>2012</v>
      </c>
      <c r="AA337" s="59">
        <v>2013</v>
      </c>
      <c r="AB337" s="59">
        <v>2014</v>
      </c>
      <c r="AC337" s="59">
        <v>2015</v>
      </c>
      <c r="AD337" s="59">
        <v>2016</v>
      </c>
      <c r="AE337" s="59">
        <v>2017</v>
      </c>
      <c r="AF337" s="59">
        <v>2018</v>
      </c>
    </row>
    <row r="338" spans="1:32" s="17" customFormat="1" ht="30.75" customHeight="1" x14ac:dyDescent="0.4">
      <c r="A338" s="26" t="s">
        <v>40</v>
      </c>
      <c r="B338" s="30"/>
      <c r="C338" s="25">
        <f>+AVERAGE([5]Pays!$AD$7:$AI$7)/1000</f>
        <v>5315.3905000000004</v>
      </c>
      <c r="D338" s="25">
        <f>+[5]Pays!AJ7/1000</f>
        <v>6679.1009999999997</v>
      </c>
      <c r="E338" s="25">
        <f>+[5]Pays!AK7/1000</f>
        <v>7043.0060000000003</v>
      </c>
      <c r="F338" s="25">
        <f>+[5]Pays!AL7/1000</f>
        <v>1407.9939999999999</v>
      </c>
      <c r="G338" s="25">
        <f>+[5]Pays!AM7/1000</f>
        <v>1284.335</v>
      </c>
      <c r="H338" s="25">
        <f>+[5]Pays!AN7/1000</f>
        <v>5064.7740000000003</v>
      </c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59">
        <f>[5]Nationalité!AD17</f>
        <v>4211.8549999999996</v>
      </c>
      <c r="W338" s="59">
        <f>[5]Nationalité!AE17</f>
        <v>4292.9579999999996</v>
      </c>
      <c r="X338" s="59">
        <f>[5]Nationalité!AF17</f>
        <v>4910.4350000000004</v>
      </c>
      <c r="Y338" s="59">
        <f>[5]Nationalité!AG17</f>
        <v>4933.8829999999998</v>
      </c>
      <c r="Z338" s="59">
        <f>[5]Nationalité!AH17</f>
        <v>5011.7290000000003</v>
      </c>
      <c r="AA338" s="59">
        <f>[5]Nationalité!AI17</f>
        <v>5323.3329999999996</v>
      </c>
      <c r="AB338" s="59">
        <f>[5]Nationalité!AJ17</f>
        <v>5437.4530000000004</v>
      </c>
      <c r="AC338" s="59">
        <f>[5]Nationalité!AK17</f>
        <v>5151.7039999999997</v>
      </c>
      <c r="AD338" s="59">
        <f>[5]Nationalité!AL17</f>
        <v>5103.2039999999997</v>
      </c>
      <c r="AE338" s="59">
        <f>[5]Nationalité!AM17</f>
        <v>5864.92</v>
      </c>
      <c r="AF338" s="59">
        <f>[5]Nationalité!AN17</f>
        <v>6679.1009999999997</v>
      </c>
    </row>
    <row r="339" spans="1:32" s="17" customFormat="1" ht="30.75" customHeight="1" x14ac:dyDescent="0.4">
      <c r="A339" s="30" t="s">
        <v>39</v>
      </c>
      <c r="B339" s="30"/>
      <c r="C339" s="32">
        <f>+(([5]Pays!$AI$7/[5]Pays!$AD$7)^(1/([5]Pays!$AI$3-[5]Pays!$AD$3))-1)*100</f>
        <v>3.1941082972391399</v>
      </c>
      <c r="D339" s="32">
        <f>+([5]Pays!AJ7/[5]Pays!AI7-1)*100</f>
        <v>13.882218342279184</v>
      </c>
      <c r="E339" s="32">
        <f>+([5]Pays!AK7/[5]Pays!AJ7-1)*100</f>
        <v>5.4484128926931996</v>
      </c>
      <c r="F339" s="32">
        <f>+([5]Pays!AL7/[5]Pays!AK7-1)*100</f>
        <v>-80.008621318794852</v>
      </c>
      <c r="G339" s="32">
        <f>+([5]Pays!AM7/[5]Pays!AL7-1)*100</f>
        <v>-8.7826368578275193</v>
      </c>
      <c r="H339" s="32">
        <f>+([5]Pays!AN7/[5]Pays!AM7-1)*100</f>
        <v>294.34991649374967</v>
      </c>
      <c r="V339" s="58">
        <f>([5]Nationalité!AD17/[5]Nationalité!AC17-1)*100</f>
        <v>4.489247805327734</v>
      </c>
      <c r="W339" s="58">
        <f>([5]Nationalité!AE17/[5]Nationalité!AD17-1)*100</f>
        <v>1.9255886064453831</v>
      </c>
      <c r="X339" s="58">
        <f>([5]Nationalité!AF17/[5]Nationalité!AE17-1)*100</f>
        <v>14.38348569913801</v>
      </c>
      <c r="Y339" s="58">
        <f>([5]Nationalité!AG17/[5]Nationalité!AF17-1)*100</f>
        <v>0.47751370296114093</v>
      </c>
      <c r="Z339" s="58">
        <f>([5]Nationalité!AH17/[5]Nationalité!AG17-1)*100</f>
        <v>1.5777836645092913</v>
      </c>
      <c r="AA339" s="58">
        <f>([5]Nationalité!AI17/[5]Nationalité!AH17-1)*100</f>
        <v>6.2174950002284568</v>
      </c>
      <c r="AB339" s="58">
        <f>([5]Nationalité!AJ17/[5]Nationalité!AI17-1)*100</f>
        <v>2.1437697021772006</v>
      </c>
      <c r="AC339" s="58">
        <f>([5]Nationalité!AK17/[5]Nationalité!AJ17-1)*100</f>
        <v>-5.2551994472412105</v>
      </c>
      <c r="AD339" s="58">
        <f>([5]Nationalité!AL17/[5]Nationalité!AK17-1)*100</f>
        <v>-0.94143607629630921</v>
      </c>
      <c r="AE339" s="58">
        <f>([5]Nationalité!AM17/[5]Nationalité!AL17-1)*100</f>
        <v>14.926230658229622</v>
      </c>
      <c r="AF339" s="58">
        <f>([5]Nationalité!AN17/[5]Nationalité!AM17-1)*100</f>
        <v>13.882218342279163</v>
      </c>
    </row>
    <row r="340" spans="1:32" ht="30.75" customHeight="1" x14ac:dyDescent="0.35">
      <c r="A340" s="30" t="s">
        <v>38</v>
      </c>
      <c r="B340" s="57"/>
      <c r="C340" s="56"/>
      <c r="D340" s="56"/>
      <c r="E340" s="56"/>
      <c r="F340" s="56"/>
      <c r="G340" s="56"/>
      <c r="H340" s="56"/>
    </row>
    <row r="341" spans="1:32" s="17" customFormat="1" ht="30.75" customHeight="1" x14ac:dyDescent="0.4">
      <c r="A341" s="52" t="s">
        <v>37</v>
      </c>
      <c r="B341" s="52"/>
      <c r="C341" s="19">
        <f>+SUM([5]Pays!$AD$9:$AI$9)/SUM([5]Pays!$AD$7:$AI$7)*100</f>
        <v>31.284286638959074</v>
      </c>
      <c r="D341" s="19">
        <f>+[5]Pays!AJ9/[5]Pays!AJ7*100</f>
        <v>27.614449908752693</v>
      </c>
      <c r="E341" s="19">
        <f>+[5]Pays!AK9/[5]Pays!AK7*100</f>
        <v>28.266524265349197</v>
      </c>
      <c r="F341" s="19">
        <f>+[5]Pays!AL9/[5]Pays!AL7*100</f>
        <v>29.274201452563009</v>
      </c>
      <c r="G341" s="19">
        <f>+[5]Pays!AM9/[5]Pays!AM7*100</f>
        <v>38.4582682867009</v>
      </c>
      <c r="H341" s="19">
        <f>+[5]Pays!AN9/[5]Pays!AN7*100</f>
        <v>29.723794191014246</v>
      </c>
      <c r="V341" s="55">
        <f>+[5]Nationalité!AD9/[5]Nationalité!AD$17*100</f>
        <v>40.529766575535014</v>
      </c>
      <c r="W341" s="55">
        <f>+[5]Nationalité!AE9/[5]Nationalité!AE$17*100</f>
        <v>39.581123318700065</v>
      </c>
      <c r="X341" s="55">
        <f>+[5]Nationalité!AF9/[5]Nationalité!AF$17*100</f>
        <v>37.215704922272671</v>
      </c>
      <c r="Y341" s="55">
        <f>+[5]Nationalité!AG9/[5]Nationalité!AG$17*100</f>
        <v>35.995198913310269</v>
      </c>
      <c r="Z341" s="55">
        <f>+[5]Nationalité!AH9/[5]Nationalité!AH$17*100</f>
        <v>35.311366596238543</v>
      </c>
      <c r="AA341" s="55">
        <f>+[5]Nationalité!AI9/[5]Nationalité!AI$17*100</f>
        <v>33.476320192631199</v>
      </c>
      <c r="AB341" s="55">
        <f>+[5]Nationalité!AJ9/[5]Nationalité!AJ$17*100</f>
        <v>33.070446769838746</v>
      </c>
      <c r="AC341" s="55">
        <f>+[5]Nationalité!AK9/[5]Nationalité!AK$17*100</f>
        <v>30.350501503968395</v>
      </c>
      <c r="AD341" s="55">
        <f>+[5]Nationalité!AL9/[5]Nationalité!AL$17*100</f>
        <v>28.408760457155939</v>
      </c>
      <c r="AE341" s="55">
        <f>+[5]Nationalité!AM9/[5]Nationalité!AM$17*100</f>
        <v>27.519744514844191</v>
      </c>
      <c r="AF341" s="55">
        <f>+[5]Nationalité!AN9/[5]Nationalité!AN$17*100</f>
        <v>27.614449908752693</v>
      </c>
    </row>
    <row r="342" spans="1:32" s="17" customFormat="1" ht="30.75" customHeight="1" x14ac:dyDescent="0.4">
      <c r="A342" s="52" t="s">
        <v>36</v>
      </c>
      <c r="B342" s="52"/>
      <c r="C342" s="19">
        <f>+SUM([5]Pays!$AD$10:$AI$10)/SUM([5]Pays!$AD$7:$AI$7)*100</f>
        <v>12.701550337646877</v>
      </c>
      <c r="D342" s="19">
        <f>+[5]Pays!AJ10/[5]Pays!AJ7*100</f>
        <v>12.188301988546064</v>
      </c>
      <c r="E342" s="19">
        <f>+[5]Pays!AK10/[5]Pays!AK7*100</f>
        <v>12.506279279046476</v>
      </c>
      <c r="F342" s="19">
        <f>+[5]Pays!AL10/[5]Pays!AL7*100</f>
        <v>14.214265117607036</v>
      </c>
      <c r="G342" s="19">
        <f>+[5]Pays!AM10/[5]Pays!AM7*100</f>
        <v>7.7468106062670561</v>
      </c>
      <c r="H342" s="19">
        <f>+[5]Pays!AN10/[5]Pays!AN7*100</f>
        <v>17.802808180582193</v>
      </c>
      <c r="V342" s="55">
        <f>+[5]Nationalité!AD10/[5]Nationalité!AD$17*100</f>
        <v>14.133416273827093</v>
      </c>
      <c r="W342" s="55">
        <f>+[5]Nationalité!AE10/[5]Nationalité!AE$17*100</f>
        <v>14.973754693150971</v>
      </c>
      <c r="X342" s="55">
        <f>+[5]Nationalité!AF10/[5]Nationalité!AF$17*100</f>
        <v>14.795837843286794</v>
      </c>
      <c r="Y342" s="55">
        <f>+[5]Nationalité!AG10/[5]Nationalité!AG$17*100</f>
        <v>14.050900680052608</v>
      </c>
      <c r="Z342" s="55">
        <f>+[5]Nationalité!AH10/[5]Nationalité!AH$17*100</f>
        <v>14.583430189461561</v>
      </c>
      <c r="AA342" s="55">
        <f>+[5]Nationalité!AI10/[5]Nationalité!AI$17*100</f>
        <v>12.827189281602333</v>
      </c>
      <c r="AB342" s="55">
        <f>+[5]Nationalité!AJ10/[5]Nationalité!AJ$17*100</f>
        <v>12.575023636985918</v>
      </c>
      <c r="AC342" s="55">
        <f>+[5]Nationalité!AK10/[5]Nationalité!AK$17*100</f>
        <v>12.168711556409297</v>
      </c>
      <c r="AD342" s="55">
        <f>+[5]Nationalité!AL10/[5]Nationalité!AL$17*100</f>
        <v>12.065361290671509</v>
      </c>
      <c r="AE342" s="55">
        <f>+[5]Nationalité!AM10/[5]Nationalité!AM$17*100</f>
        <v>12.118306814074192</v>
      </c>
      <c r="AF342" s="55">
        <f>+[5]Nationalité!AN10/[5]Nationalité!AN$17*100</f>
        <v>12.188301988546064</v>
      </c>
    </row>
    <row r="343" spans="1:32" s="17" customFormat="1" ht="30.75" customHeight="1" x14ac:dyDescent="0.4">
      <c r="A343" s="52" t="s">
        <v>35</v>
      </c>
      <c r="B343" s="52"/>
      <c r="C343" s="19">
        <f>+SUM([5]Pays!$AD$11:$AI$11)/SUM([5]Pays!$AD$7:$AI$7)*100</f>
        <v>4.9231033292223145</v>
      </c>
      <c r="D343" s="19">
        <f>+[5]Pays!AJ11/[5]Pays!AJ7*100</f>
        <v>5.9039083253869045</v>
      </c>
      <c r="E343" s="19">
        <f>+[5]Pays!AK11/[5]Pays!AK7*100</f>
        <v>5.8694256401315013</v>
      </c>
      <c r="F343" s="19">
        <f>+[5]Pays!AL11/[5]Pays!AL7*100</f>
        <v>5.6162881375914955</v>
      </c>
      <c r="G343" s="19">
        <f>+[5]Pays!AM11/[5]Pays!AM7*100</f>
        <v>3.0283376221935865</v>
      </c>
      <c r="H343" s="19">
        <f>+[5]Pays!AN11/[5]Pays!AN7*100</f>
        <v>3.3805851949168906</v>
      </c>
      <c r="V343" s="55">
        <f>+[5]Nationalité!AD11/[5]Nationalité!AD$17*100</f>
        <v>4.2507873609134226</v>
      </c>
      <c r="W343" s="55">
        <f>+[5]Nationalité!AE11/[5]Nationalité!AE$17*100</f>
        <v>4.0620942483015208</v>
      </c>
      <c r="X343" s="55">
        <f>+[5]Nationalité!AF11/[5]Nationalité!AF$17*100</f>
        <v>4.1832750051675669</v>
      </c>
      <c r="Y343" s="55">
        <f>+[5]Nationalité!AG11/[5]Nationalité!AG$17*100</f>
        <v>4.4503690095610295</v>
      </c>
      <c r="Z343" s="55">
        <f>+[5]Nationalité!AH11/[5]Nationalité!AH$17*100</f>
        <v>3.9776492304352442</v>
      </c>
      <c r="AA343" s="55">
        <f>+[5]Nationalité!AI11/[5]Nationalité!AI$17*100</f>
        <v>4.4681029723295538</v>
      </c>
      <c r="AB343" s="55">
        <f>+[5]Nationalité!AJ11/[5]Nationalité!AJ$17*100</f>
        <v>4.6919761881160165</v>
      </c>
      <c r="AC343" s="55">
        <f>+[5]Nationalité!AK11/[5]Nationalité!AK$17*100</f>
        <v>5.557928017603496</v>
      </c>
      <c r="AD343" s="55">
        <f>+[5]Nationalité!AL11/[5]Nationalité!AL$17*100</f>
        <v>5.0998353191446002</v>
      </c>
      <c r="AE343" s="55">
        <f>+[5]Nationalité!AM11/[5]Nationalité!AM$17*100</f>
        <v>5.6468800938461223</v>
      </c>
      <c r="AF343" s="55">
        <f>+[5]Nationalité!AN11/[5]Nationalité!AN$17*100</f>
        <v>5.9039083253869045</v>
      </c>
    </row>
    <row r="344" spans="1:32" s="17" customFormat="1" ht="30.75" customHeight="1" x14ac:dyDescent="0.4">
      <c r="A344" s="52" t="s">
        <v>34</v>
      </c>
      <c r="B344" s="52"/>
      <c r="C344" s="19">
        <f>+SUM([5]Pays!$AD$13:$AI$13)/SUM([5]Pays!$AD$7:$AI$7)*100</f>
        <v>4.3236522321360962</v>
      </c>
      <c r="D344" s="19">
        <f>+[5]Pays!AJ13/[5]Pays!AJ7*100</f>
        <v>4.5740437223512567</v>
      </c>
      <c r="E344" s="19">
        <f>+[5]Pays!AK13/[5]Pays!AK7*100</f>
        <v>4.9966732954650332</v>
      </c>
      <c r="F344" s="19">
        <f>+[5]Pays!AL13/[5]Pays!AL7*100</f>
        <v>4.0557701240204151</v>
      </c>
      <c r="G344" s="19">
        <f>+[5]Pays!AM13/[5]Pays!AM7*100</f>
        <v>4.0945703418500621</v>
      </c>
      <c r="H344" s="19">
        <f>+[5]Pays!AN13/[5]Pays!AN7*100</f>
        <v>4.7362231759995606</v>
      </c>
      <c r="V344" s="55">
        <f>+[5]Nationalité!AD12/[5]Nationalité!AD$17*100</f>
        <v>3.8775076539909379</v>
      </c>
      <c r="W344" s="55">
        <f>+[5]Nationalité!AE12/[5]Nationalité!AE$17*100</f>
        <v>4.1443452276961477</v>
      </c>
      <c r="X344" s="55">
        <f>+[5]Nationalité!AF12/[5]Nationalité!AF$17*100</f>
        <v>4.7495588476377337</v>
      </c>
      <c r="Y344" s="55">
        <f>+[5]Nationalité!AG12/[5]Nationalité!AG$17*100</f>
        <v>4.2847590832616014</v>
      </c>
      <c r="Z344" s="55">
        <f>+[5]Nationalité!AH12/[5]Nationalité!AH$17*100</f>
        <v>3.9145372784522072</v>
      </c>
      <c r="AA344" s="55">
        <f>+[5]Nationalité!AI12/[5]Nationalité!AI$17*100</f>
        <v>4.4128744153334019</v>
      </c>
      <c r="AB344" s="55">
        <f>+[5]Nationalité!AJ12/[5]Nationalité!AJ$17*100</f>
        <v>4.6751484564556227</v>
      </c>
      <c r="AC344" s="55">
        <f>+[5]Nationalité!AK12/[5]Nationalité!AK$17*100</f>
        <v>4.4249630801769673</v>
      </c>
      <c r="AD344" s="55">
        <f>+[5]Nationalité!AL12/[5]Nationalité!AL$17*100</f>
        <v>4.2979665323980782</v>
      </c>
      <c r="AE344" s="55">
        <f>+[5]Nationalité!AM12/[5]Nationalité!AM$17*100</f>
        <v>4.1997503802268401</v>
      </c>
      <c r="AF344" s="55">
        <f>+[5]Nationalité!AN12/[5]Nationalité!AN$17*100</f>
        <v>4.5740437223512567</v>
      </c>
    </row>
    <row r="345" spans="1:32" s="17" customFormat="1" ht="30.75" customHeight="1" x14ac:dyDescent="0.4">
      <c r="A345" s="52" t="s">
        <v>33</v>
      </c>
      <c r="B345" s="52"/>
      <c r="C345" s="19">
        <f>+SUM([5]Pays!$AD$34:$AI$34)/SUM([5]Pays!$AD$7:$AI$7)*100</f>
        <v>3.4528726848322178</v>
      </c>
      <c r="D345" s="19">
        <f>+[5]Pays!AJ34/[5]Pays!AJ7*100</f>
        <v>4.5658839415663879</v>
      </c>
      <c r="E345" s="19">
        <f>+[5]Pays!AK34/[5]Pays!AK7*100</f>
        <v>4.9226424058136544</v>
      </c>
      <c r="F345" s="19">
        <f>+[5]Pays!AL34/[5]Pays!AL7*100</f>
        <v>3.8425589881775064</v>
      </c>
      <c r="G345" s="19">
        <f>+[5]Pays!AM34/[5]Pays!AM7*100</f>
        <v>5.2160067272168087</v>
      </c>
      <c r="H345" s="19">
        <f>+[5]Pays!AN34/[5]Pays!AN7*100</f>
        <v>4.5610327331486067</v>
      </c>
      <c r="V345" s="55">
        <f>+[5]Pays!Z34/[5]Pays!Z7*100</f>
        <v>2.6301475240719352</v>
      </c>
      <c r="W345" s="55">
        <f>+[5]Pays!AA34/[5]Pays!AA7*100</f>
        <v>2.8219237178653973</v>
      </c>
      <c r="X345" s="55">
        <f>+[5]Pays!AB34/[5]Pays!AB7*100</f>
        <v>2.7569044290373457</v>
      </c>
      <c r="Y345" s="55">
        <f>+[5]Pays!AC34/[5]Pays!AC7*100</f>
        <v>2.643496005073489</v>
      </c>
      <c r="Z345" s="55">
        <f>+[5]Pays!AD34/[5]Pays!AD7*100</f>
        <v>2.7943450254393243</v>
      </c>
      <c r="AA345" s="55">
        <f>+[5]Pays!AE34/[5]Pays!AE7*100</f>
        <v>3.006255667267105</v>
      </c>
      <c r="AB345" s="55">
        <f>+[5]Pays!AF34/[5]Pays!AF7*100</f>
        <v>3.0762013023376937</v>
      </c>
      <c r="AC345" s="55">
        <f>+[5]Pays!AG34/[5]Pays!AG7*100</f>
        <v>3.522484987491517</v>
      </c>
      <c r="AD345" s="55">
        <f>+[5]Pays!AH34/[5]Pays!AH7*100</f>
        <v>3.8771328757384578</v>
      </c>
      <c r="AE345" s="55">
        <f>+[5]Pays!AI34/[5]Pays!AI7*100</f>
        <v>4.3398886941339354</v>
      </c>
      <c r="AF345" s="55">
        <f>+[5]Pays!AJ34/[5]Pays!AJ7*100</f>
        <v>4.5658839415663879</v>
      </c>
    </row>
    <row r="346" spans="1:32" s="17" customFormat="1" ht="30.75" customHeight="1" x14ac:dyDescent="0.4">
      <c r="A346" s="52" t="s">
        <v>32</v>
      </c>
      <c r="B346" s="26"/>
      <c r="C346" s="19">
        <f>+SUM([5]Nationalité!$AH$13:$AM$13)/SUM([5]Nationalité!$AH$17:$AM$17)*100</f>
        <v>7.5919194773491574</v>
      </c>
      <c r="D346" s="19">
        <f>+[5]Nationalité!AN13/[5]Nationalité!AN17*100</f>
        <v>6.1924202074500752</v>
      </c>
      <c r="E346" s="19">
        <f>+[5]Nationalité!AO13/[5]Nationalité!AO17*100</f>
        <v>6.0447911019811711</v>
      </c>
      <c r="F346" s="19">
        <f>+[5]Nationalité!AP13/[5]Nationalité!AP17*100</f>
        <v>6.8573445625478531</v>
      </c>
      <c r="G346" s="19">
        <f>+[5]Nationalité!AQ13/[5]Nationalité!AQ17*100</f>
        <v>9.4797696862578675</v>
      </c>
      <c r="H346" s="19"/>
      <c r="V346" s="55">
        <f>+[5]Nationalité!AD13/[5]Nationalité!AD$17*100</f>
        <v>5.8711185451540953</v>
      </c>
      <c r="W346" s="55">
        <f>+[5]Nationalité!AE13/[5]Nationalité!AE$17*100</f>
        <v>5.8993123156574097</v>
      </c>
      <c r="X346" s="55">
        <f>+[5]Nationalité!AF13/[5]Nationalité!AF$17*100</f>
        <v>5.644815581511617</v>
      </c>
      <c r="Y346" s="55">
        <f>+[5]Nationalité!AG13/[5]Nationalité!AG$17*100</f>
        <v>6.2568569218199945</v>
      </c>
      <c r="Z346" s="55">
        <f>+[5]Nationalité!AH13/[5]Nationalité!AH$17*100</f>
        <v>7.4279155955958505</v>
      </c>
      <c r="AA346" s="55">
        <f>+[5]Nationalité!AI13/[5]Nationalité!AI$17*100</f>
        <v>8.1670825402055449</v>
      </c>
      <c r="AB346" s="55">
        <f>+[5]Nationalité!AJ13/[5]Nationalité!AJ$17*100</f>
        <v>7.1891747845912413</v>
      </c>
      <c r="AC346" s="55">
        <f>+[5]Nationalité!AK13/[5]Nationalité!AK$17*100</f>
        <v>7.6371429724999729</v>
      </c>
      <c r="AD346" s="55">
        <f>+[5]Nationalité!AL13/[5]Nationalité!AL$17*100</f>
        <v>8.2002992629728304</v>
      </c>
      <c r="AE346" s="55">
        <f>+[5]Nationalité!AM13/[5]Nationalité!AM$17*100</f>
        <v>7.0143156257885879</v>
      </c>
      <c r="AF346" s="55">
        <f>+[5]Nationalité!AN13/[5]Nationalité!AN$17*100</f>
        <v>6.1924202074500752</v>
      </c>
    </row>
    <row r="347" spans="1:32" s="17" customFormat="1" ht="30.75" customHeight="1" x14ac:dyDescent="0.4">
      <c r="A347" s="26" t="s">
        <v>31</v>
      </c>
      <c r="B347" s="20"/>
      <c r="C347" s="25">
        <f>+AVERAGE([5]Nationalité!$AH$19:$AM$19)</f>
        <v>10260.367333333334</v>
      </c>
      <c r="D347" s="25">
        <f>+[5]Nationalité!AN19</f>
        <v>12288.707999999999</v>
      </c>
      <c r="E347" s="25">
        <f>+[5]Nationalité!AO19</f>
        <v>12932.26</v>
      </c>
      <c r="F347" s="25">
        <f>+[5]Nationalité!AP19</f>
        <v>2777.8019999999997</v>
      </c>
      <c r="G347" s="25">
        <f>+[5]Nationalité!AQ19</f>
        <v>3721.7020000000002</v>
      </c>
      <c r="H347" s="25">
        <f>+[5]Nationalité!AR19</f>
        <v>10868.857</v>
      </c>
    </row>
    <row r="348" spans="1:32" s="17" customFormat="1" ht="30.75" customHeight="1" x14ac:dyDescent="0.4">
      <c r="A348" s="20" t="s">
        <v>30</v>
      </c>
      <c r="B348" s="20"/>
      <c r="C348" s="54"/>
      <c r="D348" s="54"/>
      <c r="E348" s="54"/>
      <c r="F348" s="54"/>
      <c r="G348" s="54"/>
      <c r="H348" s="54"/>
    </row>
    <row r="349" spans="1:32" s="17" customFormat="1" ht="30.75" customHeight="1" x14ac:dyDescent="0.4">
      <c r="A349" s="53" t="s">
        <v>29</v>
      </c>
      <c r="B349" s="20"/>
      <c r="C349" s="19">
        <f>+SUM([5]Nationalité!$AH$18:$AM$18)/SUM([5]Nationalité!$AH$19:$AM$19)*100</f>
        <v>48.194929798159926</v>
      </c>
      <c r="D349" s="19">
        <f>+[5]Nationalité!AN18/[5]Nationalité!AN19*100</f>
        <v>45.648468496444053</v>
      </c>
      <c r="E349" s="19">
        <f>+[5]Nationalité!AO18/[5]Nationalité!AO19*100</f>
        <v>45.539248360302068</v>
      </c>
      <c r="F349" s="19">
        <f>+[5]Nationalité!AP18/[5]Nationalité!AP19*100</f>
        <v>49.312657993622302</v>
      </c>
      <c r="G349" s="19">
        <f>+[5]Nationalité!AQ18/[5]Nationalité!AQ19*100</f>
        <v>65.490654544614273</v>
      </c>
      <c r="H349" s="19">
        <f>+[5]Nationalité!AR18/[5]Nationalité!AR19*100</f>
        <v>53.401042998357596</v>
      </c>
    </row>
    <row r="350" spans="1:32" s="17" customFormat="1" ht="30.75" customHeight="1" x14ac:dyDescent="0.4">
      <c r="A350" s="53" t="s">
        <v>28</v>
      </c>
      <c r="B350" s="26"/>
      <c r="C350" s="19">
        <f>+SUM([5]Nationalité!$AH$17:$AM$17)/SUM([5]Nationalité!$AH$19:$AM$19)*100</f>
        <v>51.805070201840067</v>
      </c>
      <c r="D350" s="19">
        <f>+[5]Nationalité!AN17/[5]Nationalité!AN19*100</f>
        <v>54.351531503555947</v>
      </c>
      <c r="E350" s="19">
        <f>+[5]Nationalité!AO17/[5]Nationalité!AO19*100</f>
        <v>54.460751639697932</v>
      </c>
      <c r="F350" s="19">
        <f>+[5]Nationalité!AP17/[5]Nationalité!AP19*100</f>
        <v>50.687342006377712</v>
      </c>
      <c r="G350" s="19">
        <f>+[5]Nationalité!AQ17/[5]Nationalité!AQ19*100</f>
        <v>34.509345455385734</v>
      </c>
      <c r="H350" s="19">
        <f>+[5]Nationalité!AR17/[5]Nationalité!AR19*100</f>
        <v>46.598957001642404</v>
      </c>
    </row>
    <row r="351" spans="1:32" s="17" customFormat="1" ht="30.75" customHeight="1" x14ac:dyDescent="0.4">
      <c r="A351" s="29" t="s">
        <v>27</v>
      </c>
      <c r="B351" s="20"/>
      <c r="C351" s="25">
        <f>+AVERAGE([4]Nuitées!$AH$16:$AM$16)</f>
        <v>19335.541333333331</v>
      </c>
      <c r="D351" s="25">
        <f>+[4]Nuitées!AN16</f>
        <v>23953.859</v>
      </c>
      <c r="E351" s="25">
        <f>+[4]Nuitées!AO16</f>
        <v>25243.989000000001</v>
      </c>
      <c r="F351" s="25">
        <f>+[4]Nuitées!AP16</f>
        <v>6975.62</v>
      </c>
      <c r="G351" s="25">
        <f>+[4]Nuitées!AQ16</f>
        <v>9196.0210000000006</v>
      </c>
      <c r="H351" s="25">
        <f>+[4]Nuitées!AR16</f>
        <v>19009.244999999999</v>
      </c>
    </row>
    <row r="352" spans="1:32" s="17" customFormat="1" ht="30.75" customHeight="1" x14ac:dyDescent="0.4">
      <c r="A352" s="30" t="s">
        <v>26</v>
      </c>
      <c r="B352" s="20"/>
      <c r="C352" s="25"/>
      <c r="D352" s="25"/>
      <c r="E352" s="25"/>
      <c r="F352" s="25"/>
      <c r="G352" s="25"/>
      <c r="H352" s="25"/>
    </row>
    <row r="353" spans="1:8" s="17" customFormat="1" ht="30.75" customHeight="1" x14ac:dyDescent="0.4">
      <c r="A353" s="52" t="s">
        <v>25</v>
      </c>
      <c r="B353" s="26"/>
      <c r="C353" s="19">
        <f>+AVERAGE([4]Nuitées!$AH$8:$AM$8)/AVERAGE([4]Nuitées!$AH$16:$AM$16)*100</f>
        <v>69.889360394426689</v>
      </c>
      <c r="D353" s="19">
        <f>+[4]Nuitées!AN8/[4]Nuitées!AN16*100</f>
        <v>70.185793445640627</v>
      </c>
      <c r="E353" s="19">
        <f>+[4]Nuitées!AO8/[4]Nuitées!AO16*100</f>
        <v>68.952149361180588</v>
      </c>
      <c r="F353" s="19">
        <f>+[4]Nuitées!AP8/[4]Nuitées!AP16*100</f>
        <v>49.74426645946884</v>
      </c>
      <c r="G353" s="19">
        <f>+[4]Nuitées!AQ8/[4]Nuitées!AQ16*100</f>
        <v>30.647874771055871</v>
      </c>
      <c r="H353" s="19"/>
    </row>
    <row r="354" spans="1:8" s="17" customFormat="1" ht="30.75" customHeight="1" x14ac:dyDescent="0.4">
      <c r="A354" s="52" t="s">
        <v>24</v>
      </c>
      <c r="B354" s="26"/>
      <c r="C354" s="19">
        <f>+AVERAGE([4]Nuitées!$AH$12:$AM$12)/AVERAGE([4]Nuitées!$AH$16:$AM$16)*100</f>
        <v>30.110639605573326</v>
      </c>
      <c r="D354" s="19">
        <f>+[4]Nuitées!AN12/[4]Nuitées!AN16*100</f>
        <v>29.814206554359362</v>
      </c>
      <c r="E354" s="19">
        <f>+[4]Nuitées!AO12/[4]Nuitées!AO16*100</f>
        <v>31.047850638819401</v>
      </c>
      <c r="F354" s="19">
        <f>+[4]Nuitées!AP12/[4]Nuitées!AP16*100</f>
        <v>50.255733540531168</v>
      </c>
      <c r="G354" s="19">
        <f>+[4]Nuitées!AQ12/[4]Nuitées!AQ16*100</f>
        <v>69.352125228944132</v>
      </c>
      <c r="H354" s="19"/>
    </row>
    <row r="355" spans="1:8" s="17" customFormat="1" ht="30.75" customHeight="1" x14ac:dyDescent="0.4">
      <c r="A355" s="26" t="s">
        <v>23</v>
      </c>
      <c r="B355" s="51"/>
      <c r="C355" s="25">
        <f>+AVERAGE('[3]Recettes Voyages par Pays'!$X$42:$AC$42)</f>
        <v>62497.516666666663</v>
      </c>
      <c r="D355" s="25">
        <f>+'[3]Recettes Voyages par Pays'!AD42</f>
        <v>73022.3</v>
      </c>
      <c r="E355" s="25">
        <f>+'[3]Recettes Voyages par Pays'!AE42</f>
        <v>78747.400000000009</v>
      </c>
      <c r="F355" s="25">
        <f>+'[3]Recettes Voyages par Pays'!AF42</f>
        <v>36449.699999999997</v>
      </c>
      <c r="G355" s="25">
        <f>+'[3]Recettes Voyages par Pays'!AG42</f>
        <v>34310.400000000001</v>
      </c>
      <c r="H355" s="25">
        <f>+'[3]Recettes Voyages par Pays'!AH42</f>
        <v>93638</v>
      </c>
    </row>
    <row r="356" spans="1:8" x14ac:dyDescent="0.25">
      <c r="A356" s="3"/>
      <c r="B356" s="3"/>
      <c r="C356" s="3"/>
      <c r="D356" s="2"/>
      <c r="E356" s="3"/>
      <c r="F356" s="3"/>
      <c r="G356" s="47"/>
      <c r="H356" s="47"/>
    </row>
    <row r="357" spans="1:8" ht="22.5" customHeight="1" x14ac:dyDescent="0.3">
      <c r="A357" s="50" t="s">
        <v>2</v>
      </c>
      <c r="B357" s="5"/>
      <c r="C357" s="49"/>
      <c r="D357" s="2"/>
      <c r="E357" s="3"/>
      <c r="F357" s="3"/>
      <c r="G357" s="47"/>
      <c r="H357" s="47"/>
    </row>
    <row r="358" spans="1:8" ht="22.5" customHeight="1" x14ac:dyDescent="0.3">
      <c r="A358" s="11" t="s">
        <v>22</v>
      </c>
      <c r="B358" s="7"/>
      <c r="C358" s="6"/>
      <c r="D358" s="3"/>
      <c r="E358" s="2"/>
      <c r="F358" s="3"/>
      <c r="G358" s="47"/>
      <c r="H358" s="47"/>
    </row>
    <row r="359" spans="1:8" ht="22.5" customHeight="1" x14ac:dyDescent="0.3">
      <c r="A359" s="11" t="s">
        <v>21</v>
      </c>
      <c r="B359" s="7"/>
      <c r="C359" s="6"/>
      <c r="D359" s="3"/>
      <c r="E359" s="2"/>
      <c r="F359" s="3"/>
      <c r="G359" s="47"/>
      <c r="H359" s="47"/>
    </row>
    <row r="360" spans="1:8" ht="22.5" customHeight="1" x14ac:dyDescent="0.3">
      <c r="A360" s="11" t="s">
        <v>20</v>
      </c>
      <c r="B360" s="7"/>
      <c r="C360" s="6"/>
      <c r="D360" s="5"/>
      <c r="E360" s="2"/>
      <c r="F360" s="3"/>
      <c r="G360" s="47"/>
      <c r="H360" s="47"/>
    </row>
    <row r="361" spans="1:8" ht="22.5" customHeight="1" x14ac:dyDescent="0.3">
      <c r="A361" s="11" t="s">
        <v>19</v>
      </c>
      <c r="B361" s="5"/>
      <c r="C361" s="5"/>
      <c r="D361" s="4"/>
      <c r="E361" s="2"/>
      <c r="F361" s="3"/>
      <c r="G361" s="47"/>
      <c r="H361" s="47"/>
    </row>
    <row r="362" spans="1:8" ht="22.5" customHeight="1" x14ac:dyDescent="0.3">
      <c r="A362" s="11" t="s">
        <v>18</v>
      </c>
      <c r="B362" s="7"/>
      <c r="C362" s="6"/>
      <c r="D362" s="5"/>
      <c r="E362" s="2"/>
      <c r="F362" s="3"/>
      <c r="G362" s="47"/>
      <c r="H362" s="47"/>
    </row>
    <row r="363" spans="1:8" ht="11.25" customHeight="1" x14ac:dyDescent="0.3">
      <c r="A363" s="48"/>
      <c r="B363" s="7"/>
      <c r="C363" s="9"/>
      <c r="D363" s="4"/>
      <c r="E363" s="2"/>
      <c r="F363" s="3"/>
      <c r="G363" s="47"/>
      <c r="H363" s="47"/>
    </row>
    <row r="364" spans="1:8" ht="30.75" thickBot="1" x14ac:dyDescent="0.45">
      <c r="A364" s="46" t="s">
        <v>17</v>
      </c>
      <c r="B364" s="45"/>
      <c r="C364" s="42"/>
      <c r="D364" s="44"/>
      <c r="E364" s="43"/>
      <c r="F364" s="42"/>
      <c r="G364" s="42"/>
      <c r="H364" s="42"/>
    </row>
    <row r="365" spans="1:8" s="38" customFormat="1" ht="32.25" customHeight="1" thickBot="1" x14ac:dyDescent="0.3">
      <c r="A365" s="39"/>
      <c r="B365" s="41"/>
      <c r="C365" s="40" t="s">
        <v>16</v>
      </c>
      <c r="D365" s="39"/>
      <c r="E365" s="39"/>
      <c r="F365" s="39"/>
      <c r="G365" s="39"/>
      <c r="H365" s="39"/>
    </row>
    <row r="366" spans="1:8" ht="33" customHeight="1" thickBot="1" x14ac:dyDescent="0.4">
      <c r="A366" s="37"/>
      <c r="B366" s="36"/>
      <c r="C366" s="35" t="s">
        <v>15</v>
      </c>
      <c r="D366" s="34">
        <v>2018</v>
      </c>
      <c r="E366" s="34">
        <v>2019</v>
      </c>
      <c r="F366" s="34">
        <v>2020</v>
      </c>
      <c r="G366" s="34">
        <v>2021</v>
      </c>
      <c r="H366" s="34">
        <v>2022</v>
      </c>
    </row>
    <row r="367" spans="1:8" s="17" customFormat="1" ht="32.25" customHeight="1" x14ac:dyDescent="0.4">
      <c r="A367" s="28" t="s">
        <v>14</v>
      </c>
      <c r="B367" s="26"/>
      <c r="C367" s="26"/>
      <c r="D367" s="18"/>
      <c r="E367" s="18"/>
      <c r="F367" s="18"/>
      <c r="G367" s="18"/>
      <c r="H367" s="18"/>
    </row>
    <row r="368" spans="1:8" s="17" customFormat="1" ht="32.25" customHeight="1" x14ac:dyDescent="0.4">
      <c r="A368" s="26" t="s">
        <v>13</v>
      </c>
      <c r="B368" s="30"/>
      <c r="C368" s="25">
        <f>AVERAGE('[2]parc telephonique'!$AH$18:$AM$18)/1000</f>
        <v>44849.135999999999</v>
      </c>
      <c r="D368" s="25">
        <f>+'[2]parc telephonique'!AN18/1000</f>
        <v>46937.14</v>
      </c>
      <c r="E368" s="25">
        <f>+'[2]parc telephonique'!AO18/1000</f>
        <v>48721.544999999998</v>
      </c>
      <c r="F368" s="25">
        <f>+'[2]parc telephonique'!AP18/1000</f>
        <v>51778.286</v>
      </c>
      <c r="G368" s="25">
        <f>+'[2]parc telephonique'!AQ18/1000</f>
        <v>53845</v>
      </c>
      <c r="H368" s="25">
        <f>+'[2]parc telephonique'!AR18/1000</f>
        <v>55543</v>
      </c>
    </row>
    <row r="369" spans="1:8" s="17" customFormat="1" ht="32.25" customHeight="1" x14ac:dyDescent="0.4">
      <c r="A369" s="31" t="s">
        <v>11</v>
      </c>
      <c r="B369" s="30"/>
      <c r="C369" s="25">
        <f>AVERAGE('[2]parc telephonique'!$AH$6:$AM$6)/1000</f>
        <v>2505.0976666666666</v>
      </c>
      <c r="D369" s="33">
        <f>+'[2]parc telephonique'!AN6/1000</f>
        <v>2199.14</v>
      </c>
      <c r="E369" s="33">
        <f>+'[2]parc telephonique'!AO6/1000</f>
        <v>2054.5450000000001</v>
      </c>
      <c r="F369" s="33">
        <f>+'[2]parc telephonique'!AP6/1000</f>
        <v>2357.2860000000001</v>
      </c>
      <c r="G369" s="33">
        <f>+'[2]parc telephonique'!AQ6/1000</f>
        <v>2511</v>
      </c>
      <c r="H369" s="33">
        <f>+'[2]parc telephonique'!AR6/1000</f>
        <v>2645</v>
      </c>
    </row>
    <row r="370" spans="1:8" s="17" customFormat="1" ht="32.25" customHeight="1" x14ac:dyDescent="0.4">
      <c r="A370" s="31" t="s">
        <v>10</v>
      </c>
      <c r="B370" s="30"/>
      <c r="C370" s="25">
        <f>AVERAGE('[2]parc telephonique'!$AH$14:$AM$14)/1000</f>
        <v>42344.038333333338</v>
      </c>
      <c r="D370" s="33">
        <f>+'[2]parc telephonique'!AN14/1000</f>
        <v>44738</v>
      </c>
      <c r="E370" s="33">
        <f>+'[2]parc telephonique'!AO14/1000</f>
        <v>46667</v>
      </c>
      <c r="F370" s="33">
        <f>+'[2]parc telephonique'!AP14/1000</f>
        <v>49421</v>
      </c>
      <c r="G370" s="33">
        <f>+'[2]parc telephonique'!AQ14/1000</f>
        <v>51334</v>
      </c>
      <c r="H370" s="33">
        <f>+'[2]parc telephonique'!AR14/1000</f>
        <v>52898</v>
      </c>
    </row>
    <row r="371" spans="1:8" s="17" customFormat="1" ht="32.25" customHeight="1" x14ac:dyDescent="0.4">
      <c r="A371" s="29" t="s">
        <v>12</v>
      </c>
      <c r="B371" s="20"/>
      <c r="C371" s="32">
        <f>AVERAGE('[2]parc telephonique'!$AH$10:$AM$10)+AVERAGE('[2]parc telephonique'!$AH$17:$AM$17)</f>
        <v>133.83833333333334</v>
      </c>
      <c r="D371" s="32">
        <f>D372+D373</f>
        <v>133.24</v>
      </c>
      <c r="E371" s="32">
        <f>E372+E373</f>
        <v>136.91</v>
      </c>
      <c r="F371" s="32">
        <f>F372+F373</f>
        <v>144.03</v>
      </c>
      <c r="G371" s="32">
        <f>G372+G373</f>
        <v>148.27999999999997</v>
      </c>
      <c r="H371" s="32">
        <f>H372+H373</f>
        <v>151.46</v>
      </c>
    </row>
    <row r="372" spans="1:8" s="17" customFormat="1" ht="32.25" customHeight="1" x14ac:dyDescent="0.4">
      <c r="A372" s="31" t="s">
        <v>11</v>
      </c>
      <c r="B372" s="30"/>
      <c r="C372" s="19">
        <f>AVERAGE('[2]parc telephonique'!$AH$10:$AM$10)</f>
        <v>7.506666666666665</v>
      </c>
      <c r="D372" s="19">
        <f>+'[2]parc telephonique'!AN10</f>
        <v>6.24</v>
      </c>
      <c r="E372" s="19">
        <f>+'[2]parc telephonique'!AO10</f>
        <v>5.77</v>
      </c>
      <c r="F372" s="19">
        <f>+'[2]parc telephonique'!AP10</f>
        <v>6.56</v>
      </c>
      <c r="G372" s="19">
        <f>+'[2]parc telephonique'!AQ10</f>
        <v>6.92</v>
      </c>
      <c r="H372" s="19">
        <f>+'[2]parc telephonique'!AR10</f>
        <v>7.21</v>
      </c>
    </row>
    <row r="373" spans="1:8" s="17" customFormat="1" ht="32.25" customHeight="1" x14ac:dyDescent="0.4">
      <c r="A373" s="31" t="s">
        <v>10</v>
      </c>
      <c r="B373" s="30"/>
      <c r="C373" s="19">
        <f>AVERAGE('[2]parc telephonique'!$AH$17:$AM$17)</f>
        <v>126.33166666666666</v>
      </c>
      <c r="D373" s="19">
        <f>+'[2]parc telephonique'!AN17</f>
        <v>127</v>
      </c>
      <c r="E373" s="19">
        <f>+'[2]parc telephonique'!AO17</f>
        <v>131.13999999999999</v>
      </c>
      <c r="F373" s="19">
        <f>+'[2]parc telephonique'!AP17</f>
        <v>137.47</v>
      </c>
      <c r="G373" s="19">
        <f>+'[2]parc telephonique'!AQ17</f>
        <v>141.35999999999999</v>
      </c>
      <c r="H373" s="19">
        <f>+'[2]parc telephonique'!AR17</f>
        <v>144.25</v>
      </c>
    </row>
    <row r="374" spans="1:8" s="17" customFormat="1" ht="32.25" customHeight="1" x14ac:dyDescent="0.4">
      <c r="A374" s="29" t="s">
        <v>9</v>
      </c>
      <c r="C374" s="25">
        <f>AVERAGE([2]Internet!$AH$6:$AM$6)/1000</f>
        <v>12237.228333333334</v>
      </c>
      <c r="D374" s="25">
        <f>+[2]Internet!AN6/1000</f>
        <v>22782</v>
      </c>
      <c r="E374" s="25">
        <f>+[2]Internet!AO6/1000</f>
        <v>25385</v>
      </c>
      <c r="F374" s="25">
        <f>+[2]Internet!AP6/1000</f>
        <v>29803</v>
      </c>
      <c r="G374" s="25">
        <f>+[2]Internet!AQ6/1000</f>
        <v>32846</v>
      </c>
      <c r="H374" s="25">
        <f>+[2]Internet!AR6/1000</f>
        <v>35574</v>
      </c>
    </row>
    <row r="375" spans="1:8" s="17" customFormat="1" ht="32.25" customHeight="1" x14ac:dyDescent="0.4">
      <c r="A375" s="28" t="s">
        <v>8</v>
      </c>
      <c r="B375" s="20"/>
      <c r="C375" s="27"/>
      <c r="D375" s="18"/>
      <c r="E375" s="18"/>
      <c r="F375" s="18"/>
      <c r="G375" s="18"/>
      <c r="H375" s="18"/>
    </row>
    <row r="376" spans="1:8" s="17" customFormat="1" ht="32.25" customHeight="1" x14ac:dyDescent="0.4">
      <c r="A376" s="26" t="s">
        <v>7</v>
      </c>
      <c r="B376" s="20"/>
      <c r="C376" s="25">
        <f>AVERAGE('[1]primes émises'!$AL$30:$AQ$30)</f>
        <v>30936.953333333335</v>
      </c>
      <c r="D376" s="25">
        <f>'[1]primes émises'!AR30</f>
        <v>41363.599999999999</v>
      </c>
      <c r="E376" s="25">
        <f>'[1]primes émises'!AS30</f>
        <v>44902.8</v>
      </c>
      <c r="F376" s="25">
        <f>'[1]primes émises'!AT30</f>
        <v>45721.3</v>
      </c>
      <c r="G376" s="25">
        <f>'[1]primes émises'!AU30</f>
        <v>50206.9</v>
      </c>
      <c r="H376" s="25">
        <f>'[1]primes émises'!AV30</f>
        <v>54496</v>
      </c>
    </row>
    <row r="377" spans="1:8" s="17" customFormat="1" ht="32.25" customHeight="1" x14ac:dyDescent="0.4">
      <c r="A377" s="20" t="s">
        <v>6</v>
      </c>
      <c r="B377" s="20"/>
      <c r="C377" s="19">
        <f>AVERAGE('[1]primes émises'!$AL$9:$AQ$9)/AVERAGE('[1]primes émises'!$AL$30:$AQ$30)*100</f>
        <v>36.965286174484326</v>
      </c>
      <c r="D377" s="19">
        <f>+'[1]primes émises'!AR9/'[1]primes émises'!AR30*100</f>
        <v>43.974412285197616</v>
      </c>
      <c r="E377" s="19">
        <f>+'[1]primes émises'!AS9/'[1]primes émises'!AS30*100</f>
        <v>45.573104572543357</v>
      </c>
      <c r="F377" s="19">
        <f>+'[1]primes émises'!AT9/'[1]primes émises'!AT30*100</f>
        <v>44.608092945738633</v>
      </c>
      <c r="G377" s="19">
        <f>+'[1]primes émises'!AU9/'[1]primes émises'!AU30*100</f>
        <v>45.695511971462089</v>
      </c>
      <c r="H377" s="19">
        <f>+'[1]primes émises'!AV9/'[1]primes émises'!AV30*100</f>
        <v>46.599383440986493</v>
      </c>
    </row>
    <row r="378" spans="1:8" s="17" customFormat="1" ht="32.25" customHeight="1" x14ac:dyDescent="0.4">
      <c r="A378" s="20" t="s">
        <v>5</v>
      </c>
      <c r="B378" s="20"/>
      <c r="C378" s="19">
        <f>AVERAGE('[1]primes émises'!$AL$10:$AQ$10)/AVERAGE('[1]primes émises'!$AL$30:$AQ$30)*100</f>
        <v>62.760667232261405</v>
      </c>
      <c r="D378" s="19">
        <f>+'[1]primes émises'!AR10/'[1]primes émises'!AR30*100</f>
        <v>55.511609240975154</v>
      </c>
      <c r="E378" s="19">
        <f>+'[1]primes émises'!AS10/'[1]primes émises'!AS30*100</f>
        <v>53.960109391841925</v>
      </c>
      <c r="F378" s="19">
        <f>+'[1]primes émises'!AT10/'[1]primes émises'!AT30*100</f>
        <v>54.167313702803725</v>
      </c>
      <c r="G378" s="19">
        <f>+'[1]primes émises'!AU10/'[1]primes émises'!AU30*100</f>
        <v>53.071191409945648</v>
      </c>
      <c r="H378" s="19">
        <f>+'[1]primes émises'!AV10/'[1]primes émises'!AV30*100</f>
        <v>52.141808573106289</v>
      </c>
    </row>
    <row r="379" spans="1:8" s="17" customFormat="1" ht="32.25" customHeight="1" x14ac:dyDescent="0.4">
      <c r="A379" s="24" t="s">
        <v>4</v>
      </c>
      <c r="B379" s="20"/>
      <c r="C379" s="19">
        <f>AVERAGE('[1]primes émises'!$AL$13:$AQ$13)/AVERAGE('[1]primes émises'!$AL$30:$AQ$30)*100</f>
        <v>29.900288608466724</v>
      </c>
      <c r="D379" s="19">
        <f>+'[1]primes émises'!AR13/'[1]primes émises'!AR30*100</f>
        <v>26.949298416965643</v>
      </c>
      <c r="E379" s="19">
        <f>+'[1]primes émises'!AS13/'[1]primes émises'!AS30*100</f>
        <v>26.617716489840276</v>
      </c>
      <c r="F379" s="19">
        <f>+'[1]primes émises'!AT13/'[1]primes émises'!AT30*100</f>
        <v>26.168328547088553</v>
      </c>
      <c r="G379" s="19">
        <f>+'[1]primes émises'!AU13/'[1]primes émises'!AU30*100</f>
        <v>25.870348497915625</v>
      </c>
      <c r="H379" s="19">
        <f>+'[1]primes émises'!AV13/'[1]primes émises'!AV30*100</f>
        <v>25.188454198473281</v>
      </c>
    </row>
    <row r="380" spans="1:8" s="17" customFormat="1" ht="32.25" customHeight="1" x14ac:dyDescent="0.4">
      <c r="A380" s="23" t="s">
        <v>3</v>
      </c>
      <c r="B380" s="20"/>
      <c r="C380" s="19">
        <f>AVERAGE('[1]primes émises'!$AL$11:$AQ$11)/AVERAGE('[1]primes émises'!$AL$30:$AQ$30)*100</f>
        <v>10.865247881551792</v>
      </c>
      <c r="D380" s="19">
        <f>+'[1]primes émises'!AR11/'[1]primes émises'!AR30*100</f>
        <v>9.8499647032656732</v>
      </c>
      <c r="E380" s="19">
        <f>+'[1]primes émises'!AS11/'[1]primes émises'!AS30*100</f>
        <v>9.8370257534051326</v>
      </c>
      <c r="F380" s="19">
        <f>+'[1]primes émises'!AT11/'[1]primes émises'!AT30*100</f>
        <v>9.6626736335143555</v>
      </c>
      <c r="G380" s="19">
        <f>+'[1]primes émises'!AU11/'[1]primes émises'!AU30*100</f>
        <v>9.506263083361052</v>
      </c>
      <c r="H380" s="19">
        <f>+'[1]primes émises'!AV11/'[1]primes émises'!AV30*100</f>
        <v>9.2592116852613024</v>
      </c>
    </row>
    <row r="381" spans="1:8" s="17" customFormat="1" ht="32.25" customHeight="1" x14ac:dyDescent="0.4">
      <c r="F381" s="2"/>
      <c r="G381" s="18"/>
      <c r="H381" s="18"/>
    </row>
    <row r="382" spans="1:8" s="17" customFormat="1" ht="32.25" customHeight="1" x14ac:dyDescent="0.4">
      <c r="D382" s="22"/>
      <c r="E382" s="22"/>
      <c r="F382" s="22"/>
      <c r="G382" s="22"/>
      <c r="H382" s="18"/>
    </row>
    <row r="383" spans="1:8" s="17" customFormat="1" ht="32.25" customHeight="1" x14ac:dyDescent="0.4">
      <c r="D383" s="6"/>
      <c r="E383" s="6"/>
      <c r="F383" s="6"/>
      <c r="G383" s="6"/>
      <c r="H383" s="18"/>
    </row>
    <row r="384" spans="1:8" s="17" customFormat="1" ht="32.25" customHeight="1" x14ac:dyDescent="0.4">
      <c r="D384" s="6"/>
      <c r="E384" s="6"/>
      <c r="F384" s="6"/>
      <c r="G384" s="6"/>
      <c r="H384" s="18"/>
    </row>
    <row r="385" spans="1:8" s="17" customFormat="1" ht="32.25" customHeight="1" x14ac:dyDescent="0.4">
      <c r="D385" s="6"/>
      <c r="E385" s="6"/>
      <c r="F385" s="6"/>
      <c r="G385" s="6"/>
      <c r="H385" s="18"/>
    </row>
    <row r="386" spans="1:8" s="17" customFormat="1" ht="32.25" customHeight="1" x14ac:dyDescent="0.4">
      <c r="D386" s="6"/>
      <c r="E386" s="6"/>
      <c r="F386" s="6"/>
      <c r="G386" s="6"/>
      <c r="H386" s="18"/>
    </row>
    <row r="387" spans="1:8" s="17" customFormat="1" ht="32.25" customHeight="1" x14ac:dyDescent="0.4">
      <c r="A387" s="21"/>
      <c r="B387" s="20"/>
      <c r="C387" s="19"/>
      <c r="D387" s="18"/>
      <c r="E387" s="18"/>
      <c r="F387" s="2"/>
      <c r="G387" s="18"/>
      <c r="H387" s="18"/>
    </row>
    <row r="388" spans="1:8" s="17" customFormat="1" ht="32.25" customHeight="1" x14ac:dyDescent="0.4">
      <c r="A388" s="21"/>
      <c r="B388" s="20"/>
      <c r="C388" s="19"/>
      <c r="D388" s="18"/>
      <c r="E388" s="18"/>
      <c r="F388" s="2"/>
      <c r="G388" s="18"/>
      <c r="H388" s="18"/>
    </row>
    <row r="389" spans="1:8" s="17" customFormat="1" ht="32.25" customHeight="1" x14ac:dyDescent="0.4">
      <c r="A389" s="21"/>
      <c r="B389" s="20"/>
      <c r="C389" s="19"/>
      <c r="D389" s="18"/>
      <c r="E389" s="18"/>
      <c r="F389" s="2"/>
      <c r="G389" s="18"/>
      <c r="H389" s="18"/>
    </row>
    <row r="390" spans="1:8" s="17" customFormat="1" ht="32.25" customHeight="1" x14ac:dyDescent="0.4">
      <c r="A390" s="21"/>
      <c r="B390" s="20"/>
      <c r="C390" s="19"/>
      <c r="D390" s="18"/>
      <c r="E390" s="18"/>
      <c r="F390" s="2"/>
      <c r="G390" s="18"/>
      <c r="H390" s="18"/>
    </row>
    <row r="391" spans="1:8" s="17" customFormat="1" ht="32.25" customHeight="1" x14ac:dyDescent="0.4">
      <c r="A391" s="21"/>
      <c r="B391" s="20"/>
      <c r="C391" s="19"/>
      <c r="D391" s="18"/>
      <c r="E391" s="18"/>
      <c r="F391" s="2"/>
      <c r="G391" s="18"/>
      <c r="H391" s="18"/>
    </row>
    <row r="392" spans="1:8" s="17" customFormat="1" ht="32.25" customHeight="1" x14ac:dyDescent="0.4">
      <c r="A392" s="21"/>
      <c r="B392" s="20"/>
      <c r="C392" s="19"/>
      <c r="D392" s="18"/>
      <c r="E392" s="18"/>
      <c r="F392" s="2"/>
      <c r="G392" s="18"/>
      <c r="H392" s="18"/>
    </row>
    <row r="393" spans="1:8" s="17" customFormat="1" ht="32.25" customHeight="1" x14ac:dyDescent="0.4">
      <c r="A393" s="21"/>
      <c r="B393" s="20"/>
      <c r="C393" s="19"/>
      <c r="D393" s="18"/>
      <c r="E393" s="18"/>
      <c r="F393" s="2"/>
      <c r="G393" s="18"/>
      <c r="H393" s="18"/>
    </row>
    <row r="394" spans="1:8" s="17" customFormat="1" ht="32.25" customHeight="1" x14ac:dyDescent="0.4">
      <c r="A394" s="21"/>
      <c r="B394" s="20"/>
      <c r="C394" s="19"/>
      <c r="D394" s="18"/>
      <c r="E394" s="18"/>
      <c r="F394" s="2"/>
      <c r="G394" s="18"/>
      <c r="H394" s="18"/>
    </row>
    <row r="395" spans="1:8" s="17" customFormat="1" ht="32.25" customHeight="1" x14ac:dyDescent="0.4">
      <c r="A395" s="21"/>
      <c r="B395" s="20"/>
      <c r="C395" s="19"/>
      <c r="D395" s="18"/>
      <c r="E395" s="18"/>
      <c r="F395" s="2"/>
      <c r="G395" s="18"/>
      <c r="H395" s="18"/>
    </row>
    <row r="396" spans="1:8" s="17" customFormat="1" ht="32.25" customHeight="1" x14ac:dyDescent="0.4">
      <c r="A396" s="21"/>
      <c r="B396" s="20"/>
      <c r="C396" s="19"/>
      <c r="D396" s="18"/>
      <c r="E396" s="18"/>
      <c r="F396" s="2"/>
      <c r="G396" s="18"/>
      <c r="H396" s="18"/>
    </row>
    <row r="397" spans="1:8" s="17" customFormat="1" ht="32.25" customHeight="1" x14ac:dyDescent="0.4">
      <c r="A397" s="21"/>
      <c r="B397" s="20"/>
      <c r="C397" s="19"/>
      <c r="D397" s="18"/>
      <c r="E397" s="18"/>
      <c r="F397" s="2"/>
      <c r="G397" s="18"/>
      <c r="H397" s="18"/>
    </row>
    <row r="398" spans="1:8" s="17" customFormat="1" ht="32.25" customHeight="1" x14ac:dyDescent="0.4">
      <c r="A398" s="21"/>
      <c r="B398" s="20"/>
      <c r="C398" s="19"/>
      <c r="D398" s="18"/>
      <c r="E398" s="18"/>
      <c r="F398" s="2"/>
      <c r="G398" s="18"/>
      <c r="H398" s="18"/>
    </row>
    <row r="399" spans="1:8" s="17" customFormat="1" ht="32.25" customHeight="1" x14ac:dyDescent="0.4">
      <c r="A399" s="21"/>
      <c r="B399" s="20"/>
      <c r="C399" s="19"/>
      <c r="D399" s="18"/>
      <c r="E399" s="18"/>
      <c r="F399" s="2"/>
      <c r="G399" s="18"/>
      <c r="H399" s="18"/>
    </row>
    <row r="400" spans="1:8" s="17" customFormat="1" ht="32.25" customHeight="1" x14ac:dyDescent="0.4">
      <c r="A400" s="21"/>
      <c r="B400" s="20"/>
      <c r="C400" s="19"/>
      <c r="D400" s="18"/>
      <c r="E400" s="18"/>
      <c r="F400" s="2"/>
      <c r="G400" s="18"/>
      <c r="H400" s="18"/>
    </row>
    <row r="401" spans="1:8" s="17" customFormat="1" ht="32.25" customHeight="1" x14ac:dyDescent="0.4">
      <c r="A401" s="21"/>
      <c r="B401" s="20"/>
      <c r="C401" s="19"/>
      <c r="D401" s="18"/>
      <c r="E401" s="18"/>
      <c r="F401" s="2"/>
      <c r="G401" s="18"/>
      <c r="H401" s="18"/>
    </row>
    <row r="402" spans="1:8" s="17" customFormat="1" ht="32.25" customHeight="1" x14ac:dyDescent="0.4">
      <c r="A402" s="21"/>
      <c r="B402" s="20"/>
      <c r="C402" s="19"/>
      <c r="D402" s="18"/>
      <c r="E402" s="18"/>
      <c r="F402" s="2"/>
      <c r="G402" s="18"/>
      <c r="H402" s="18"/>
    </row>
    <row r="403" spans="1:8" s="17" customFormat="1" ht="32.25" customHeight="1" x14ac:dyDescent="0.4">
      <c r="A403" s="21"/>
      <c r="B403" s="20"/>
      <c r="C403" s="19"/>
      <c r="D403" s="18"/>
      <c r="E403" s="18"/>
      <c r="F403" s="2"/>
      <c r="G403" s="18"/>
      <c r="H403" s="18"/>
    </row>
    <row r="404" spans="1:8" s="17" customFormat="1" ht="32.25" customHeight="1" x14ac:dyDescent="0.4">
      <c r="A404" s="21"/>
      <c r="B404" s="20"/>
      <c r="C404" s="19"/>
      <c r="D404" s="18"/>
      <c r="E404" s="18"/>
      <c r="F404" s="2"/>
      <c r="G404" s="18"/>
      <c r="H404" s="18"/>
    </row>
    <row r="405" spans="1:8" s="17" customFormat="1" ht="32.25" customHeight="1" x14ac:dyDescent="0.4">
      <c r="A405" s="21"/>
      <c r="B405" s="20"/>
      <c r="C405" s="19"/>
      <c r="D405" s="18"/>
      <c r="E405" s="18"/>
      <c r="F405" s="2"/>
      <c r="G405" s="18"/>
      <c r="H405" s="18"/>
    </row>
    <row r="406" spans="1:8" s="17" customFormat="1" ht="32.25" customHeight="1" x14ac:dyDescent="0.4">
      <c r="A406" s="21"/>
      <c r="B406" s="20"/>
      <c r="C406" s="19"/>
      <c r="D406" s="18"/>
      <c r="E406" s="18"/>
      <c r="F406" s="2"/>
      <c r="G406" s="18"/>
      <c r="H406" s="18"/>
    </row>
    <row r="407" spans="1:8" s="17" customFormat="1" ht="32.25" customHeight="1" x14ac:dyDescent="0.4">
      <c r="A407" s="21"/>
      <c r="B407" s="20"/>
      <c r="C407" s="19"/>
      <c r="D407" s="18"/>
      <c r="E407" s="18"/>
      <c r="F407" s="2"/>
      <c r="G407" s="18"/>
      <c r="H407" s="18"/>
    </row>
    <row r="408" spans="1:8" s="17" customFormat="1" ht="32.25" customHeight="1" x14ac:dyDescent="0.4">
      <c r="A408" s="21"/>
      <c r="B408" s="20"/>
      <c r="C408" s="19"/>
      <c r="D408" s="18"/>
      <c r="E408" s="18"/>
      <c r="F408" s="2"/>
      <c r="G408" s="18"/>
      <c r="H408" s="18"/>
    </row>
    <row r="409" spans="1:8" s="17" customFormat="1" ht="32.25" customHeight="1" x14ac:dyDescent="0.4">
      <c r="A409" s="21"/>
      <c r="B409" s="20"/>
      <c r="C409" s="19"/>
      <c r="D409" s="18"/>
      <c r="E409" s="18"/>
      <c r="F409" s="2"/>
      <c r="G409" s="18"/>
      <c r="H409" s="18"/>
    </row>
    <row r="410" spans="1:8" s="17" customFormat="1" ht="32.25" customHeight="1" x14ac:dyDescent="0.4">
      <c r="A410" s="21"/>
      <c r="B410" s="20"/>
      <c r="C410" s="19"/>
      <c r="D410" s="18"/>
      <c r="E410" s="18"/>
      <c r="F410" s="2"/>
      <c r="G410" s="18"/>
      <c r="H410" s="18"/>
    </row>
    <row r="411" spans="1:8" s="17" customFormat="1" ht="32.25" customHeight="1" x14ac:dyDescent="0.4">
      <c r="A411" s="21"/>
      <c r="B411" s="20"/>
      <c r="C411" s="19"/>
      <c r="D411" s="18"/>
      <c r="E411" s="18"/>
      <c r="F411" s="2"/>
      <c r="G411" s="18"/>
      <c r="H411" s="18"/>
    </row>
    <row r="412" spans="1:8" s="17" customFormat="1" ht="6" customHeight="1" x14ac:dyDescent="0.4">
      <c r="A412" s="21"/>
      <c r="B412" s="20"/>
      <c r="C412" s="19"/>
      <c r="D412" s="18"/>
      <c r="E412" s="18"/>
      <c r="F412" s="2"/>
      <c r="G412" s="18"/>
      <c r="H412" s="18"/>
    </row>
    <row r="413" spans="1:8" s="17" customFormat="1" ht="10.5" customHeight="1" x14ac:dyDescent="0.4">
      <c r="A413" s="21"/>
      <c r="B413" s="20"/>
      <c r="C413" s="19"/>
      <c r="D413" s="18"/>
      <c r="E413" s="18"/>
      <c r="F413" s="2"/>
      <c r="G413" s="18"/>
      <c r="H413" s="18"/>
    </row>
    <row r="414" spans="1:8" x14ac:dyDescent="0.25">
      <c r="A414" s="3"/>
      <c r="B414" s="3"/>
      <c r="C414" s="3"/>
      <c r="D414" s="3"/>
      <c r="E414" s="3"/>
      <c r="F414" s="2"/>
      <c r="G414" s="3"/>
      <c r="H414" s="3"/>
    </row>
    <row r="415" spans="1:8" ht="22.5" customHeight="1" x14ac:dyDescent="0.3">
      <c r="A415" s="3"/>
      <c r="B415" s="7"/>
      <c r="C415" s="6"/>
      <c r="D415" s="9"/>
      <c r="E415" s="5"/>
      <c r="F415" s="2"/>
      <c r="G415" s="3"/>
      <c r="H415" s="3"/>
    </row>
    <row r="416" spans="1:8" ht="22.5" customHeight="1" x14ac:dyDescent="0.3">
      <c r="A416" s="3"/>
      <c r="B416" s="5"/>
      <c r="C416" s="6"/>
      <c r="D416" s="5"/>
      <c r="E416" s="4"/>
      <c r="F416" s="2"/>
      <c r="G416" s="3"/>
      <c r="H416" s="3"/>
    </row>
    <row r="417" spans="1:8" ht="22.5" customHeight="1" x14ac:dyDescent="0.3">
      <c r="A417" s="16"/>
      <c r="B417" s="7"/>
      <c r="C417" s="6"/>
      <c r="D417" s="9"/>
      <c r="E417" s="5"/>
      <c r="F417" s="2"/>
      <c r="G417" s="3"/>
      <c r="H417" s="3"/>
    </row>
    <row r="418" spans="1:8" ht="22.5" customHeight="1" x14ac:dyDescent="0.3">
      <c r="A418" s="15" t="s">
        <v>2</v>
      </c>
      <c r="B418" s="14"/>
      <c r="C418" s="6"/>
      <c r="D418" s="13"/>
      <c r="E418" s="4"/>
      <c r="F418" s="2"/>
      <c r="G418" s="3"/>
      <c r="H418" s="3"/>
    </row>
    <row r="419" spans="1:8" ht="22.5" customHeight="1" x14ac:dyDescent="0.3">
      <c r="A419" s="11" t="s">
        <v>1</v>
      </c>
      <c r="B419" s="5"/>
      <c r="C419" s="5"/>
      <c r="D419" s="4"/>
      <c r="E419" s="4"/>
      <c r="F419" s="2"/>
      <c r="G419" s="3"/>
      <c r="H419" s="3"/>
    </row>
    <row r="420" spans="1:8" ht="22.5" customHeight="1" x14ac:dyDescent="0.3">
      <c r="A420" s="11" t="s">
        <v>0</v>
      </c>
      <c r="B420" s="5"/>
      <c r="C420" s="5"/>
      <c r="D420" s="12"/>
      <c r="E420" s="12"/>
      <c r="F420" s="2"/>
      <c r="G420" s="3"/>
      <c r="H420" s="3"/>
    </row>
    <row r="421" spans="1:8" ht="22.5" customHeight="1" x14ac:dyDescent="0.3">
      <c r="A421" s="11"/>
      <c r="B421" s="7"/>
      <c r="C421" s="6"/>
      <c r="D421" s="9"/>
      <c r="E421" s="5"/>
      <c r="F421" s="2"/>
      <c r="G421" s="3"/>
      <c r="H421" s="3"/>
    </row>
    <row r="422" spans="1:8" ht="22.5" customHeight="1" x14ac:dyDescent="0.3">
      <c r="A422" s="10"/>
      <c r="B422" s="7"/>
      <c r="C422" s="6"/>
      <c r="D422" s="9"/>
      <c r="E422" s="5"/>
      <c r="F422" s="2"/>
      <c r="G422" s="3"/>
      <c r="H422" s="3"/>
    </row>
    <row r="423" spans="1:8" ht="22.5" customHeight="1" x14ac:dyDescent="0.3">
      <c r="B423" s="7"/>
      <c r="C423" s="6"/>
      <c r="D423" s="5"/>
      <c r="E423" s="4"/>
      <c r="F423" s="2"/>
      <c r="G423" s="3"/>
      <c r="H423" s="3"/>
    </row>
    <row r="424" spans="1:8" ht="22.5" customHeight="1" x14ac:dyDescent="0.3">
      <c r="A424" s="8"/>
      <c r="B424" s="7"/>
      <c r="C424" s="6"/>
      <c r="D424" s="5"/>
      <c r="E424" s="4"/>
      <c r="F424" s="2"/>
      <c r="G424" s="3"/>
      <c r="H424" s="3"/>
    </row>
    <row r="425" spans="1:8" ht="22.5" customHeight="1" x14ac:dyDescent="0.25">
      <c r="B425" s="5"/>
      <c r="C425" s="5"/>
      <c r="D425" s="4"/>
      <c r="E425" s="4"/>
      <c r="F425" s="2"/>
      <c r="G425" s="3"/>
      <c r="H425" s="3"/>
    </row>
  </sheetData>
  <mergeCells count="1">
    <mergeCell ref="A60:H60"/>
  </mergeCells>
  <pageMargins left="0.31496062992125984" right="0.19685039370078741" top="0.43307086614173229" bottom="0.39370078740157483" header="0.27559055118110237" footer="0.15748031496062992"/>
  <pageSetup paperSize="9" scale="41" firstPageNumber="2" orientation="portrait" useFirstPageNumber="1" r:id="rId1"/>
  <headerFooter alignWithMargins="0">
    <oddFooter>&amp;C&amp;"Times New Roman,Normal"&amp;26&amp;P</oddFooter>
  </headerFooter>
  <rowBreaks count="6" manualBreakCount="6">
    <brk id="62" max="8" man="1"/>
    <brk id="113" max="8" man="1"/>
    <brk id="177" max="16383" man="1"/>
    <brk id="241" max="16383" man="1"/>
    <brk id="301" max="8" man="1"/>
    <brk id="362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MAJ site(sectoriel)</vt:lpstr>
      <vt:lpstr>'MAJ site(sectoriel)'!Zone_d_impression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Rajia LAAOUJ</dc:creator>
  <cp:lastModifiedBy>Rajia LAAOUJ</cp:lastModifiedBy>
  <dcterms:created xsi:type="dcterms:W3CDTF">2023-10-11T08:26:10Z</dcterms:created>
  <dcterms:modified xsi:type="dcterms:W3CDTF">2023-10-11T08:26:24Z</dcterms:modified>
</cp:coreProperties>
</file>