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ate1904="1" codeName="ThisWorkbook"/>
  <mc:AlternateContent xmlns:mc="http://schemas.openxmlformats.org/markup-compatibility/2006">
    <mc:Choice Requires="x15">
      <x15ac:absPath xmlns:x15ac="http://schemas.microsoft.com/office/spreadsheetml/2010/11/ac" url="C:\Users\hamza\OneDrive\Documents\school\year\5.1\valuation models ba469\final report\"/>
    </mc:Choice>
  </mc:AlternateContent>
  <xr:revisionPtr revIDLastSave="0" documentId="13_ncr:1_{67693EF8-17CA-4F91-912B-E63D3364B1D5}" xr6:coauthVersionLast="47" xr6:coauthVersionMax="47" xr10:uidLastSave="{00000000-0000-0000-0000-000000000000}"/>
  <bookViews>
    <workbookView xWindow="-110" yWindow="-110" windowWidth="19420" windowHeight="10420" tabRatio="965" xr2:uid="{00000000-000D-0000-FFFF-FFFF00000000}"/>
  </bookViews>
  <sheets>
    <sheet name="DATA" sheetId="31" r:id="rId1"/>
    <sheet name="Input sheet" sheetId="11" r:id="rId2"/>
    <sheet name="Valuation output" sheetId="13" r:id="rId3"/>
    <sheet name="Stories to Numbers" sheetId="28" r:id="rId4"/>
    <sheet name="Diagnostics" sheetId="12" r:id="rId5"/>
    <sheet name="Summary Sheet" sheetId="29" r:id="rId6"/>
    <sheet name="Option value" sheetId="14" r:id="rId7"/>
    <sheet name="Cost of capital worksheet" sheetId="19" r:id="rId8"/>
    <sheet name="R&amp; D converter" sheetId="25" r:id="rId9"/>
    <sheet name="Operating lease converter" sheetId="18" r:id="rId10"/>
    <sheet name="Country equity risk premiums" sheetId="23" r:id="rId11"/>
    <sheet name="Synthetic rating" sheetId="20" r:id="rId12"/>
    <sheet name="Industry Average Beta (US)" sheetId="8" r:id="rId13"/>
    <sheet name="Industry Average Beta (Global)" sheetId="26" r:id="rId14"/>
    <sheet name="Trailing 12 month" sheetId="24" r:id="rId15"/>
    <sheet name="Answer keys" sheetId="21" r:id="rId1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1" i="11" l="1"/>
  <c r="B12" i="11"/>
  <c r="B48" i="19" l="1"/>
  <c r="C12" i="11"/>
  <c r="B18" i="11"/>
  <c r="B16" i="11"/>
  <c r="C16" i="11"/>
  <c r="B17" i="11"/>
  <c r="C17" i="11"/>
  <c r="B20" i="11"/>
  <c r="B11" i="11"/>
  <c r="C11" i="11"/>
  <c r="B56" i="31" l="1"/>
  <c r="B15" i="11" s="1"/>
  <c r="C15" i="11"/>
  <c r="C4" i="20" l="1"/>
  <c r="F5" i="20"/>
  <c r="F6" i="20"/>
  <c r="D9" i="20" s="1"/>
  <c r="F7" i="20"/>
  <c r="D10" i="20" l="1"/>
  <c r="B19" i="11" l="1"/>
  <c r="C10" i="11"/>
  <c r="B10" i="11"/>
  <c r="C9" i="11"/>
  <c r="B9" i="11"/>
  <c r="C8" i="11"/>
  <c r="B8" i="11"/>
  <c r="J22" i="11" l="1"/>
  <c r="J23" i="11"/>
  <c r="J24" i="11"/>
  <c r="J25" i="11"/>
  <c r="J26" i="11"/>
  <c r="J27" i="11"/>
  <c r="G1" i="28"/>
  <c r="M12" i="13" l="1"/>
  <c r="C10" i="28" l="1"/>
  <c r="C9" i="28"/>
  <c r="D176" i="23" l="1"/>
  <c r="D175" i="23"/>
  <c r="D169" i="23"/>
  <c r="D167" i="23"/>
  <c r="D161" i="23"/>
  <c r="D160" i="23"/>
  <c r="D159" i="23"/>
  <c r="D153" i="23"/>
  <c r="D152" i="23"/>
  <c r="D151" i="23"/>
  <c r="D145" i="23"/>
  <c r="D144" i="23"/>
  <c r="D143" i="23"/>
  <c r="D136" i="23"/>
  <c r="D135" i="23"/>
  <c r="D128" i="23"/>
  <c r="D127" i="23"/>
  <c r="D119" i="23"/>
  <c r="D111" i="23"/>
  <c r="D105" i="23"/>
  <c r="D103" i="23"/>
  <c r="D97" i="23"/>
  <c r="D96" i="23"/>
  <c r="D95" i="23"/>
  <c r="D89" i="23"/>
  <c r="D88" i="23"/>
  <c r="D87" i="23"/>
  <c r="D81" i="23"/>
  <c r="D80" i="23"/>
  <c r="D79" i="23"/>
  <c r="D72" i="23"/>
  <c r="D71" i="23"/>
  <c r="D64" i="23"/>
  <c r="D63" i="23"/>
  <c r="D55" i="23"/>
  <c r="D47" i="23"/>
  <c r="D42" i="23"/>
  <c r="D41" i="23"/>
  <c r="D40" i="23"/>
  <c r="D39" i="23"/>
  <c r="D33" i="23"/>
  <c r="D32" i="23"/>
  <c r="D31" i="23"/>
  <c r="D30" i="23"/>
  <c r="D24" i="23"/>
  <c r="D23" i="23"/>
  <c r="D22" i="23"/>
  <c r="D16" i="23"/>
  <c r="D15" i="23"/>
  <c r="D14" i="23"/>
  <c r="D10" i="23"/>
  <c r="D9" i="23"/>
  <c r="D8" i="23"/>
  <c r="D7" i="23"/>
  <c r="D6" i="23"/>
  <c r="D5" i="23"/>
  <c r="D11" i="23"/>
  <c r="D12" i="23"/>
  <c r="D13" i="23"/>
  <c r="D17" i="23"/>
  <c r="D18" i="23"/>
  <c r="D19" i="23"/>
  <c r="D20" i="23"/>
  <c r="D21" i="23"/>
  <c r="D25" i="23"/>
  <c r="D26" i="23"/>
  <c r="D27" i="23"/>
  <c r="D28" i="23"/>
  <c r="D29" i="23"/>
  <c r="D34" i="23"/>
  <c r="D35" i="23"/>
  <c r="D36" i="23"/>
  <c r="D37" i="23"/>
  <c r="D38" i="23"/>
  <c r="D43" i="23"/>
  <c r="D44" i="23"/>
  <c r="D45" i="23"/>
  <c r="D46" i="23"/>
  <c r="D48" i="23"/>
  <c r="D49" i="23"/>
  <c r="D50" i="23"/>
  <c r="D51" i="23"/>
  <c r="D52" i="23"/>
  <c r="D53" i="23"/>
  <c r="D54" i="23"/>
  <c r="D56" i="23"/>
  <c r="D57" i="23"/>
  <c r="D58" i="23"/>
  <c r="D59" i="23"/>
  <c r="D60" i="23"/>
  <c r="D61" i="23"/>
  <c r="D62" i="23"/>
  <c r="D65" i="23"/>
  <c r="D66" i="23"/>
  <c r="D67" i="23"/>
  <c r="D68" i="23"/>
  <c r="D69" i="23"/>
  <c r="D70" i="23"/>
  <c r="D73" i="23"/>
  <c r="D74" i="23"/>
  <c r="D75" i="23"/>
  <c r="D76" i="23"/>
  <c r="D77" i="23"/>
  <c r="D78" i="23"/>
  <c r="D82" i="23"/>
  <c r="D83" i="23"/>
  <c r="D84" i="23"/>
  <c r="D85" i="23"/>
  <c r="D86" i="23"/>
  <c r="D90" i="23"/>
  <c r="D91" i="23"/>
  <c r="D92" i="23"/>
  <c r="D93" i="23"/>
  <c r="D94" i="23"/>
  <c r="D98" i="23"/>
  <c r="D99" i="23"/>
  <c r="D100" i="23"/>
  <c r="D101" i="23"/>
  <c r="D102" i="23"/>
  <c r="D104" i="23"/>
  <c r="D106" i="23"/>
  <c r="D107" i="23"/>
  <c r="D108" i="23"/>
  <c r="D109" i="23"/>
  <c r="D110" i="23"/>
  <c r="D112" i="23"/>
  <c r="D113" i="23"/>
  <c r="D114" i="23"/>
  <c r="D115" i="23"/>
  <c r="D116" i="23"/>
  <c r="D117" i="23"/>
  <c r="D118" i="23"/>
  <c r="D120" i="23"/>
  <c r="D121" i="23"/>
  <c r="D122" i="23"/>
  <c r="D123" i="23"/>
  <c r="D124" i="23"/>
  <c r="D125" i="23"/>
  <c r="D126" i="23"/>
  <c r="D129" i="23"/>
  <c r="D130" i="23"/>
  <c r="D131" i="23"/>
  <c r="D132" i="23"/>
  <c r="D133" i="23"/>
  <c r="D134" i="23"/>
  <c r="D137" i="23"/>
  <c r="D138" i="23"/>
  <c r="D139" i="23"/>
  <c r="D140" i="23"/>
  <c r="D141" i="23"/>
  <c r="D142" i="23"/>
  <c r="D146" i="23"/>
  <c r="D147" i="23"/>
  <c r="D148" i="23"/>
  <c r="D149" i="23"/>
  <c r="D150" i="23"/>
  <c r="D154" i="23"/>
  <c r="D155" i="23"/>
  <c r="D156" i="23"/>
  <c r="D157" i="23"/>
  <c r="D158" i="23"/>
  <c r="D162" i="23"/>
  <c r="D163" i="23"/>
  <c r="D164" i="23"/>
  <c r="D165" i="23"/>
  <c r="D166" i="23"/>
  <c r="D168" i="23"/>
  <c r="D170" i="23"/>
  <c r="D171" i="23"/>
  <c r="D172" i="23"/>
  <c r="D173" i="23"/>
  <c r="D174" i="23"/>
  <c r="D177" i="23"/>
  <c r="D178" i="23"/>
  <c r="D179" i="23"/>
  <c r="D180" i="23"/>
  <c r="D181" i="23"/>
  <c r="I29" i="19" l="1"/>
  <c r="I23" i="19"/>
  <c r="C4" i="13"/>
  <c r="C17" i="28" s="1"/>
  <c r="D2" i="13"/>
  <c r="E2" i="13" s="1"/>
  <c r="F2" i="13" s="1"/>
  <c r="G2" i="13" s="1"/>
  <c r="C2" i="13"/>
  <c r="H32" i="19"/>
  <c r="K24" i="11"/>
  <c r="K23" i="11"/>
  <c r="B17" i="13"/>
  <c r="M2" i="13"/>
  <c r="F9" i="28" s="1"/>
  <c r="E9" i="28" s="1"/>
  <c r="D12" i="20"/>
  <c r="I53" i="19"/>
  <c r="J53" i="19" s="1"/>
  <c r="K53" i="19"/>
  <c r="I54" i="19"/>
  <c r="J54" i="19" s="1"/>
  <c r="K54" i="19"/>
  <c r="I55" i="19"/>
  <c r="J55" i="19" s="1"/>
  <c r="K55" i="19"/>
  <c r="I56" i="19"/>
  <c r="J56" i="19" s="1"/>
  <c r="K56" i="19"/>
  <c r="I57" i="19"/>
  <c r="J57" i="19" s="1"/>
  <c r="K57" i="19"/>
  <c r="I58" i="19"/>
  <c r="J58" i="19" s="1"/>
  <c r="K58" i="19"/>
  <c r="I59" i="19"/>
  <c r="J59" i="19" s="1"/>
  <c r="K59" i="19"/>
  <c r="I60" i="19"/>
  <c r="J60" i="19" s="1"/>
  <c r="K60" i="19"/>
  <c r="I61" i="19"/>
  <c r="J61" i="19" s="1"/>
  <c r="K61" i="19"/>
  <c r="I62" i="19"/>
  <c r="J62" i="19" s="1"/>
  <c r="K62" i="19"/>
  <c r="I63" i="19"/>
  <c r="J63" i="19" s="1"/>
  <c r="K63" i="19"/>
  <c r="H64" i="19"/>
  <c r="I52" i="19"/>
  <c r="J52" i="19" s="1"/>
  <c r="K52" i="19"/>
  <c r="I28" i="19"/>
  <c r="I27" i="19"/>
  <c r="I26" i="19"/>
  <c r="I25" i="19"/>
  <c r="I24" i="19"/>
  <c r="I22" i="19"/>
  <c r="I21" i="19"/>
  <c r="H16" i="19"/>
  <c r="H5" i="19"/>
  <c r="G29" i="19"/>
  <c r="G28" i="19"/>
  <c r="G27" i="19"/>
  <c r="G26" i="19"/>
  <c r="G25" i="19"/>
  <c r="G24" i="19"/>
  <c r="G23" i="19"/>
  <c r="G22" i="19"/>
  <c r="G21" i="19"/>
  <c r="I15" i="19"/>
  <c r="I14" i="19"/>
  <c r="I13" i="19"/>
  <c r="I12" i="19"/>
  <c r="I11" i="19"/>
  <c r="I10" i="19"/>
  <c r="I9" i="19"/>
  <c r="I8" i="19"/>
  <c r="I7" i="19"/>
  <c r="I6" i="19"/>
  <c r="A25" i="29"/>
  <c r="A37" i="29"/>
  <c r="A49" i="29"/>
  <c r="A24" i="29"/>
  <c r="A36" i="29"/>
  <c r="A48" i="29"/>
  <c r="A23" i="29"/>
  <c r="A35" i="29"/>
  <c r="A47" i="29"/>
  <c r="A22" i="29"/>
  <c r="A34" i="29"/>
  <c r="A46" i="29"/>
  <c r="A21" i="29"/>
  <c r="A33" i="29"/>
  <c r="A45" i="29"/>
  <c r="A20" i="29"/>
  <c r="A32" i="29"/>
  <c r="A44" i="29"/>
  <c r="A19" i="29"/>
  <c r="A31" i="29"/>
  <c r="A43" i="29"/>
  <c r="A18" i="29"/>
  <c r="A30" i="29"/>
  <c r="A42" i="29"/>
  <c r="A17" i="29"/>
  <c r="A29" i="29"/>
  <c r="A41" i="29"/>
  <c r="A16" i="29"/>
  <c r="A28" i="29"/>
  <c r="A40" i="29"/>
  <c r="C3" i="29"/>
  <c r="A15" i="29"/>
  <c r="B10" i="13"/>
  <c r="F2" i="29" s="1"/>
  <c r="B12" i="19"/>
  <c r="B25" i="19" s="1"/>
  <c r="J15" i="19"/>
  <c r="K15" i="19"/>
  <c r="J14" i="19"/>
  <c r="K14" i="19"/>
  <c r="B6" i="13"/>
  <c r="C6" i="13" s="1"/>
  <c r="D6" i="13" s="1"/>
  <c r="E6" i="13" s="1"/>
  <c r="F6" i="13" s="1"/>
  <c r="G6" i="13" s="1"/>
  <c r="B22" i="13"/>
  <c r="G33" i="28" s="1"/>
  <c r="G39" i="28"/>
  <c r="B22" i="18"/>
  <c r="A22" i="18"/>
  <c r="B23" i="18"/>
  <c r="A23" i="18"/>
  <c r="B24" i="18"/>
  <c r="A24" i="18"/>
  <c r="B25" i="18"/>
  <c r="A25" i="18"/>
  <c r="B26" i="18"/>
  <c r="A26" i="18"/>
  <c r="D18" i="18"/>
  <c r="B27" i="18" s="1"/>
  <c r="A25" i="25"/>
  <c r="B25" i="25"/>
  <c r="E25" i="25" s="1"/>
  <c r="A12" i="25"/>
  <c r="A26" i="25" s="1"/>
  <c r="B26" i="25"/>
  <c r="B27" i="25"/>
  <c r="C24" i="25"/>
  <c r="B28" i="25"/>
  <c r="B29" i="25"/>
  <c r="B30" i="25"/>
  <c r="B31" i="25"/>
  <c r="B32" i="25"/>
  <c r="B33" i="25"/>
  <c r="B34" i="25"/>
  <c r="B6" i="19"/>
  <c r="B7" i="19"/>
  <c r="B19" i="19"/>
  <c r="B18" i="19"/>
  <c r="D48" i="19"/>
  <c r="B26" i="19"/>
  <c r="H18" i="19"/>
  <c r="J5" i="19"/>
  <c r="J7" i="19"/>
  <c r="K7" i="19"/>
  <c r="J8" i="19"/>
  <c r="K8" i="19"/>
  <c r="J9" i="19"/>
  <c r="K9" i="19"/>
  <c r="J10" i="19"/>
  <c r="K10" i="19"/>
  <c r="J11" i="19"/>
  <c r="K11" i="19"/>
  <c r="J12" i="19"/>
  <c r="K12" i="19"/>
  <c r="J13" i="19"/>
  <c r="K13" i="19"/>
  <c r="J17" i="19"/>
  <c r="K17" i="19"/>
  <c r="D50" i="19"/>
  <c r="M6" i="13"/>
  <c r="F11" i="28" s="1"/>
  <c r="E11" i="28" s="1"/>
  <c r="B26" i="13"/>
  <c r="B27" i="13"/>
  <c r="B28" i="13"/>
  <c r="B32" i="13"/>
  <c r="D38" i="28" s="1"/>
  <c r="D9" i="28"/>
  <c r="A1" i="28"/>
  <c r="I36" i="19"/>
  <c r="K36" i="19" s="1"/>
  <c r="I47" i="19"/>
  <c r="K47" i="19" s="1"/>
  <c r="I46" i="19"/>
  <c r="J46" i="19" s="1"/>
  <c r="I45" i="19"/>
  <c r="J45" i="19" s="1"/>
  <c r="I44" i="19"/>
  <c r="K44" i="19" s="1"/>
  <c r="I43" i="19"/>
  <c r="J43" i="19" s="1"/>
  <c r="I42" i="19"/>
  <c r="J42" i="19" s="1"/>
  <c r="I41" i="19"/>
  <c r="J41" i="19" s="1"/>
  <c r="I40" i="19"/>
  <c r="K40" i="19" s="1"/>
  <c r="I39" i="19"/>
  <c r="K39" i="19" s="1"/>
  <c r="I38" i="19"/>
  <c r="K38" i="19" s="1"/>
  <c r="I37" i="19"/>
  <c r="J37" i="19" s="1"/>
  <c r="K27" i="11"/>
  <c r="K26" i="11"/>
  <c r="K25" i="11"/>
  <c r="K22" i="11"/>
  <c r="H48" i="19"/>
  <c r="A27" i="18"/>
  <c r="B34" i="13"/>
  <c r="D9" i="14"/>
  <c r="F14" i="14" s="1"/>
  <c r="D8" i="14"/>
  <c r="F13" i="14" s="1"/>
  <c r="D5" i="14"/>
  <c r="F16" i="14" s="1"/>
  <c r="D4" i="14"/>
  <c r="C17" i="14" s="1"/>
  <c r="D3" i="14"/>
  <c r="C14" i="14"/>
  <c r="C16" i="14"/>
  <c r="D2" i="14"/>
  <c r="C13" i="14" s="1"/>
  <c r="D7" i="14"/>
  <c r="F15" i="14" s="1"/>
  <c r="F18" i="14" s="1"/>
  <c r="F17" i="14"/>
  <c r="I22" i="11"/>
  <c r="J16" i="19"/>
  <c r="K16" i="19"/>
  <c r="B3" i="13"/>
  <c r="B9" i="28" s="1"/>
  <c r="C25" i="25"/>
  <c r="J6" i="19"/>
  <c r="K6" i="19"/>
  <c r="B24" i="25"/>
  <c r="D24" i="25" s="1"/>
  <c r="K42" i="19"/>
  <c r="J18" i="19"/>
  <c r="I5" i="19"/>
  <c r="K5" i="19" s="1"/>
  <c r="B30" i="13"/>
  <c r="D37" i="28" s="1"/>
  <c r="D3" i="29"/>
  <c r="K46" i="19" l="1"/>
  <c r="J47" i="19"/>
  <c r="J44" i="19"/>
  <c r="K41" i="19"/>
  <c r="D35" i="28"/>
  <c r="D25" i="25"/>
  <c r="A13" i="25"/>
  <c r="C26" i="25"/>
  <c r="D26" i="25" s="1"/>
  <c r="E26" i="25"/>
  <c r="H6" i="13"/>
  <c r="I6" i="13" s="1"/>
  <c r="J6" i="13" s="1"/>
  <c r="K6" i="13" s="1"/>
  <c r="L6" i="13" s="1"/>
  <c r="K37" i="19"/>
  <c r="J64" i="19"/>
  <c r="K64" i="19" s="1"/>
  <c r="B11" i="19" s="1"/>
  <c r="J38" i="19"/>
  <c r="K45" i="19"/>
  <c r="J36" i="19"/>
  <c r="J39" i="19"/>
  <c r="K43" i="19"/>
  <c r="J40" i="19"/>
  <c r="C41" i="19"/>
  <c r="J30" i="19"/>
  <c r="K30" i="19" s="1"/>
  <c r="J27" i="19"/>
  <c r="K27" i="19" s="1"/>
  <c r="J22" i="19"/>
  <c r="J29" i="19"/>
  <c r="K29" i="19" s="1"/>
  <c r="J28" i="19"/>
  <c r="K28" i="19" s="1"/>
  <c r="J24" i="19"/>
  <c r="K24" i="19" s="1"/>
  <c r="J21" i="19"/>
  <c r="K21" i="19" s="1"/>
  <c r="J31" i="19"/>
  <c r="K31" i="19" s="1"/>
  <c r="J26" i="19"/>
  <c r="K26" i="19" s="1"/>
  <c r="J25" i="19"/>
  <c r="K25" i="19" s="1"/>
  <c r="J23" i="19"/>
  <c r="K23" i="19" s="1"/>
  <c r="K22" i="19"/>
  <c r="C42" i="19"/>
  <c r="C44" i="19" s="1"/>
  <c r="I2" i="13"/>
  <c r="B11" i="28"/>
  <c r="D11" i="28" s="1"/>
  <c r="L2" i="13"/>
  <c r="H2" i="13"/>
  <c r="I4" i="13"/>
  <c r="D9" i="29" s="1"/>
  <c r="J4" i="13"/>
  <c r="D10" i="29" s="1"/>
  <c r="K4" i="13"/>
  <c r="C25" i="28" s="1"/>
  <c r="G4" i="13"/>
  <c r="L4" i="13"/>
  <c r="M4" i="13" s="1"/>
  <c r="C27" i="28" s="1"/>
  <c r="F4" i="13"/>
  <c r="H4" i="13"/>
  <c r="D8" i="29" s="1"/>
  <c r="E4" i="13"/>
  <c r="D4" i="13"/>
  <c r="C3" i="13"/>
  <c r="C8" i="13" s="1"/>
  <c r="B2" i="29"/>
  <c r="K18" i="19"/>
  <c r="F14" i="28"/>
  <c r="E14" i="28" s="1"/>
  <c r="J2" i="13"/>
  <c r="K2" i="13"/>
  <c r="C50" i="19"/>
  <c r="C22" i="18"/>
  <c r="C23" i="18"/>
  <c r="C24" i="18"/>
  <c r="C25" i="18"/>
  <c r="C26" i="18"/>
  <c r="C27" i="18"/>
  <c r="C48" i="19" l="1"/>
  <c r="A27" i="25"/>
  <c r="A14" i="25"/>
  <c r="J48" i="19"/>
  <c r="K48" i="19" s="1"/>
  <c r="K32" i="19"/>
  <c r="B15" i="19" s="1"/>
  <c r="J32" i="19"/>
  <c r="C23" i="28"/>
  <c r="D12" i="29"/>
  <c r="C26" i="28"/>
  <c r="D11" i="29"/>
  <c r="F10" i="28"/>
  <c r="E10" i="28" s="1"/>
  <c r="C22" i="28"/>
  <c r="C19" i="28"/>
  <c r="D5" i="29"/>
  <c r="D7" i="29"/>
  <c r="C21" i="28"/>
  <c r="C24" i="28"/>
  <c r="D6" i="29"/>
  <c r="C20" i="28"/>
  <c r="D3" i="13"/>
  <c r="B3" i="29"/>
  <c r="C5" i="13"/>
  <c r="B17" i="28"/>
  <c r="D17" i="28" s="1"/>
  <c r="C18" i="28"/>
  <c r="D4" i="29"/>
  <c r="C28" i="18"/>
  <c r="F34" i="18" s="1"/>
  <c r="B25" i="13"/>
  <c r="D34" i="28" s="1"/>
  <c r="E27" i="25" l="1"/>
  <c r="C27" i="25"/>
  <c r="D27" i="25" s="1"/>
  <c r="A28" i="25"/>
  <c r="A15" i="25"/>
  <c r="C10" i="13"/>
  <c r="F3" i="29" s="1"/>
  <c r="C7" i="13"/>
  <c r="E3" i="29"/>
  <c r="C16" i="29"/>
  <c r="E3" i="13"/>
  <c r="B4" i="29"/>
  <c r="B18" i="28"/>
  <c r="D18" i="28" s="1"/>
  <c r="D5" i="13"/>
  <c r="F31" i="18"/>
  <c r="F32" i="18" s="1"/>
  <c r="F33" i="18"/>
  <c r="B39" i="13" s="1"/>
  <c r="B5" i="13"/>
  <c r="B33" i="19"/>
  <c r="C43" i="19" s="1"/>
  <c r="A29" i="25" l="1"/>
  <c r="A16" i="25"/>
  <c r="E28" i="25"/>
  <c r="C28" i="25"/>
  <c r="D28" i="25" s="1"/>
  <c r="B19" i="28"/>
  <c r="D19" i="28" s="1"/>
  <c r="B5" i="29"/>
  <c r="F3" i="13"/>
  <c r="E5" i="13"/>
  <c r="E4" i="29"/>
  <c r="C17" i="29"/>
  <c r="C4" i="29"/>
  <c r="E17" i="28"/>
  <c r="H3" i="29"/>
  <c r="B16" i="29" s="1"/>
  <c r="D7" i="13"/>
  <c r="D10" i="13"/>
  <c r="F4" i="29" s="1"/>
  <c r="G15" i="29"/>
  <c r="B2" i="12"/>
  <c r="I24" i="11"/>
  <c r="C45" i="19"/>
  <c r="B50" i="19" s="1"/>
  <c r="E48" i="19"/>
  <c r="C49" i="19" s="1"/>
  <c r="D11" i="20"/>
  <c r="D13" i="20" s="1"/>
  <c r="B7" i="13"/>
  <c r="B4" i="13"/>
  <c r="E29" i="25" l="1"/>
  <c r="C29" i="25"/>
  <c r="D29" i="25" s="1"/>
  <c r="A30" i="25"/>
  <c r="A17" i="25"/>
  <c r="G3" i="29"/>
  <c r="E18" i="28"/>
  <c r="H4" i="29"/>
  <c r="B17" i="29" s="1"/>
  <c r="B6" i="29"/>
  <c r="G3" i="13"/>
  <c r="B20" i="28"/>
  <c r="D20" i="28" s="1"/>
  <c r="F5" i="13"/>
  <c r="C18" i="29"/>
  <c r="E5" i="29"/>
  <c r="C5" i="29"/>
  <c r="E10" i="13"/>
  <c r="F5" i="29" s="1"/>
  <c r="E7" i="13"/>
  <c r="D49" i="19"/>
  <c r="B49" i="19"/>
  <c r="E12" i="28"/>
  <c r="C38" i="13"/>
  <c r="I25" i="11"/>
  <c r="B40" i="13"/>
  <c r="B13" i="28" s="1"/>
  <c r="H2" i="29"/>
  <c r="B15" i="29" s="1"/>
  <c r="H15" i="29" s="1"/>
  <c r="D2" i="29"/>
  <c r="E2" i="29" s="1"/>
  <c r="I23" i="11"/>
  <c r="B10" i="28"/>
  <c r="D10" i="28" s="1"/>
  <c r="E50" i="19" l="1"/>
  <c r="A31" i="25"/>
  <c r="A18" i="25"/>
  <c r="E30" i="25"/>
  <c r="C30" i="25"/>
  <c r="D30" i="25" s="1"/>
  <c r="H5" i="29"/>
  <c r="B18" i="29" s="1"/>
  <c r="E19" i="28"/>
  <c r="E6" i="29"/>
  <c r="C6" i="29"/>
  <c r="C19" i="29"/>
  <c r="B7" i="29"/>
  <c r="B21" i="28"/>
  <c r="D21" i="28" s="1"/>
  <c r="H3" i="13"/>
  <c r="G5" i="13"/>
  <c r="F10" i="13"/>
  <c r="F6" i="29" s="1"/>
  <c r="F7" i="13"/>
  <c r="G4" i="29"/>
  <c r="G2" i="29"/>
  <c r="E49" i="19"/>
  <c r="D38" i="13"/>
  <c r="D16" i="29"/>
  <c r="E16" i="29" s="1"/>
  <c r="C12" i="13" l="1"/>
  <c r="E31" i="25"/>
  <c r="C31" i="25"/>
  <c r="D31" i="25" s="1"/>
  <c r="A19" i="25"/>
  <c r="A32" i="25"/>
  <c r="G5" i="29"/>
  <c r="B8" i="29"/>
  <c r="I3" i="13"/>
  <c r="B22" i="28"/>
  <c r="D22" i="28" s="1"/>
  <c r="H5" i="13"/>
  <c r="C7" i="29"/>
  <c r="E7" i="29"/>
  <c r="C20" i="29"/>
  <c r="E20" i="28"/>
  <c r="H6" i="29"/>
  <c r="B19" i="29" s="1"/>
  <c r="G7" i="13"/>
  <c r="G10" i="13"/>
  <c r="F7" i="29" s="1"/>
  <c r="C9" i="13"/>
  <c r="F17" i="28"/>
  <c r="G17" i="28" s="1"/>
  <c r="C39" i="13"/>
  <c r="F16" i="29"/>
  <c r="D40" i="29" s="1"/>
  <c r="G16" i="29"/>
  <c r="D8" i="13"/>
  <c r="E38" i="13"/>
  <c r="D17" i="29"/>
  <c r="E17" i="29" s="1"/>
  <c r="F17" i="29" s="1"/>
  <c r="D41" i="29" s="1"/>
  <c r="C13" i="13" l="1"/>
  <c r="C14" i="13" s="1"/>
  <c r="H28" i="29"/>
  <c r="B40" i="29" s="1"/>
  <c r="C40" i="29" s="1"/>
  <c r="F40" i="29" s="1"/>
  <c r="D12" i="13"/>
  <c r="H29" i="29" s="1"/>
  <c r="B41" i="29" s="1"/>
  <c r="D14" i="28"/>
  <c r="A20" i="25"/>
  <c r="A34" i="25" s="1"/>
  <c r="A33" i="25"/>
  <c r="E32" i="25"/>
  <c r="C32" i="25"/>
  <c r="D32" i="25" s="1"/>
  <c r="H7" i="13"/>
  <c r="H10" i="13"/>
  <c r="F8" i="29" s="1"/>
  <c r="E21" i="28"/>
  <c r="H7" i="29"/>
  <c r="B20" i="29" s="1"/>
  <c r="G6" i="29"/>
  <c r="I5" i="13"/>
  <c r="B23" i="28"/>
  <c r="D23" i="28" s="1"/>
  <c r="J3" i="13"/>
  <c r="B9" i="29"/>
  <c r="C8" i="29"/>
  <c r="C21" i="29"/>
  <c r="E8" i="29"/>
  <c r="F38" i="13"/>
  <c r="D18" i="29"/>
  <c r="E18" i="29" s="1"/>
  <c r="F18" i="29" s="1"/>
  <c r="D42" i="29" s="1"/>
  <c r="E8" i="13"/>
  <c r="D9" i="13"/>
  <c r="F18" i="28"/>
  <c r="G18" i="28" s="1"/>
  <c r="D39" i="13"/>
  <c r="C40" i="13"/>
  <c r="H16" i="29"/>
  <c r="G17" i="29"/>
  <c r="D13" i="13" l="1"/>
  <c r="D14" i="13" s="1"/>
  <c r="C41" i="29"/>
  <c r="F41" i="29" s="1"/>
  <c r="E12" i="13"/>
  <c r="F12" i="13" s="1"/>
  <c r="E33" i="25"/>
  <c r="C33" i="25"/>
  <c r="D33" i="25" s="1"/>
  <c r="E34" i="25"/>
  <c r="C34" i="25"/>
  <c r="D34" i="25" s="1"/>
  <c r="E22" i="28"/>
  <c r="H8" i="29"/>
  <c r="B21" i="29" s="1"/>
  <c r="I10" i="13"/>
  <c r="F9" i="29" s="1"/>
  <c r="I7" i="13"/>
  <c r="C22" i="29"/>
  <c r="C9" i="29"/>
  <c r="E9" i="29"/>
  <c r="K3" i="13"/>
  <c r="B24" i="28"/>
  <c r="D24" i="28" s="1"/>
  <c r="J5" i="13"/>
  <c r="B10" i="29"/>
  <c r="G7" i="29"/>
  <c r="F8" i="13"/>
  <c r="D19" i="29"/>
  <c r="E19" i="29" s="1"/>
  <c r="F19" i="29" s="1"/>
  <c r="D43" i="29" s="1"/>
  <c r="G38" i="13"/>
  <c r="H17" i="29"/>
  <c r="G18" i="29"/>
  <c r="E39" i="13"/>
  <c r="D40" i="13"/>
  <c r="F19" i="28"/>
  <c r="G19" i="28" s="1"/>
  <c r="E9" i="13"/>
  <c r="H30" i="29" l="1"/>
  <c r="B42" i="29" s="1"/>
  <c r="C42" i="29" s="1"/>
  <c r="F42" i="29" s="1"/>
  <c r="E13" i="13"/>
  <c r="E14" i="13" s="1"/>
  <c r="D35" i="25"/>
  <c r="E35" i="25"/>
  <c r="D37" i="25" s="1"/>
  <c r="D39" i="25" s="1"/>
  <c r="D40" i="25" s="1"/>
  <c r="G8" i="29"/>
  <c r="E23" i="28"/>
  <c r="H9" i="29"/>
  <c r="B22" i="29" s="1"/>
  <c r="C23" i="29"/>
  <c r="C10" i="29"/>
  <c r="E10" i="29"/>
  <c r="J10" i="13"/>
  <c r="F10" i="29" s="1"/>
  <c r="J7" i="13"/>
  <c r="B25" i="28"/>
  <c r="D25" i="28" s="1"/>
  <c r="K5" i="13"/>
  <c r="B11" i="29"/>
  <c r="L3" i="13"/>
  <c r="F39" i="13"/>
  <c r="E40" i="13"/>
  <c r="G19" i="29"/>
  <c r="H18" i="29"/>
  <c r="G12" i="13"/>
  <c r="H31" i="29"/>
  <c r="B43" i="29" s="1"/>
  <c r="H38" i="13"/>
  <c r="G8" i="13"/>
  <c r="D20" i="29"/>
  <c r="E20" i="29" s="1"/>
  <c r="F20" i="29" s="1"/>
  <c r="D44" i="29" s="1"/>
  <c r="F9" i="13"/>
  <c r="F20" i="28"/>
  <c r="G20" i="28" s="1"/>
  <c r="C43" i="29" l="1"/>
  <c r="F43" i="29" s="1"/>
  <c r="F13" i="13"/>
  <c r="G13" i="13" s="1"/>
  <c r="H10" i="29"/>
  <c r="B23" i="29" s="1"/>
  <c r="E24" i="28"/>
  <c r="B12" i="29"/>
  <c r="B26" i="28"/>
  <c r="D26" i="28" s="1"/>
  <c r="M3" i="13"/>
  <c r="L5" i="13"/>
  <c r="C11" i="29"/>
  <c r="C24" i="29"/>
  <c r="E11" i="29"/>
  <c r="K7" i="13"/>
  <c r="K10" i="13"/>
  <c r="F11" i="29" s="1"/>
  <c r="G9" i="29"/>
  <c r="G9" i="13"/>
  <c r="F21" i="28"/>
  <c r="G21" i="28" s="1"/>
  <c r="G20" i="29"/>
  <c r="H19" i="29"/>
  <c r="F40" i="13"/>
  <c r="G39" i="13"/>
  <c r="H8" i="13"/>
  <c r="D21" i="29"/>
  <c r="E21" i="29" s="1"/>
  <c r="F21" i="29" s="1"/>
  <c r="D45" i="29" s="1"/>
  <c r="I38" i="13"/>
  <c r="H12" i="13"/>
  <c r="H32" i="29"/>
  <c r="B44" i="29" s="1"/>
  <c r="F14" i="13" l="1"/>
  <c r="C44" i="29"/>
  <c r="F44" i="29" s="1"/>
  <c r="G10" i="29"/>
  <c r="C25" i="29"/>
  <c r="C12" i="29"/>
  <c r="E12" i="29"/>
  <c r="B5" i="12"/>
  <c r="L7" i="13"/>
  <c r="L10" i="13"/>
  <c r="F12" i="29" s="1"/>
  <c r="B27" i="28"/>
  <c r="D27" i="28" s="1"/>
  <c r="J30" i="11"/>
  <c r="M5" i="13"/>
  <c r="E25" i="28"/>
  <c r="H11" i="29"/>
  <c r="B24" i="29" s="1"/>
  <c r="H13" i="13"/>
  <c r="G14" i="13"/>
  <c r="H20" i="29"/>
  <c r="G21" i="29"/>
  <c r="F22" i="28"/>
  <c r="G22" i="28" s="1"/>
  <c r="H9" i="13"/>
  <c r="H39" i="13"/>
  <c r="G40" i="13"/>
  <c r="I8" i="13"/>
  <c r="D22" i="29"/>
  <c r="E22" i="29" s="1"/>
  <c r="F22" i="29" s="1"/>
  <c r="D46" i="29" s="1"/>
  <c r="J38" i="13"/>
  <c r="H33" i="29"/>
  <c r="B45" i="29" s="1"/>
  <c r="I12" i="13"/>
  <c r="C45" i="29" l="1"/>
  <c r="F45" i="29" s="1"/>
  <c r="G11" i="29"/>
  <c r="H12" i="29"/>
  <c r="B25" i="29" s="1"/>
  <c r="E26" i="28"/>
  <c r="M7" i="13"/>
  <c r="M10" i="13"/>
  <c r="J31" i="11"/>
  <c r="N5" i="13"/>
  <c r="I13" i="13"/>
  <c r="H14" i="13"/>
  <c r="J8" i="13"/>
  <c r="D23" i="29"/>
  <c r="E23" i="29" s="1"/>
  <c r="F23" i="29" s="1"/>
  <c r="D47" i="29" s="1"/>
  <c r="K38" i="13"/>
  <c r="H34" i="29"/>
  <c r="B46" i="29" s="1"/>
  <c r="J12" i="13"/>
  <c r="G22" i="29"/>
  <c r="H21" i="29"/>
  <c r="F23" i="28"/>
  <c r="G23" i="28" s="1"/>
  <c r="I9" i="13"/>
  <c r="I39" i="13"/>
  <c r="H40" i="13"/>
  <c r="C46" i="29" l="1"/>
  <c r="F46" i="29" s="1"/>
  <c r="E27" i="28"/>
  <c r="G12" i="29"/>
  <c r="I14" i="13"/>
  <c r="K12" i="13"/>
  <c r="H35" i="29"/>
  <c r="B47" i="29" s="1"/>
  <c r="F24" i="28"/>
  <c r="G24" i="28" s="1"/>
  <c r="J9" i="13"/>
  <c r="K8" i="13"/>
  <c r="D24" i="29"/>
  <c r="E24" i="29" s="1"/>
  <c r="F24" i="29" s="1"/>
  <c r="D48" i="29" s="1"/>
  <c r="L38" i="13"/>
  <c r="G23" i="29"/>
  <c r="H22" i="29"/>
  <c r="J39" i="13"/>
  <c r="I40" i="13"/>
  <c r="J13" i="13"/>
  <c r="C47" i="29" l="1"/>
  <c r="F47" i="29" s="1"/>
  <c r="F25" i="28"/>
  <c r="G25" i="28" s="1"/>
  <c r="K9" i="13"/>
  <c r="J14" i="13"/>
  <c r="H36" i="29"/>
  <c r="B48" i="29" s="1"/>
  <c r="L12" i="13"/>
  <c r="K13" i="13"/>
  <c r="K39" i="13"/>
  <c r="J40" i="13"/>
  <c r="G24" i="29"/>
  <c r="H23" i="29"/>
  <c r="L8" i="13"/>
  <c r="D25" i="29"/>
  <c r="E25" i="29" s="1"/>
  <c r="F25" i="29" s="1"/>
  <c r="D49" i="29" s="1"/>
  <c r="C48" i="29" l="1"/>
  <c r="F48" i="29" s="1"/>
  <c r="H37" i="29"/>
  <c r="B49" i="29" s="1"/>
  <c r="M40" i="13"/>
  <c r="K14" i="13"/>
  <c r="F26" i="28"/>
  <c r="G26" i="28" s="1"/>
  <c r="L9" i="13"/>
  <c r="G25" i="29"/>
  <c r="H25" i="29" s="1"/>
  <c r="H24" i="29"/>
  <c r="L39" i="13"/>
  <c r="K40" i="13"/>
  <c r="L13" i="13"/>
  <c r="C49" i="29" l="1"/>
  <c r="F13" i="28"/>
  <c r="F12" i="28"/>
  <c r="M8" i="13"/>
  <c r="L14" i="13"/>
  <c r="B20" i="13" s="1"/>
  <c r="D31" i="28" s="1"/>
  <c r="B8" i="12"/>
  <c r="B3" i="12"/>
  <c r="B4" i="12" s="1"/>
  <c r="B6" i="12" s="1"/>
  <c r="E13" i="28" s="1"/>
  <c r="L40" i="13"/>
  <c r="F27" i="28" l="1"/>
  <c r="G27" i="28" s="1"/>
  <c r="M9" i="13"/>
  <c r="B16" i="13" s="1"/>
  <c r="B18" i="13" s="1"/>
  <c r="N8" i="13"/>
  <c r="B7" i="12"/>
  <c r="J32" i="11"/>
  <c r="D29" i="28" l="1"/>
  <c r="E49" i="29"/>
  <c r="F49" i="29" s="1"/>
  <c r="F50" i="29" s="1"/>
  <c r="B19" i="13"/>
  <c r="D30" i="28" l="1"/>
  <c r="B21" i="13"/>
  <c r="D32" i="28" l="1"/>
  <c r="B23" i="13"/>
  <c r="B24" i="13" s="1"/>
  <c r="B29" i="13" l="1"/>
  <c r="B31" i="13" s="1"/>
  <c r="B33" i="13" s="1"/>
  <c r="B29" i="11" s="1"/>
  <c r="D33" i="28"/>
  <c r="D36" i="28" s="1"/>
  <c r="D39" i="28" s="1"/>
  <c r="B35" i="13" l="1"/>
  <c r="B9" i="12"/>
  <c r="B10" i="12" s="1"/>
  <c r="C15" i="14" l="1"/>
  <c r="B20" i="14"/>
  <c r="B21" i="14"/>
  <c r="B23" i="14"/>
  <c r="B24" i="14"/>
  <c r="C26" i="14"/>
  <c r="D27"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C4" authorId="0" shapeId="0" xr:uid="{00000000-0006-0000-0000-000001000000}">
      <text>
        <r>
          <rPr>
            <b/>
            <sz val="9"/>
            <color rgb="FF000000"/>
            <rFont val="Geneva"/>
            <family val="2"/>
          </rPr>
          <t>Aswath Damodaran:</t>
        </r>
        <r>
          <rPr>
            <sz val="9"/>
            <color rgb="FF000000"/>
            <rFont val="Geneva"/>
            <family val="2"/>
          </rPr>
          <t xml:space="preserve">
</t>
        </r>
        <r>
          <rPr>
            <sz val="9"/>
            <color rgb="FF000000"/>
            <rFont val="Geneva"/>
            <family val="2"/>
          </rPr>
          <t>If you are using trailing 12-month data, it is best if the last year is the 12-month period just prior to the one that you are using. Thus, if you are looking at June 2011-June 2012, your trailing 12 month for the income statement numbers will be June 2010-June 2011 and your balance sheet numbers should be as of June 2011.</t>
        </r>
      </text>
    </comment>
    <comment ref="B6" authorId="0" shapeId="0" xr:uid="{00000000-0006-0000-0000-000002000000}">
      <text>
        <r>
          <rPr>
            <b/>
            <sz val="9"/>
            <color rgb="FF000000"/>
            <rFont val="Geneva"/>
            <family val="2"/>
          </rPr>
          <t>Aswath Damodaran:</t>
        </r>
        <r>
          <rPr>
            <sz val="9"/>
            <color rgb="FF000000"/>
            <rFont val="Geneva"/>
            <family val="2"/>
          </rPr>
          <t xml:space="preserve">
</t>
        </r>
        <r>
          <rPr>
            <sz val="9"/>
            <color rgb="FF000000"/>
            <rFont val="Geneva"/>
            <family val="2"/>
          </rPr>
          <t>If you are in multiple businesses, you can construct your own weighted averages using the industry average table from this spreadsheet and your company's business breakdown.</t>
        </r>
      </text>
    </comment>
    <comment ref="D7" authorId="0" shapeId="0" xr:uid="{00000000-0006-0000-0000-000003000000}">
      <text>
        <r>
          <rPr>
            <b/>
            <sz val="10"/>
            <color rgb="FF000000"/>
            <rFont val="Calibri"/>
            <family val="2"/>
          </rPr>
          <t>Aswath Damodaran:</t>
        </r>
        <r>
          <rPr>
            <sz val="10"/>
            <color rgb="FF000000"/>
            <rFont val="Calibri"/>
            <family val="2"/>
          </rPr>
          <t xml:space="preserve">
</t>
        </r>
        <r>
          <rPr>
            <sz val="10"/>
            <color rgb="FF000000"/>
            <rFont val="Calibri"/>
            <family val="2"/>
          </rPr>
          <t>If you have trailing 12 month numbers, the last year's numbers may be only 3 months, 6 months or 9 months ago.</t>
        </r>
      </text>
    </comment>
    <comment ref="B8" authorId="0" shapeId="0" xr:uid="{00000000-0006-0000-0000-000004000000}">
      <text>
        <r>
          <rPr>
            <b/>
            <sz val="9"/>
            <color rgb="FF000000"/>
            <rFont val="Geneva"/>
            <family val="2"/>
          </rPr>
          <t>Aswath Damodaran:</t>
        </r>
        <r>
          <rPr>
            <sz val="9"/>
            <color rgb="FF000000"/>
            <rFont val="Geneva"/>
            <family val="2"/>
          </rPr>
          <t xml:space="preserve">
</t>
        </r>
        <r>
          <rPr>
            <sz val="9"/>
            <color rgb="FF000000"/>
            <rFont val="Geneva"/>
            <family val="2"/>
          </rPr>
          <t>Enter the revenues from the most recent period (you can either use annual or the trailing 12 months). If your company had no revenues, enter a very small positive number. (You need a base for your growth rate)</t>
        </r>
      </text>
    </comment>
    <comment ref="C8" authorId="0" shapeId="0" xr:uid="{00000000-0006-0000-0000-000005000000}">
      <text>
        <r>
          <rPr>
            <b/>
            <sz val="9"/>
            <color rgb="FF000000"/>
            <rFont val="Geneva"/>
            <family val="2"/>
          </rPr>
          <t>Aswath Damodaran:</t>
        </r>
        <r>
          <rPr>
            <sz val="9"/>
            <color rgb="FF000000"/>
            <rFont val="Geneva"/>
            <family val="2"/>
          </rPr>
          <t xml:space="preserve">
</t>
        </r>
        <r>
          <rPr>
            <sz val="9"/>
            <color rgb="FF000000"/>
            <rFont val="Geneva"/>
            <family val="2"/>
          </rPr>
          <t>Enter the revenues from the most recent period (you can either use annual or the trailing 12 months). If your company had no revenues, enter a very small positive number. (You need a base for your growth rate)</t>
        </r>
      </text>
    </comment>
    <comment ref="B9" authorId="0" shapeId="0" xr:uid="{00000000-0006-0000-0000-000006000000}">
      <text>
        <r>
          <rPr>
            <b/>
            <sz val="9"/>
            <color rgb="FF000000"/>
            <rFont val="Geneva"/>
            <family val="2"/>
          </rPr>
          <t>Aswath Damodaran:</t>
        </r>
        <r>
          <rPr>
            <sz val="9"/>
            <color rgb="FF000000"/>
            <rFont val="Geneva"/>
            <family val="2"/>
          </rPr>
          <t xml:space="preserve">
</t>
        </r>
        <r>
          <rPr>
            <sz val="9"/>
            <color rgb="FF000000"/>
            <rFont val="Geneva"/>
            <family val="2"/>
          </rPr>
          <t>Enter the operating income or EBIT from the most recent time period, even if that number is negative. If you have operating leases or R&amp;D and want to adjust for them, use the options below to start the process and enter the numbers in the relevan t worksheets.</t>
        </r>
      </text>
    </comment>
    <comment ref="C9" authorId="0" shapeId="0" xr:uid="{00000000-0006-0000-0000-000007000000}">
      <text>
        <r>
          <rPr>
            <b/>
            <sz val="9"/>
            <color rgb="FF000000"/>
            <rFont val="Geneva"/>
            <family val="2"/>
          </rPr>
          <t>Aswath Damodaran:</t>
        </r>
        <r>
          <rPr>
            <sz val="9"/>
            <color rgb="FF000000"/>
            <rFont val="Geneva"/>
            <family val="2"/>
          </rPr>
          <t xml:space="preserve">
</t>
        </r>
        <r>
          <rPr>
            <sz val="9"/>
            <color rgb="FF000000"/>
            <rFont val="Geneva"/>
            <family val="2"/>
          </rPr>
          <t>Enter the operating income or EBIT from the most recent time period, even if that number is negative. If you have operating leases, enter the adjusted operating income (see the operating lease worksheet for the amount you have to adjust operating income by).</t>
        </r>
      </text>
    </comment>
    <comment ref="B11" authorId="0" shapeId="0" xr:uid="{00000000-0006-0000-0000-000008000000}">
      <text>
        <r>
          <rPr>
            <b/>
            <sz val="9"/>
            <color rgb="FF000000"/>
            <rFont val="Geneva"/>
            <family val="2"/>
          </rPr>
          <t>Aswath Damodaran:</t>
        </r>
        <r>
          <rPr>
            <sz val="9"/>
            <color rgb="FF000000"/>
            <rFont val="Geneva"/>
            <family val="2"/>
          </rPr>
          <t xml:space="preserve">
</t>
        </r>
        <r>
          <rPr>
            <sz val="9"/>
            <color rgb="FF000000"/>
            <rFont val="Geneva"/>
            <family val="2"/>
          </rPr>
          <t>Enter the book value of equity (total) from the end of the most recent time period (i.e. the most recent balance sheet). This book equity will include everything - paid in capital, retained earnings etc. and may even be negative for companies that have been losing money for a while.</t>
        </r>
      </text>
    </comment>
    <comment ref="C11" authorId="0" shapeId="0" xr:uid="{00000000-0006-0000-0000-000009000000}">
      <text>
        <r>
          <rPr>
            <b/>
            <sz val="9"/>
            <color rgb="FF000000"/>
            <rFont val="Geneva"/>
            <family val="2"/>
          </rPr>
          <t>Aswath Damodaran:</t>
        </r>
        <r>
          <rPr>
            <sz val="9"/>
            <color rgb="FF000000"/>
            <rFont val="Geneva"/>
            <family val="2"/>
          </rPr>
          <t xml:space="preserve">
</t>
        </r>
        <r>
          <rPr>
            <sz val="9"/>
            <color rgb="FF000000"/>
            <rFont val="Geneva"/>
            <family val="2"/>
          </rPr>
          <t>Enter the book value of equity (total) from the end of the most recent time period (i.e. the most recent balance sheet). This book equity will include everything - paid in capital, retained earnings etc. and may even be negative for companies that have been losing money for a while.</t>
        </r>
      </text>
    </comment>
    <comment ref="B12" authorId="0" shapeId="0" xr:uid="{00000000-0006-0000-0000-00000A000000}">
      <text>
        <r>
          <rPr>
            <b/>
            <sz val="9"/>
            <color rgb="FF000000"/>
            <rFont val="Geneva"/>
            <family val="2"/>
          </rPr>
          <t>Aswath Damodaran:</t>
        </r>
        <r>
          <rPr>
            <sz val="9"/>
            <color rgb="FF000000"/>
            <rFont val="Geneva"/>
            <family val="2"/>
          </rPr>
          <t xml:space="preserve">
</t>
        </r>
        <r>
          <rPr>
            <sz val="9"/>
            <color rgb="FF000000"/>
            <rFont val="Geneva"/>
            <family val="2"/>
          </rPr>
          <t xml:space="preserve">Enter the book value of interest bearing debt (short and long term) at your company from the most recent balance sheet. (Do not include accounts payable, supplier credit or other non-interest bearing liabilities.) </t>
        </r>
      </text>
    </comment>
    <comment ref="C12" authorId="0" shapeId="0" xr:uid="{00000000-0006-0000-0000-00000B000000}">
      <text>
        <r>
          <rPr>
            <b/>
            <sz val="9"/>
            <color rgb="FF000000"/>
            <rFont val="Geneva"/>
            <family val="2"/>
          </rPr>
          <t>Aswath Damodaran:</t>
        </r>
        <r>
          <rPr>
            <sz val="9"/>
            <color rgb="FF000000"/>
            <rFont val="Geneva"/>
            <family val="2"/>
          </rPr>
          <t xml:space="preserve">
</t>
        </r>
        <r>
          <rPr>
            <sz val="9"/>
            <color rgb="FF000000"/>
            <rFont val="Geneva"/>
            <family val="2"/>
          </rPr>
          <t xml:space="preserve">Enter the book value of interest bearing debt (short and long term) at your company from the most recent balance sheet. (Do not include accounts payable, supplier credit or other non-interest bearing liabilities.) </t>
        </r>
      </text>
    </comment>
    <comment ref="B15" authorId="0" shapeId="0" xr:uid="{00000000-0006-0000-0000-00000C000000}">
      <text>
        <r>
          <rPr>
            <b/>
            <sz val="9"/>
            <color rgb="FF000000"/>
            <rFont val="Geneva"/>
            <family val="2"/>
          </rPr>
          <t>Aswath Damodaran:</t>
        </r>
        <r>
          <rPr>
            <sz val="9"/>
            <color rgb="FF000000"/>
            <rFont val="Geneva"/>
            <family val="2"/>
          </rPr>
          <t xml:space="preserve">
</t>
        </r>
        <r>
          <rPr>
            <sz val="9"/>
            <color rgb="FF000000"/>
            <rFont val="Geneva"/>
            <family val="2"/>
          </rPr>
          <t>Enter the cash balance from the most recent balance sheet. This should include marketable securities.</t>
        </r>
      </text>
    </comment>
    <comment ref="C15" authorId="0" shapeId="0" xr:uid="{00000000-0006-0000-0000-00000D000000}">
      <text>
        <r>
          <rPr>
            <b/>
            <sz val="9"/>
            <color rgb="FF000000"/>
            <rFont val="Geneva"/>
            <family val="2"/>
          </rPr>
          <t>Aswath Damodaran:</t>
        </r>
        <r>
          <rPr>
            <sz val="9"/>
            <color rgb="FF000000"/>
            <rFont val="Geneva"/>
            <family val="2"/>
          </rPr>
          <t xml:space="preserve">
</t>
        </r>
        <r>
          <rPr>
            <sz val="9"/>
            <color rgb="FF000000"/>
            <rFont val="Geneva"/>
            <family val="2"/>
          </rPr>
          <t>Enter the cash balance from the most recent balance sheet. This should include marketable securities.</t>
        </r>
      </text>
    </comment>
    <comment ref="B16" authorId="0" shapeId="0" xr:uid="{00000000-0006-0000-0000-00000E000000}">
      <text>
        <r>
          <rPr>
            <b/>
            <sz val="9"/>
            <color rgb="FF000000"/>
            <rFont val="Geneva"/>
            <family val="2"/>
          </rPr>
          <t>Aswath Damodaran:</t>
        </r>
        <r>
          <rPr>
            <sz val="9"/>
            <color rgb="FF000000"/>
            <rFont val="Geneva"/>
            <family val="2"/>
          </rPr>
          <t xml:space="preserve">
</t>
        </r>
        <r>
          <rPr>
            <sz val="9"/>
            <color rgb="FF000000"/>
            <rFont val="Geneva"/>
            <family val="2"/>
          </rPr>
          <t>Enter the market value of those non-cash assets whose earnings are (and will never) show up as part of operating income. The most common non-operating assets are minority holdings in other companies (which are not consoldiated). You can find the book value of these holdings on the balance sheet, but see if you can convert to market value. (I apply a price to book ratio, based on the sector that the company is in to the book value).</t>
        </r>
      </text>
    </comment>
    <comment ref="B17" authorId="0" shapeId="0" xr:uid="{00000000-0006-0000-0000-00000F000000}">
      <text>
        <r>
          <rPr>
            <b/>
            <sz val="9"/>
            <color rgb="FF000000"/>
            <rFont val="Geneva"/>
            <family val="2"/>
          </rPr>
          <t>Aswath Damodaran:</t>
        </r>
        <r>
          <rPr>
            <sz val="9"/>
            <color rgb="FF000000"/>
            <rFont val="Geneva"/>
            <family val="2"/>
          </rPr>
          <t xml:space="preserve">
</t>
        </r>
        <r>
          <rPr>
            <sz val="9"/>
            <color rgb="FF000000"/>
            <rFont val="Geneva"/>
            <family val="2"/>
          </rPr>
          <t>Enter the "market" value of minority interests. 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t>
        </r>
      </text>
    </comment>
    <comment ref="B18" authorId="0" shapeId="0" xr:uid="{00000000-0006-0000-0000-000010000000}">
      <text>
        <r>
          <rPr>
            <b/>
            <sz val="9"/>
            <color rgb="FF000000"/>
            <rFont val="Geneva"/>
            <family val="2"/>
          </rPr>
          <t>Aswath Damodaran:</t>
        </r>
        <r>
          <rPr>
            <sz val="9"/>
            <color rgb="FF000000"/>
            <rFont val="Geneva"/>
            <family val="2"/>
          </rPr>
          <t xml:space="preserve">
</t>
        </r>
        <r>
          <rPr>
            <sz val="9"/>
            <color rgb="FF000000"/>
            <rFont val="Geneva"/>
            <family val="2"/>
          </rPr>
          <t>Enter the most recent update you have on the number of shares. If you have different classes of shares, aggregate them all and enter one number. Count restricted stock units (RSUs) as shares but don't count shares underlying employee options.</t>
        </r>
      </text>
    </comment>
    <comment ref="B19" authorId="0" shapeId="0" xr:uid="{00000000-0006-0000-0000-000011000000}">
      <text>
        <r>
          <rPr>
            <b/>
            <sz val="9"/>
            <color rgb="FF000000"/>
            <rFont val="Geneva"/>
            <family val="2"/>
          </rPr>
          <t>Aswath Damodaran:</t>
        </r>
        <r>
          <rPr>
            <sz val="9"/>
            <color rgb="FF000000"/>
            <rFont val="Geneva"/>
            <family val="2"/>
          </rPr>
          <t xml:space="preserve">
</t>
        </r>
        <r>
          <rPr>
            <sz val="9"/>
            <color rgb="FF000000"/>
            <rFont val="Geneva"/>
            <family val="2"/>
          </rPr>
          <t xml:space="preserve">Enter the most recent stock price (how about today's?) in here. </t>
        </r>
      </text>
    </comment>
    <comment ref="B20" authorId="0" shapeId="0" xr:uid="{00000000-0006-0000-0000-000012000000}">
      <text>
        <r>
          <rPr>
            <b/>
            <sz val="9"/>
            <color rgb="FF000000"/>
            <rFont val="Geneva"/>
            <family val="2"/>
          </rPr>
          <t>Aswath Damodaran:</t>
        </r>
        <r>
          <rPr>
            <sz val="9"/>
            <color rgb="FF000000"/>
            <rFont val="Geneva"/>
            <family val="2"/>
          </rPr>
          <t xml:space="preserve">
</t>
        </r>
        <r>
          <rPr>
            <sz val="9"/>
            <color rgb="FF000000"/>
            <rFont val="Geneva"/>
            <family val="2"/>
          </rPr>
          <t xml:space="preserve">Enter your effective (not marginal) tax rate for your firm. You will find this in your company's annual report. If you cannot, you can compute it as follows, from the income statement:
</t>
        </r>
        <r>
          <rPr>
            <sz val="9"/>
            <color rgb="FF000000"/>
            <rFont val="Geneva"/>
            <family val="2"/>
          </rPr>
          <t xml:space="preserve">Effective tax rate = Taxes paid/ Taxable income
</t>
        </r>
        <r>
          <rPr>
            <sz val="9"/>
            <color rgb="FF000000"/>
            <rFont val="Geneva"/>
            <family val="2"/>
          </rPr>
          <t xml:space="preserve">If your effective tax rate varies across years, you can use an average. If the effective tax rate is less than zero, enter zero.
</t>
        </r>
        <r>
          <rPr>
            <sz val="9"/>
            <color rgb="FF000000"/>
            <rFont val="Geneva"/>
            <family val="2"/>
          </rPr>
          <t>If you have a money losing company, don't enter zero but enter the tax rate that you will have when you start making money.</t>
        </r>
      </text>
    </comment>
    <comment ref="B21" authorId="0" shapeId="0" xr:uid="{00000000-0006-0000-0000-000013000000}">
      <text>
        <r>
          <rPr>
            <b/>
            <sz val="9"/>
            <color rgb="FF000000"/>
            <rFont val="Geneva"/>
            <family val="2"/>
          </rPr>
          <t>Aswath Damodaran:</t>
        </r>
        <r>
          <rPr>
            <sz val="9"/>
            <color rgb="FF000000"/>
            <rFont val="Geneva"/>
            <family val="2"/>
          </rPr>
          <t xml:space="preserve">
</t>
        </r>
        <r>
          <rPr>
            <sz val="9"/>
            <color rgb="FF000000"/>
            <rFont val="Geneva"/>
            <family val="2"/>
          </rPr>
          <t>This is a statutory tax rate. I use the tax rate of the country the company is domiciled in. See worksheet embedded in this spreadshseet for country tax rates.</t>
        </r>
      </text>
    </comment>
    <comment ref="B25" authorId="0" shapeId="0" xr:uid="{00000000-0006-0000-0000-000014000000}">
      <text>
        <r>
          <rPr>
            <b/>
            <sz val="9"/>
            <color rgb="FF000000"/>
            <rFont val="Geneva"/>
            <family val="2"/>
          </rPr>
          <t>Aswath Damodaran:</t>
        </r>
        <r>
          <rPr>
            <sz val="9"/>
            <color rgb="FF000000"/>
            <rFont val="Geneva"/>
            <family val="2"/>
          </rPr>
          <t xml:space="preserve">
</t>
        </r>
        <r>
          <rPr>
            <sz val="9"/>
            <color rgb="FF000000"/>
            <rFont val="Geneva"/>
            <family val="2"/>
          </rPr>
          <t xml:space="preserve">I don't have a crystal ball but you should look at 
</t>
        </r>
        <r>
          <rPr>
            <sz val="9"/>
            <color rgb="FF000000"/>
            <rFont val="Geneva"/>
            <family val="2"/>
          </rPr>
          <t xml:space="preserve">a. Revenue growth in your company in recent years
</t>
        </r>
        <r>
          <rPr>
            <sz val="9"/>
            <color rgb="FF000000"/>
            <rFont val="Geneva"/>
            <family val="2"/>
          </rPr>
          <t xml:space="preserve">b. Your company's revenues, relative to the overall market size and larger players in the sector. 
</t>
        </r>
        <r>
          <rPr>
            <sz val="9"/>
            <color rgb="FF000000"/>
            <rFont val="Geneva"/>
            <family val="2"/>
          </rPr>
          <t xml:space="preserve">Suggestion: Check your revenues in year 10 against the overall market and see what market share are you giving your company. Check your company's revenues against other companies in the sector.
</t>
        </r>
        <r>
          <rPr>
            <sz val="9"/>
            <color rgb="FF000000"/>
            <rFont val="Geneva"/>
            <family val="2"/>
          </rPr>
          <t>Note that this number can be negative for a declining firm.</t>
        </r>
      </text>
    </comment>
    <comment ref="B26" authorId="0" shapeId="0" xr:uid="{00000000-0006-0000-0000-000015000000}">
      <text>
        <r>
          <rPr>
            <b/>
            <sz val="9"/>
            <color rgb="FF000000"/>
            <rFont val="Geneva"/>
            <family val="2"/>
          </rPr>
          <t>Aswath Damodaran:</t>
        </r>
        <r>
          <rPr>
            <sz val="9"/>
            <color rgb="FF000000"/>
            <rFont val="Geneva"/>
            <family val="2"/>
          </rPr>
          <t xml:space="preserve">
</t>
        </r>
        <r>
          <rPr>
            <sz val="9"/>
            <color rgb="FF000000"/>
            <rFont val="Geneva"/>
            <family val="2"/>
          </rPr>
          <t xml:space="preserve">You should start by looking at your company's current pre-tax operating margin  but also look at the average for your industry. (You can check my estimates of industry averages in the last worksheet on this spreadsheet.) </t>
        </r>
      </text>
    </comment>
    <comment ref="B27" authorId="0" shapeId="0" xr:uid="{00000000-0006-0000-0000-000016000000}">
      <text>
        <r>
          <rPr>
            <b/>
            <sz val="10"/>
            <color rgb="FF000000"/>
            <rFont val="Calibri"/>
            <family val="2"/>
          </rPr>
          <t>Aswath Damodaran:</t>
        </r>
        <r>
          <rPr>
            <sz val="10"/>
            <color rgb="FF000000"/>
            <rFont val="Calibri"/>
            <family val="2"/>
          </rPr>
          <t xml:space="preserve">
This is the forecast year in which your current margin will converge on target.
</t>
        </r>
      </text>
    </comment>
    <comment ref="B28" authorId="0" shapeId="0" xr:uid="{00000000-0006-0000-0000-000017000000}">
      <text>
        <r>
          <rPr>
            <b/>
            <sz val="9"/>
            <color rgb="FF000000"/>
            <rFont val="Geneva"/>
            <family val="2"/>
          </rPr>
          <t>Aswath Damodaran:</t>
        </r>
        <r>
          <rPr>
            <sz val="9"/>
            <color rgb="FF000000"/>
            <rFont val="Geneva"/>
            <family val="2"/>
          </rPr>
          <t xml:space="preserve">
</t>
        </r>
        <r>
          <rPr>
            <sz val="9"/>
            <color rgb="FF000000"/>
            <rFont val="Geneva"/>
            <family val="2"/>
          </rPr>
          <t>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t>
        </r>
      </text>
    </comment>
    <comment ref="B30" authorId="0" shapeId="0" xr:uid="{00000000-0006-0000-0000-000018000000}">
      <text>
        <r>
          <rPr>
            <b/>
            <sz val="9"/>
            <color rgb="FF000000"/>
            <rFont val="Geneva"/>
            <family val="2"/>
          </rPr>
          <t>Aswath Damodaran:</t>
        </r>
        <r>
          <rPr>
            <sz val="9"/>
            <color rgb="FF000000"/>
            <rFont val="Geneva"/>
            <family val="2"/>
          </rPr>
          <t xml:space="preserve">
</t>
        </r>
        <r>
          <rPr>
            <sz val="9"/>
            <color rgb="FF000000"/>
            <rFont val="Geneva"/>
            <family val="2"/>
          </rPr>
          <t>This should be today's long term riskfree rate. If you are working with a currency where the government has default risk, clean up the government bond rate to make it riskfree (by subtracting the default spread for the government).</t>
        </r>
      </text>
    </comment>
    <comment ref="J30" authorId="0" shapeId="0" xr:uid="{00000000-0006-0000-0000-00001A000000}">
      <text>
        <r>
          <rPr>
            <b/>
            <sz val="10"/>
            <color rgb="FF000000"/>
            <rFont val="Calibri"/>
            <family val="2"/>
          </rPr>
          <t>Aswath Damodaran:</t>
        </r>
        <r>
          <rPr>
            <sz val="10"/>
            <color rgb="FF000000"/>
            <rFont val="Calibri"/>
            <family val="2"/>
          </rPr>
          <t xml:space="preserve">
</t>
        </r>
        <r>
          <rPr>
            <sz val="10"/>
            <color rgb="FF000000"/>
            <rFont val="Calibri"/>
            <family val="2"/>
          </rPr>
          <t>Compare to your total market and check your market share.</t>
        </r>
      </text>
    </comment>
    <comment ref="B31" authorId="0" shapeId="0" xr:uid="{00000000-0006-0000-0000-000019000000}">
      <text>
        <r>
          <rPr>
            <b/>
            <sz val="9"/>
            <color rgb="FF000000"/>
            <rFont val="Geneva"/>
            <family val="2"/>
          </rPr>
          <t>Aswath Damodaran:</t>
        </r>
        <r>
          <rPr>
            <sz val="9"/>
            <color rgb="FF000000"/>
            <rFont val="Geneva"/>
            <family val="2"/>
          </rPr>
          <t xml:space="preserve">
</t>
        </r>
        <r>
          <rPr>
            <sz val="9"/>
            <color rgb="FF000000"/>
            <rFont val="Geneva"/>
            <family val="2"/>
          </rPr>
          <t xml:space="preserve">Enter the current cost of capital for your firm. If you don't know what it is, you can use the built-in worksheet to compute it. </t>
        </r>
      </text>
    </comment>
    <comment ref="J31" authorId="0" shapeId="0" xr:uid="{00000000-0006-0000-0000-00001B000000}">
      <text>
        <r>
          <rPr>
            <b/>
            <sz val="10"/>
            <color indexed="81"/>
            <rFont val="Calibri"/>
            <family val="2"/>
          </rPr>
          <t>Aswath Damodaran:</t>
        </r>
        <r>
          <rPr>
            <sz val="10"/>
            <color indexed="81"/>
            <rFont val="Calibri"/>
            <family val="2"/>
          </rPr>
          <t xml:space="preserve">
Determined by your target margin. </t>
        </r>
      </text>
    </comment>
    <comment ref="J32" authorId="0" shapeId="0" xr:uid="{00000000-0006-0000-0000-00001D000000}">
      <text>
        <r>
          <rPr>
            <b/>
            <sz val="10"/>
            <color indexed="81"/>
            <rFont val="Calibri"/>
            <family val="2"/>
          </rPr>
          <t>Aswath Damodaran:</t>
        </r>
        <r>
          <rPr>
            <sz val="10"/>
            <color indexed="81"/>
            <rFont val="Calibri"/>
            <family val="2"/>
          </rPr>
          <t xml:space="preserve">
Function of both your target margin and your sales to capital ratio.</t>
        </r>
      </text>
    </comment>
    <comment ref="B34" authorId="0" shapeId="0" xr:uid="{00000000-0006-0000-0000-00001C000000}">
      <text>
        <r>
          <rPr>
            <b/>
            <sz val="9"/>
            <color rgb="FF000000"/>
            <rFont val="Geneva"/>
            <family val="2"/>
          </rPr>
          <t>Aswath Damodaran:</t>
        </r>
        <r>
          <rPr>
            <sz val="9"/>
            <color rgb="FF000000"/>
            <rFont val="Geneva"/>
            <family val="2"/>
          </rPr>
          <t xml:space="preserve">
</t>
        </r>
        <r>
          <rPr>
            <sz val="9"/>
            <color rgb="FF000000"/>
            <rFont val="Geneva"/>
            <family val="2"/>
          </rPr>
          <t>Check your company's annual report or 10K. If it does have options outstanding, enter the total number here (vested and non vested, in the money and out…)</t>
        </r>
      </text>
    </comment>
    <comment ref="B35" authorId="0" shapeId="0" xr:uid="{00000000-0006-0000-0000-00001E000000}">
      <text>
        <r>
          <rPr>
            <b/>
            <sz val="9"/>
            <color rgb="FF000000"/>
            <rFont val="Geneva"/>
            <family val="2"/>
          </rPr>
          <t>Aswath Damodaran:</t>
        </r>
        <r>
          <rPr>
            <sz val="9"/>
            <color rgb="FF000000"/>
            <rFont val="Geneva"/>
            <family val="2"/>
          </rPr>
          <t xml:space="preserve">
</t>
        </r>
        <r>
          <rPr>
            <sz val="9"/>
            <color rgb="FF000000"/>
            <rFont val="Geneva"/>
            <family val="2"/>
          </rPr>
          <t>Enter the weighted average strike price of your options. (Should be in your 10K or annual report.)</t>
        </r>
      </text>
    </comment>
    <comment ref="B36" authorId="0" shapeId="0" xr:uid="{00000000-0006-0000-0000-00001F000000}">
      <text>
        <r>
          <rPr>
            <b/>
            <sz val="9"/>
            <color rgb="FF000000"/>
            <rFont val="Geneva"/>
            <family val="2"/>
          </rPr>
          <t>Aswath Damodaran:</t>
        </r>
        <r>
          <rPr>
            <sz val="9"/>
            <color rgb="FF000000"/>
            <rFont val="Geneva"/>
            <family val="2"/>
          </rPr>
          <t xml:space="preserve">
</t>
        </r>
        <r>
          <rPr>
            <sz val="9"/>
            <color rgb="FF000000"/>
            <rFont val="Geneva"/>
            <family val="2"/>
          </rPr>
          <t>The weighted average maturity of your options should be reported in your financial statements.</t>
        </r>
      </text>
    </comment>
    <comment ref="B37" authorId="0" shapeId="0" xr:uid="{00000000-0006-0000-0000-000020000000}">
      <text>
        <r>
          <rPr>
            <b/>
            <sz val="9"/>
            <color rgb="FF000000"/>
            <rFont val="Geneva"/>
            <family val="2"/>
          </rPr>
          <t>Aswath Damodaran:</t>
        </r>
        <r>
          <rPr>
            <sz val="9"/>
            <color rgb="FF000000"/>
            <rFont val="Geneva"/>
            <family val="2"/>
          </rPr>
          <t xml:space="preserve">
</t>
        </r>
        <r>
          <rPr>
            <sz val="9"/>
            <color rgb="FF000000"/>
            <rFont val="Geneva"/>
            <family val="2"/>
          </rPr>
          <t>If you have a standard deviation for your stock, enter that number. If not, use the industry average standard deviation from the worksheet.</t>
        </r>
      </text>
    </comment>
    <comment ref="B41" authorId="0" shapeId="0" xr:uid="{00000000-0006-0000-0000-000021000000}">
      <text>
        <r>
          <rPr>
            <b/>
            <sz val="9"/>
            <color rgb="FF000000"/>
            <rFont val="Geneva"/>
            <family val="2"/>
          </rPr>
          <t>Aswath Damodaran:</t>
        </r>
        <r>
          <rPr>
            <sz val="9"/>
            <color rgb="FF000000"/>
            <rFont val="Geneva"/>
            <family val="2"/>
          </rPr>
          <t xml:space="preserve">
</t>
        </r>
        <r>
          <rPr>
            <sz val="9"/>
            <color rgb="FF000000"/>
            <rFont val="Geneva"/>
            <family val="2"/>
          </rPr>
          <t>Mature companies tend to have costs of capital closer to the market average. While the riskfree rate + 4.5% is a close approximation of the average, you can use a slightly higher number (riskfree rate + 6%) for mature companies in riskier businesses and a slightly lower number (risfree rate + 4%) for safer companies.</t>
        </r>
      </text>
    </comment>
    <comment ref="B44" authorId="0" shapeId="0" xr:uid="{00000000-0006-0000-0000-000022000000}">
      <text>
        <r>
          <rPr>
            <b/>
            <sz val="9"/>
            <color rgb="FF000000"/>
            <rFont val="Geneva"/>
            <family val="2"/>
          </rPr>
          <t>Aswath Damodaran:</t>
        </r>
        <r>
          <rPr>
            <sz val="9"/>
            <color rgb="FF000000"/>
            <rFont val="Geneva"/>
            <family val="2"/>
          </rPr>
          <t xml:space="preserve">
</t>
        </r>
        <r>
          <rPr>
            <sz val="9"/>
            <color rgb="FF000000"/>
            <rFont val="Geneva"/>
            <family val="2"/>
          </rPr>
          <t>The default assumption is that competitive advantages will fade to zero over time. While this is a good assumption for many firms (about 7 in 10), there are some firms with sustainable competitive advantages (brand name, for instance), where the excess returns may continue beyond year 10. If your firm is one of those, you can enter a return on capital higher than your cost of capital in the cell below. Just don't get carried away. At the maximum, the excess return should not exceed 5% for a mature firm.</t>
        </r>
      </text>
    </comment>
    <comment ref="B45" authorId="0" shapeId="0" xr:uid="{00000000-0006-0000-0000-000023000000}">
      <text>
        <r>
          <rPr>
            <b/>
            <sz val="9"/>
            <color rgb="FF000000"/>
            <rFont val="Geneva"/>
            <family val="2"/>
          </rPr>
          <t>Aswath Damodaran:</t>
        </r>
        <r>
          <rPr>
            <sz val="9"/>
            <color rgb="FF000000"/>
            <rFont val="Geneva"/>
            <family val="2"/>
          </rPr>
          <t xml:space="preserve">
</t>
        </r>
        <r>
          <rPr>
            <sz val="9"/>
            <color rgb="FF000000"/>
            <rFont val="Geneva"/>
            <family val="2"/>
          </rPr>
          <t xml:space="preserve">Even if you believe your firm has significant competitive advantages, don't set this number to more than 5% more than your cost of capital. </t>
        </r>
      </text>
    </comment>
    <comment ref="B47" authorId="0" shapeId="0" xr:uid="{00000000-0006-0000-0000-000024000000}">
      <text>
        <r>
          <rPr>
            <b/>
            <sz val="9"/>
            <color rgb="FF000000"/>
            <rFont val="Geneva"/>
            <family val="2"/>
          </rPr>
          <t>Aswath Damodaran:</t>
        </r>
        <r>
          <rPr>
            <sz val="9"/>
            <color rgb="FF000000"/>
            <rFont val="Geneva"/>
            <family val="2"/>
          </rPr>
          <t xml:space="preserve">
</t>
        </r>
        <r>
          <rPr>
            <sz val="9"/>
            <color rgb="FF000000"/>
            <rFont val="Geneva"/>
            <family val="2"/>
          </rPr>
          <t>Companies at either end of the life cycle - young, growth and old, declining firms have a significant likelihood of failure. While we tend to ignore this in conventional DCF, it is worth thinking about whether you want to estimate a probability of failure. It is not easy to do but it can be done by looking at either history (with young, growth companies) or the debt market (with distressed companies).</t>
        </r>
      </text>
    </comment>
    <comment ref="B48" authorId="0" shapeId="0" xr:uid="{00000000-0006-0000-0000-000025000000}">
      <text>
        <r>
          <rPr>
            <b/>
            <sz val="9"/>
            <color rgb="FF000000"/>
            <rFont val="Geneva"/>
            <family val="2"/>
          </rPr>
          <t>Aswath Damodaran</t>
        </r>
        <r>
          <rPr>
            <sz val="9"/>
            <color rgb="FF000000"/>
            <rFont val="Geneva"/>
            <family val="2"/>
          </rPr>
          <t xml:space="preserve">
</t>
        </r>
        <r>
          <rPr>
            <sz val="9"/>
            <color rgb="FF000000"/>
            <rFont val="Geneva"/>
            <family val="2"/>
          </rPr>
          <t xml:space="preserve">If you want to look at ways of estimating this probability, try these papers I have on the topic:
</t>
        </r>
        <r>
          <rPr>
            <sz val="9"/>
            <color rgb="FF000000"/>
            <rFont val="Geneva"/>
            <family val="2"/>
          </rPr>
          <t xml:space="preserve">For young growth companies: http://papers.ssrn.com/sol3/papers.cfm?abstract_id=1418687  
</t>
        </r>
        <r>
          <rPr>
            <sz val="9"/>
            <color rgb="FF000000"/>
            <rFont val="Geneva"/>
            <family val="2"/>
          </rPr>
          <t xml:space="preserve">For declining, distressed companies: http://papers.ssrn.com/sol3/papers.cfm?abstract_id=1428022 </t>
        </r>
      </text>
    </comment>
    <comment ref="B49" authorId="0" shapeId="0" xr:uid="{00000000-0006-0000-0000-000026000000}">
      <text>
        <r>
          <rPr>
            <b/>
            <sz val="9"/>
            <color rgb="FF000000"/>
            <rFont val="Geneva"/>
            <family val="2"/>
          </rPr>
          <t>Aswath Damodaran:</t>
        </r>
        <r>
          <rPr>
            <sz val="9"/>
            <color rgb="FF000000"/>
            <rFont val="Geneva"/>
            <family val="2"/>
          </rPr>
          <t xml:space="preserve">
</t>
        </r>
        <r>
          <rPr>
            <sz val="9"/>
            <color rgb="FF000000"/>
            <rFont val="Geneva"/>
            <family val="2"/>
          </rPr>
          <t>If the firm fail and has to liquidate its assets, you need to specify what the liquidation proceeds will be tied to. For young growth companies, I would tie it to value and with distressed firms (especially ones with significant assets in place), I would use book value.</t>
        </r>
      </text>
    </comment>
    <comment ref="B50" authorId="0" shapeId="0" xr:uid="{00000000-0006-0000-0000-000027000000}">
      <text>
        <r>
          <rPr>
            <b/>
            <sz val="9"/>
            <color rgb="FF000000"/>
            <rFont val="Geneva"/>
            <family val="2"/>
          </rPr>
          <t>Aswath Damodaran:</t>
        </r>
        <r>
          <rPr>
            <sz val="9"/>
            <color rgb="FF000000"/>
            <rFont val="Geneva"/>
            <family val="2"/>
          </rPr>
          <t xml:space="preserve">
</t>
        </r>
        <r>
          <rPr>
            <sz val="9"/>
            <color rgb="FF000000"/>
            <rFont val="Geneva"/>
            <family val="2"/>
          </rPr>
          <t>You will generally not get 100% of fair value. How much less than 100% you get will depend on whether there are lots of potential buyers for your assets and how much of a hurry you are in to liquidate. It may well be zero for a young growth company with no tangible assets.</t>
        </r>
      </text>
    </comment>
    <comment ref="B52" authorId="0" shapeId="0" xr:uid="{00000000-0006-0000-0000-000028000000}">
      <text>
        <r>
          <rPr>
            <b/>
            <sz val="9"/>
            <color rgb="FF000000"/>
            <rFont val="Geneva"/>
            <family val="2"/>
          </rPr>
          <t>Aswath Damodaran:</t>
        </r>
        <r>
          <rPr>
            <sz val="9"/>
            <color rgb="FF000000"/>
            <rFont val="Geneva"/>
            <family val="2"/>
          </rPr>
          <t xml:space="preserve">
</t>
        </r>
        <r>
          <rPr>
            <sz val="9"/>
            <color rgb="FF000000"/>
            <rFont val="Geneva"/>
            <family val="2"/>
          </rPr>
          <t>Companies generally pay less than the marginal tax rate on their income. Some of that is due to tax deferral and others to quirks in the tax law. Over time, the conservative assumption is to require the tax rate to move towards the marginal tax rate. However, if you believe that your firm's tax benefits are permanent, you can override this assumption.</t>
        </r>
      </text>
    </comment>
    <comment ref="B54" authorId="0" shapeId="0" xr:uid="{00000000-0006-0000-0000-000029000000}">
      <text>
        <r>
          <rPr>
            <b/>
            <sz val="9"/>
            <color rgb="FF000000"/>
            <rFont val="Geneva"/>
            <family val="2"/>
          </rPr>
          <t>Aswath Damodaran:</t>
        </r>
        <r>
          <rPr>
            <sz val="9"/>
            <color rgb="FF000000"/>
            <rFont val="Geneva"/>
            <family val="2"/>
          </rPr>
          <t xml:space="preserve">
</t>
        </r>
        <r>
          <rPr>
            <sz val="9"/>
            <color rgb="FF000000"/>
            <rFont val="Geneva"/>
            <family val="2"/>
          </rPr>
          <t>If your company has been losing money for a while, there will be accumulated losses from prior periods. Check your financial statements.</t>
        </r>
      </text>
    </comment>
    <comment ref="B55" authorId="0" shapeId="0" xr:uid="{00000000-0006-0000-0000-00002A000000}">
      <text>
        <r>
          <rPr>
            <b/>
            <sz val="9"/>
            <color rgb="FF000000"/>
            <rFont val="Geneva"/>
            <family val="2"/>
          </rPr>
          <t>Aswath Damodaran:</t>
        </r>
        <r>
          <rPr>
            <sz val="9"/>
            <color rgb="FF000000"/>
            <rFont val="Geneva"/>
            <family val="2"/>
          </rPr>
          <t xml:space="preserve">
</t>
        </r>
        <r>
          <rPr>
            <sz val="9"/>
            <color rgb="FF000000"/>
            <rFont val="Geneva"/>
            <family val="2"/>
          </rPr>
          <t>This is the NOL from prior years carried forward into this year.</t>
        </r>
      </text>
    </comment>
    <comment ref="B61" authorId="0" shapeId="0" xr:uid="{00000000-0006-0000-0000-00002B000000}">
      <text>
        <r>
          <rPr>
            <b/>
            <sz val="10"/>
            <color rgb="FF000000"/>
            <rFont val="Calibri"/>
            <family val="2"/>
          </rPr>
          <t xml:space="preserve">Aswath Damodaran:
</t>
        </r>
        <r>
          <rPr>
            <sz val="10"/>
            <color rgb="FF000000"/>
            <rFont val="Calibri"/>
            <family val="2"/>
          </rPr>
          <t xml:space="preserve">Be VERY, VERY careful. This is a growth rate in perpetuity, after year 10. Entering numbers significantly (more than 1%) higher than the risk free rate will render your valuation close to useless.
</t>
        </r>
      </text>
    </comment>
    <comment ref="B64" authorId="0" shapeId="0" xr:uid="{00000000-0006-0000-0000-00002C000000}">
      <text>
        <r>
          <rPr>
            <b/>
            <sz val="10"/>
            <color rgb="FF000000"/>
            <rFont val="Calibri"/>
            <family val="2"/>
          </rPr>
          <t>Aswath Damodaran:</t>
        </r>
        <r>
          <rPr>
            <sz val="10"/>
            <color rgb="FF000000"/>
            <rFont val="Calibri"/>
            <family val="2"/>
          </rPr>
          <t xml:space="preserve">
</t>
        </r>
        <r>
          <rPr>
            <sz val="10"/>
            <color rgb="FF000000"/>
            <rFont val="Calibri"/>
            <family val="2"/>
          </rPr>
          <t>If your concern is that a portion of the cash is trapped in foreign markets and will be subject to tax, when returned, enter the trapped cash balance. If you feel that the entire cash balance is being discounted because markets don't trust managers, enter the entire cash balance.</t>
        </r>
      </text>
    </comment>
    <comment ref="B65" authorId="0" shapeId="0" xr:uid="{00000000-0006-0000-0000-00002D000000}">
      <text>
        <r>
          <rPr>
            <b/>
            <sz val="10"/>
            <color rgb="FF000000"/>
            <rFont val="Calibri"/>
            <family val="2"/>
          </rPr>
          <t>Aswath Damodaran:</t>
        </r>
        <r>
          <rPr>
            <sz val="10"/>
            <color rgb="FF000000"/>
            <rFont val="Calibri"/>
            <family val="2"/>
          </rPr>
          <t xml:space="preserve">
</t>
        </r>
        <r>
          <rPr>
            <sz val="10"/>
            <color rgb="FF000000"/>
            <rFont val="Calibri"/>
            <family val="2"/>
          </rPr>
          <t>This is the additional tax due, if the cash is trapped cash. If your concern is that all cash is being discounted by the market because of management mistrust, enter the percentage discount to apply to cash.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B11" authorId="0" shapeId="0" xr:uid="{00000000-0006-0000-0800-000001000000}">
      <text>
        <r>
          <rPr>
            <b/>
            <sz val="9"/>
            <color rgb="FF000000"/>
            <rFont val="Geneva"/>
            <family val="2"/>
          </rPr>
          <t>Aswath Damodaran:</t>
        </r>
        <r>
          <rPr>
            <sz val="9"/>
            <color rgb="FF000000"/>
            <rFont val="Geneva"/>
            <family val="2"/>
          </rPr>
          <t xml:space="preserve">
</t>
        </r>
        <r>
          <rPr>
            <sz val="9"/>
            <color rgb="FF000000"/>
            <rFont val="Geneva"/>
            <family val="2"/>
          </rPr>
          <t>Use a sector average beta, if need be.</t>
        </r>
      </text>
    </comment>
    <comment ref="B13" authorId="0" shapeId="0" xr:uid="{00000000-0006-0000-0800-000002000000}">
      <text>
        <r>
          <rPr>
            <b/>
            <sz val="9"/>
            <color rgb="FF000000"/>
            <rFont val="Geneva"/>
            <family val="2"/>
          </rPr>
          <t>Aswath Damodaran:</t>
        </r>
        <r>
          <rPr>
            <sz val="9"/>
            <color rgb="FF000000"/>
            <rFont val="Geneva"/>
            <family val="2"/>
          </rPr>
          <t xml:space="preserve">
</t>
        </r>
        <r>
          <rPr>
            <sz val="9"/>
            <color rgb="FF000000"/>
            <rFont val="Geneva"/>
            <family val="2"/>
          </rPr>
          <t>If you pick operating regions or countries, please input the revenues by country or region in the table to the right.</t>
        </r>
      </text>
    </comment>
    <comment ref="B15" authorId="0" shapeId="0" xr:uid="{00000000-0006-0000-0800-000003000000}">
      <text>
        <r>
          <rPr>
            <b/>
            <sz val="9"/>
            <color rgb="FF000000"/>
            <rFont val="Geneva"/>
            <family val="2"/>
          </rPr>
          <t>Aswath Damodaran:</t>
        </r>
        <r>
          <rPr>
            <sz val="9"/>
            <color rgb="FF000000"/>
            <rFont val="Geneva"/>
            <family val="2"/>
          </rPr>
          <t xml:space="preserve">
</t>
        </r>
        <r>
          <rPr>
            <sz val="9"/>
            <color rgb="FF000000"/>
            <rFont val="Geneva"/>
            <family val="2"/>
          </rPr>
          <t>If your company has risk exposure in emergiing markets, incorporate that risk premiums here. See worksheet on country risk premiums.</t>
        </r>
      </text>
    </comment>
    <comment ref="B19" authorId="0" shapeId="0" xr:uid="{00000000-0006-0000-0800-000004000000}">
      <text>
        <r>
          <rPr>
            <b/>
            <sz val="9"/>
            <color rgb="FF000000"/>
            <rFont val="Geneva"/>
            <family val="2"/>
          </rPr>
          <t>Aswath Damodaran:</t>
        </r>
        <r>
          <rPr>
            <sz val="9"/>
            <color rgb="FF000000"/>
            <rFont val="Geneva"/>
            <family val="2"/>
          </rPr>
          <t xml:space="preserve">
</t>
        </r>
        <r>
          <rPr>
            <sz val="9"/>
            <color rgb="FF000000"/>
            <rFont val="Geneva"/>
            <family val="2"/>
          </rPr>
          <t>Interest expense (gross) from most recent financial statement.</t>
        </r>
      </text>
    </comment>
    <comment ref="B20" authorId="0" shapeId="0" xr:uid="{00000000-0006-0000-0800-000005000000}">
      <text>
        <r>
          <rPr>
            <b/>
            <sz val="9"/>
            <color rgb="FF000000"/>
            <rFont val="Geneva"/>
            <family val="2"/>
          </rPr>
          <t>Aswath Damodaran:</t>
        </r>
        <r>
          <rPr>
            <sz val="9"/>
            <color rgb="FF000000"/>
            <rFont val="Geneva"/>
            <family val="2"/>
          </rPr>
          <t xml:space="preserve">
</t>
        </r>
        <r>
          <rPr>
            <sz val="9"/>
            <color rgb="FF000000"/>
            <rFont val="Geneva"/>
            <family val="2"/>
          </rPr>
          <t>Generally found in footnotes to financial statements.</t>
        </r>
      </text>
    </comment>
    <comment ref="B24" authorId="0" shapeId="0" xr:uid="{00000000-0006-0000-0800-000006000000}">
      <text>
        <r>
          <rPr>
            <b/>
            <sz val="9"/>
            <color rgb="FF000000"/>
            <rFont val="Geneva"/>
            <family val="2"/>
          </rPr>
          <t>Aswath Damodaran:</t>
        </r>
        <r>
          <rPr>
            <sz val="9"/>
            <color rgb="FF000000"/>
            <rFont val="Geneva"/>
            <family val="2"/>
          </rPr>
          <t xml:space="preserve">
</t>
        </r>
        <r>
          <rPr>
            <sz val="9"/>
            <color rgb="FF000000"/>
            <rFont val="Geneva"/>
            <family val="2"/>
          </rPr>
          <t xml:space="preserve">1: Large market cap (&gt;$5 billion) and safe.
</t>
        </r>
        <r>
          <rPr>
            <sz val="9"/>
            <color rgb="FF000000"/>
            <rFont val="Geneva"/>
            <family val="2"/>
          </rPr>
          <t xml:space="preserve">2: Small market cap (&lt;$5 billion) or risky.
</t>
        </r>
        <r>
          <rPr>
            <sz val="9"/>
            <color rgb="FF000000"/>
            <rFont val="Geneva"/>
            <family val="2"/>
          </rPr>
          <t>If company has volatile earnings or is in risky business, use 2, even if large market cap.</t>
        </r>
      </text>
    </comment>
    <comment ref="B25" authorId="0" shapeId="0" xr:uid="{00000000-0006-0000-0800-000007000000}">
      <text>
        <r>
          <rPr>
            <b/>
            <sz val="9"/>
            <color rgb="FF000000"/>
            <rFont val="Geneva"/>
            <family val="2"/>
          </rPr>
          <t>Aswath Damodaran:</t>
        </r>
        <r>
          <rPr>
            <sz val="9"/>
            <color rgb="FF000000"/>
            <rFont val="Geneva"/>
            <family val="2"/>
          </rPr>
          <t xml:space="preserve">
</t>
        </r>
        <r>
          <rPr>
            <sz val="9"/>
            <color rgb="FF000000"/>
            <rFont val="Geneva"/>
            <family val="2"/>
          </rPr>
          <t>Current, long term cost of borrowing money. If you have a rating use it, if not use a synthetic rating. See the worksheet attached.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D40" authorId="0" shapeId="0" xr:uid="{00000000-0006-0000-0600-000001000000}">
      <text>
        <r>
          <rPr>
            <b/>
            <sz val="9"/>
            <color indexed="81"/>
            <rFont val="Geneva"/>
            <family val="2"/>
          </rPr>
          <t>Aswath Damodaran:</t>
        </r>
        <r>
          <rPr>
            <sz val="9"/>
            <color indexed="81"/>
            <rFont val="Geneva"/>
            <family val="2"/>
          </rPr>
          <t xml:space="preserve">
By expensing R&amp;D rather than capitalizing it, the firm gets a tax benefit. This is the dollar value of that tax benefit.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 authorId="0" shapeId="0" xr:uid="{A86EEA05-25AC-1C4F-A2F8-777C45176FE2}">
      <text>
        <r>
          <rPr>
            <b/>
            <sz val="10"/>
            <color rgb="FF000000"/>
            <rFont val="Tahoma"/>
            <family val="2"/>
          </rPr>
          <t>Microsoft Office User:</t>
        </r>
        <r>
          <rPr>
            <sz val="10"/>
            <color rgb="FF000000"/>
            <rFont val="Tahoma"/>
            <family val="2"/>
          </rPr>
          <t xml:space="preserve">
</t>
        </r>
        <r>
          <rPr>
            <sz val="10"/>
            <color rgb="FF000000"/>
            <rFont val="Tahoma"/>
            <family val="2"/>
          </rPr>
          <t>This is the estimate for the ERP for a mature market, that then updates all of the ERP for other countries by adding the CRP to it. I update the ERP for the S&amp;P 500 at the start of every month on my website (damodaran.com) and if you want, you can change this number to ther most recent update.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F5" authorId="0" shapeId="0" xr:uid="{00000000-0006-0000-0B00-000001000000}">
      <text>
        <r>
          <rPr>
            <b/>
            <sz val="9"/>
            <color rgb="FF000000"/>
            <rFont val="Geneva"/>
            <family val="2"/>
          </rPr>
          <t>Aswath Damodaran:</t>
        </r>
        <r>
          <rPr>
            <sz val="9"/>
            <color rgb="FF000000"/>
            <rFont val="Geneva"/>
            <family val="2"/>
          </rPr>
          <t xml:space="preserve">
</t>
        </r>
        <r>
          <rPr>
            <sz val="9"/>
            <color rgb="FF000000"/>
            <rFont val="Geneva"/>
            <family val="2"/>
          </rPr>
          <t xml:space="preserve">If your most recent year's operating income is unusually low or high, you can use the average operating income from the last few years. </t>
        </r>
      </text>
    </comment>
    <comment ref="F6" authorId="0" shapeId="0" xr:uid="{00000000-0006-0000-0B00-000002000000}">
      <text>
        <r>
          <rPr>
            <b/>
            <sz val="9"/>
            <color rgb="FF000000"/>
            <rFont val="Geneva"/>
            <family val="2"/>
          </rPr>
          <t>Aswath Damodaran:</t>
        </r>
        <r>
          <rPr>
            <sz val="9"/>
            <color rgb="FF000000"/>
            <rFont val="Geneva"/>
            <family val="2"/>
          </rPr>
          <t xml:space="preserve">
</t>
        </r>
        <r>
          <rPr>
            <sz val="9"/>
            <color rgb="FF000000"/>
            <rFont val="Geneva"/>
            <family val="2"/>
          </rPr>
          <t>Enter the interest expense from the most recent income statement.</t>
        </r>
      </text>
    </comment>
    <comment ref="F7" authorId="0" shapeId="0" xr:uid="{00000000-0006-0000-0B00-000003000000}">
      <text>
        <r>
          <rPr>
            <b/>
            <sz val="9"/>
            <color indexed="81"/>
            <rFont val="Geneva"/>
            <family val="2"/>
          </rPr>
          <t>Aswath Damodaran:</t>
        </r>
        <r>
          <rPr>
            <sz val="9"/>
            <color indexed="81"/>
            <rFont val="Geneva"/>
            <family val="2"/>
          </rPr>
          <t xml:space="preserve">
I use a 10 year government bond rate.</t>
        </r>
      </text>
    </comment>
  </commentList>
</comments>
</file>

<file path=xl/sharedStrings.xml><?xml version="1.0" encoding="utf-8"?>
<sst xmlns="http://schemas.openxmlformats.org/spreadsheetml/2006/main" count="1417" uniqueCount="889">
  <si>
    <t>If calculated value is negative or looks too low</t>
    <phoneticPr fontId="7" type="noConversion"/>
  </si>
  <si>
    <t>If calculated value looks too high</t>
    <phoneticPr fontId="7" type="noConversion"/>
  </si>
  <si>
    <t>Increase revenue growth rate</t>
    <phoneticPr fontId="7" type="noConversion"/>
  </si>
  <si>
    <t>Decrease revenue growth rate</t>
    <phoneticPr fontId="7" type="noConversion"/>
  </si>
  <si>
    <t>Marginal ROIC over 10 years</t>
    <phoneticPr fontId="7" type="noConversion"/>
  </si>
  <si>
    <t>ROIC at end of valuation</t>
    <phoneticPr fontId="7" type="noConversion"/>
  </si>
  <si>
    <t>Inputs</t>
  </si>
  <si>
    <t>Invested capital at start of valuation</t>
    <phoneticPr fontId="7" type="noConversion"/>
  </si>
  <si>
    <t>Invested capital at end of valuation</t>
    <phoneticPr fontId="7" type="noConversion"/>
  </si>
  <si>
    <t>Change in invested capital over 10 years</t>
    <phoneticPr fontId="7" type="noConversion"/>
  </si>
  <si>
    <t>Change in EBIT*(1–t) (after-tax operating income) over 10 years</t>
    <phoneticPr fontId="7" type="noConversion"/>
  </si>
  <si>
    <t>Revenues</t>
  </si>
  <si>
    <t>EBIT(1-t)</t>
  </si>
  <si>
    <t>Number of shares</t>
    <phoneticPr fontId="6" type="noConversion"/>
  </si>
  <si>
    <t>Base year</t>
    <phoneticPr fontId="6" type="noConversion"/>
  </si>
  <si>
    <t xml:space="preserve"> - Reinvestment</t>
    <phoneticPr fontId="6" type="noConversion"/>
  </si>
  <si>
    <t>FCFF</t>
  </si>
  <si>
    <t>Implied variables</t>
    <phoneticPr fontId="6" type="noConversion"/>
  </si>
  <si>
    <t>Invested capital</t>
    <phoneticPr fontId="6" type="noConversion"/>
  </si>
  <si>
    <t>ROIC</t>
    <phoneticPr fontId="6" type="noConversion"/>
  </si>
  <si>
    <t>Revenue growth rate</t>
    <phoneticPr fontId="6" type="noConversion"/>
  </si>
  <si>
    <t>PV(FCFF)</t>
    <phoneticPr fontId="6" type="noConversion"/>
  </si>
  <si>
    <t>Terminal cash flow</t>
    <phoneticPr fontId="6" type="noConversion"/>
  </si>
  <si>
    <t>Terminal value</t>
    <phoneticPr fontId="6" type="noConversion"/>
  </si>
  <si>
    <t>PV(Terminal value)</t>
    <phoneticPr fontId="6" type="noConversion"/>
  </si>
  <si>
    <t>EBIT (Operating income)</t>
    <phoneticPr fontId="6" type="noConversion"/>
  </si>
  <si>
    <t>EBIT (Operating) margin</t>
    <phoneticPr fontId="6" type="noConversion"/>
  </si>
  <si>
    <t>Riskfree rate</t>
    <phoneticPr fontId="7" type="noConversion"/>
  </si>
  <si>
    <t>Your calculated value as a percent of current price</t>
    <phoneticPr fontId="7" type="noConversion"/>
  </si>
  <si>
    <t>Operating income or EBIT</t>
  </si>
  <si>
    <t>Book value of equity</t>
  </si>
  <si>
    <t>Book value of debt</t>
  </si>
  <si>
    <t>Number of shares outstanding =</t>
  </si>
  <si>
    <t>Current stock price =</t>
  </si>
  <si>
    <t>Company name</t>
  </si>
  <si>
    <t>The value drivers below:</t>
  </si>
  <si>
    <t xml:space="preserve">Market numbers </t>
  </si>
  <si>
    <t>Sales to capital ratio  (for computing reinvestment) =</t>
  </si>
  <si>
    <t>Sales to capital ratio</t>
  </si>
  <si>
    <t>Initial cost of capital =</t>
  </si>
  <si>
    <t>Do you want to override this assumption =</t>
  </si>
  <si>
    <t>If yes, enter the return on capital you expect after year 10</t>
  </si>
  <si>
    <t>If yes, enter the cost of capital after year 10 =</t>
  </si>
  <si>
    <t>After year 10</t>
  </si>
  <si>
    <t>Value of operating assets =</t>
  </si>
  <si>
    <t>Terminal year</t>
  </si>
  <si>
    <t>PV (CF over next 10 years)</t>
  </si>
  <si>
    <t>Sum of PV</t>
  </si>
  <si>
    <t>NOL</t>
  </si>
  <si>
    <t>If yes, enter the NOL that you are carrying over into year 1</t>
  </si>
  <si>
    <t>Target pre-tax operating margin (EBIT as % of sales in year 10) =</t>
  </si>
  <si>
    <t>Price as % of value</t>
  </si>
  <si>
    <t>No</t>
  </si>
  <si>
    <t>Value of equity</t>
  </si>
  <si>
    <t>Mature companies find it difficult to generate returns that exceed the cost of capital</t>
  </si>
  <si>
    <t>Mature companies generally see their risk levels approach the average</t>
  </si>
  <si>
    <t>Tough to estimate but a key input.</t>
  </si>
  <si>
    <t>Check the financial statements.</t>
  </si>
  <si>
    <t>Yes</t>
  </si>
  <si>
    <t xml:space="preserve"> - Value of options</t>
  </si>
  <si>
    <t>Value of equity in common stock</t>
  </si>
  <si>
    <t>Valuing Options or Warrants</t>
  </si>
  <si>
    <t>Enter the current stock price =</t>
  </si>
  <si>
    <t>Enter the strike price on the option =</t>
  </si>
  <si>
    <t>Enter the expiration of the option =</t>
  </si>
  <si>
    <t>Enter the standard deviation in stock prices =</t>
  </si>
  <si>
    <t>(volatility)</t>
  </si>
  <si>
    <t>Enter the annualized dividend yield on stock =</t>
  </si>
  <si>
    <t>Enter the treasury bond rate =</t>
  </si>
  <si>
    <t>Enter the number of warrants (options) outstanding =</t>
  </si>
  <si>
    <t>Enter the number of shares outstanding =</t>
  </si>
  <si>
    <t>Do not input any numbers below this line</t>
  </si>
  <si>
    <t>VALUING WARRANTS WHEN THERE IS DILUTION</t>
  </si>
  <si>
    <t>Stock Price=</t>
  </si>
  <si>
    <t># Warrants issued=</t>
  </si>
  <si>
    <t>Strike Price=</t>
  </si>
  <si>
    <t># Shares outstanding=</t>
  </si>
  <si>
    <t>Adjusted S =</t>
  </si>
  <si>
    <t>T.Bond rate=</t>
  </si>
  <si>
    <t>Adjusted K =</t>
  </si>
  <si>
    <t>Variance=</t>
  </si>
  <si>
    <t>Expiration (in years) =</t>
  </si>
  <si>
    <t>Annualized dividend yield=</t>
  </si>
  <si>
    <t>Div. Adj. interest rate=</t>
  </si>
  <si>
    <t xml:space="preserve">d1 = </t>
  </si>
  <si>
    <t>N (d1) =</t>
  </si>
  <si>
    <t xml:space="preserve">d2 = </t>
  </si>
  <si>
    <t>N (d2) =</t>
  </si>
  <si>
    <t xml:space="preserve">Value per option = </t>
  </si>
  <si>
    <t>Value of all options outstanding =</t>
  </si>
  <si>
    <t>Other inputs</t>
  </si>
  <si>
    <t>Number of options outstanding =</t>
  </si>
  <si>
    <t>Average strike price =</t>
  </si>
  <si>
    <t>Average maturity =</t>
  </si>
  <si>
    <t>Standard deviation on stock price =</t>
  </si>
  <si>
    <t>Estimated value /share</t>
  </si>
  <si>
    <t>VALUATION DIAGNOSTICS</t>
  </si>
  <si>
    <t>Industry Name</t>
  </si>
  <si>
    <t>Advertising</t>
  </si>
  <si>
    <t>NA</t>
  </si>
  <si>
    <t>Sales/Capital</t>
  </si>
  <si>
    <t>Price</t>
  </si>
  <si>
    <t>B</t>
  </si>
  <si>
    <t>B: Book value of capital, V= Estimated fair value for the company</t>
  </si>
  <si>
    <t>Effective tax rate =</t>
  </si>
  <si>
    <t>Marginal tax rate =</t>
  </si>
  <si>
    <t xml:space="preserve">Default assumptions. </t>
  </si>
  <si>
    <t>In stable growth, I will assume that your firm will have a cost of capital similar to that of typical mature companies (riskfree rate + 4.5%)</t>
  </si>
  <si>
    <t>I will assume that your firm will earn a return on capital equal to its cost of capital after year 10. I am assuming that whatever competitive advantages you have today will fade over time.</t>
  </si>
  <si>
    <t>If yes, enter the probability of failure =</t>
  </si>
  <si>
    <t>Probability of failure =</t>
  </si>
  <si>
    <t>Proceeds if firm fails =</t>
  </si>
  <si>
    <t>What do you want to tie your proceeds in failure to?</t>
  </si>
  <si>
    <t>This can be zero, if the assets will be worth nothing if the firm fails.</t>
  </si>
  <si>
    <t>Many young, growth companies fail, especially if they have trouble raising cash. Many distressed companies fail, because they have trouble making debt payments.</t>
  </si>
  <si>
    <t>Operating Lease Converter</t>
  </si>
  <si>
    <t>Operating lease expense in current year =</t>
  </si>
  <si>
    <t>Operating Lease Commitments (From footnote to financials)</t>
  </si>
  <si>
    <t>Year</t>
  </si>
  <si>
    <t>Commitment</t>
  </si>
  <si>
    <t>! Year 1 is next year, ….</t>
  </si>
  <si>
    <t>6 and beyond</t>
  </si>
  <si>
    <t>Output</t>
  </si>
  <si>
    <t>Pre-tax Cost of Debt =</t>
  </si>
  <si>
    <t>Number of years embedded in yr 6 estimate =</t>
  </si>
  <si>
    <t>! I use the average lease expense over the first five years</t>
  </si>
  <si>
    <t>to estimate the number of years of expenses in yr 6</t>
  </si>
  <si>
    <t>Converting Operating Leases into debt</t>
  </si>
  <si>
    <t>Present Value</t>
  </si>
  <si>
    <t>! Commitment beyond year 6 converted into an annuity for ten years</t>
  </si>
  <si>
    <t>Debt Value of leases =</t>
  </si>
  <si>
    <t>Restated Financials</t>
  </si>
  <si>
    <t>Depreciation on Operating Lease Asset =</t>
  </si>
  <si>
    <t>! I use straight line depreciation</t>
  </si>
  <si>
    <t>Adjustment to Operating Earnings =</t>
  </si>
  <si>
    <t>Adjustment to Total Debt outstanding =</t>
  </si>
  <si>
    <t>! Add this amount to pre-tax operating income</t>
  </si>
  <si>
    <t>! Add this amount to debt</t>
  </si>
  <si>
    <t>I will assume that you have no losses carried forward from prior years ( NOL) coming into the valuation. If you have a money losing company, you may want to override tis.</t>
  </si>
  <si>
    <t>I will assume that your firm has no chance of failure over the foreseeable future.</t>
  </si>
  <si>
    <t>Tax rate</t>
  </si>
  <si>
    <t>I will assume that your effective tax rate will adjust to your marginal tax rate by your terminal year. If you override this assumption, I will leave the tax rate at your effective tax rate.</t>
  </si>
  <si>
    <t>Terminal cost of capital</t>
  </si>
  <si>
    <t>But there are significant exceptions among companies with long-lasting competitive advantages.</t>
  </si>
  <si>
    <t>An NOL will shield your income from taxes, even after you start making money.</t>
  </si>
  <si>
    <t>Cost of capital</t>
  </si>
  <si>
    <t>Cumulated discount factor</t>
  </si>
  <si>
    <t>Decrease the sales/capital ratio</t>
  </si>
  <si>
    <t>Increase the sales/capital ratio</t>
  </si>
  <si>
    <t>Increase the target pre-tax operating margin</t>
  </si>
  <si>
    <t>Decrease the target pre-tax operating margin</t>
  </si>
  <si>
    <t>Revenue growth rate (input cell B3)</t>
  </si>
  <si>
    <t>Last period EBIT as % of revenue (Input cell B14)</t>
  </si>
  <si>
    <t>Sales to Capital Ratio or reinvestment (Input cell B15)</t>
  </si>
  <si>
    <t>Increase relative to your cost of capital</t>
  </si>
  <si>
    <t>If higher than your cost of capital, lower towards your cost of capital</t>
  </si>
  <si>
    <t xml:space="preserve"> </t>
  </si>
  <si>
    <t>T</t>
  </si>
  <si>
    <t>Return on capital in perpetuity (B30 &amp; B31)</t>
  </si>
  <si>
    <t>The yellow cells are input cells. Please enter them.</t>
  </si>
  <si>
    <t>Annual Average Revenue growth - Last 5 years</t>
  </si>
  <si>
    <t>Average effective tax rate</t>
  </si>
  <si>
    <t>Equity (Levered) Beta</t>
  </si>
  <si>
    <t>Cost of equity</t>
  </si>
  <si>
    <t>Std deviation in stock prices</t>
  </si>
  <si>
    <t>Pre-tax cost of debt</t>
  </si>
  <si>
    <t>Market Debt/Capital</t>
  </si>
  <si>
    <t>EV/Sales</t>
  </si>
  <si>
    <t>EV/EBITDA</t>
  </si>
  <si>
    <t>EV/EBIT</t>
  </si>
  <si>
    <t>Price/Book</t>
  </si>
  <si>
    <t>Trailing PE</t>
  </si>
  <si>
    <t>Number of firms</t>
  </si>
  <si>
    <t>Revenue growth in the most recent year =</t>
  </si>
  <si>
    <t>Pre-tax operating margin in the most recent year =</t>
  </si>
  <si>
    <t>Sales to capital ratio in most recent year =</t>
  </si>
  <si>
    <t>Return on invested capital in most recent year=</t>
  </si>
  <si>
    <t>This year</t>
  </si>
  <si>
    <t>Last year</t>
  </si>
  <si>
    <t>After-tax ROC</t>
  </si>
  <si>
    <t>Estimation of Current Cost of Capital</t>
  </si>
  <si>
    <t>Equity</t>
  </si>
  <si>
    <t>Number of Shares outstanding =</t>
  </si>
  <si>
    <t>Current Market Price per share =</t>
  </si>
  <si>
    <t>Riskfree Rate =</t>
  </si>
  <si>
    <t>Debt</t>
  </si>
  <si>
    <t>Book Value of Straight Debt =</t>
  </si>
  <si>
    <t>Interest Expense on Debt =</t>
  </si>
  <si>
    <t>Average Maturity =</t>
  </si>
  <si>
    <t>Tax Rate =</t>
  </si>
  <si>
    <t>Book Value of Convertible Debt =</t>
  </si>
  <si>
    <t>Interest Expense on Convertible =</t>
  </si>
  <si>
    <t>Maturity of Convertible Bond =</t>
  </si>
  <si>
    <t>Market Value of Convertible =</t>
  </si>
  <si>
    <t>Debt value of operating leases =</t>
  </si>
  <si>
    <t>Preferred Stock</t>
  </si>
  <si>
    <t>Number of Preferred Shares =</t>
  </si>
  <si>
    <t>Current Market Price per Share=</t>
  </si>
  <si>
    <t>Annual Dividend per Share =</t>
  </si>
  <si>
    <t>Estimating Market Value of Straight Debt =</t>
  </si>
  <si>
    <t>Estimated Value of Straight Debt in Convertible =</t>
  </si>
  <si>
    <t>Value of Debt in Operating leases =</t>
  </si>
  <si>
    <t>Estimated Value of Equity in Convertible =</t>
  </si>
  <si>
    <t xml:space="preserve">Debt </t>
  </si>
  <si>
    <t>Capital</t>
  </si>
  <si>
    <t>Market Value</t>
  </si>
  <si>
    <t>Weight in Cost of Capital</t>
  </si>
  <si>
    <t>Cost of Component</t>
  </si>
  <si>
    <t>Unlevered beta =</t>
  </si>
  <si>
    <t>Unlevered Beta</t>
  </si>
  <si>
    <t>Levered Beta for equity =</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</si>
  <si>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</si>
  <si>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</si>
  <si>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</si>
  <si>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</si>
  <si>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Enter current Earnings before interest and taxes (EBIT) =</t>
  </si>
  <si>
    <t>(Add back only long term interest expense for financial firms)</t>
  </si>
  <si>
    <t>Enter current interest expenses =</t>
  </si>
  <si>
    <t>(Use only long term interest expense for financial firms)</t>
  </si>
  <si>
    <t>Interest  coverage ratio =</t>
  </si>
  <si>
    <t>Estimated Bond Rating =</t>
  </si>
  <si>
    <t>Note: If you get REF! All over the place, set the operating lease commitment question in cell F5</t>
  </si>
  <si>
    <t>to No, and then reset it to Yes. It should work.</t>
  </si>
  <si>
    <t>Estimated Cost of Debt =</t>
  </si>
  <si>
    <t xml:space="preserve"> If you want to update the spreads listed below, please visit http://www.bondsonline.com</t>
    <phoneticPr fontId="10"/>
  </si>
  <si>
    <t>For large manufacturing firms</t>
  </si>
  <si>
    <t>If interest coverage ratio is</t>
  </si>
  <si>
    <t>&gt;</t>
  </si>
  <si>
    <t>≤ to</t>
  </si>
  <si>
    <t>Rating is</t>
  </si>
  <si>
    <t>Spread is</t>
  </si>
  <si>
    <t>greater than</t>
  </si>
  <si>
    <t>For smaller and riskier firms</t>
  </si>
  <si>
    <t>Enter long term risk free rate  =</t>
  </si>
  <si>
    <t>! If you do not have a cost of debt, use the synthetic rating estimator</t>
  </si>
  <si>
    <t>V</t>
  </si>
  <si>
    <t>Enter the distress proceeds as percentage of book or fair value</t>
  </si>
  <si>
    <t>Average WACC over the 10 years (compounded)</t>
  </si>
  <si>
    <t>Company</t>
  </si>
  <si>
    <t>Yes/No</t>
  </si>
  <si>
    <t>Industry (US data)</t>
  </si>
  <si>
    <t>Book or Market Value</t>
  </si>
  <si>
    <t>Computed numbers: Here is what your company's numbers look like, relative to industry.</t>
  </si>
  <si>
    <t>Do you have operating lease commitments?</t>
  </si>
  <si>
    <t>Cash and cross holdings</t>
  </si>
  <si>
    <t>Do you have employee options outstanding?</t>
  </si>
  <si>
    <t>If you have operating leases, please enter your lease commitments in the lease worksheet below and I will convert to debt</t>
  </si>
  <si>
    <t>Albania</t>
  </si>
  <si>
    <t>Angola</t>
  </si>
  <si>
    <t>Argentina</t>
  </si>
  <si>
    <t>Armenia</t>
  </si>
  <si>
    <t>Aruba</t>
  </si>
  <si>
    <t>Australia</t>
  </si>
  <si>
    <t>Austria</t>
  </si>
  <si>
    <t>Bahamas</t>
  </si>
  <si>
    <t>Bahrain</t>
  </si>
  <si>
    <t>Bangladesh</t>
  </si>
  <si>
    <t>Barbados</t>
  </si>
  <si>
    <t>Belarus</t>
  </si>
  <si>
    <t>Belgium</t>
  </si>
  <si>
    <t>Bermuda</t>
  </si>
  <si>
    <t>Bolivia</t>
  </si>
  <si>
    <t>Bosnia and Herzegovina</t>
  </si>
  <si>
    <t>Botswana</t>
  </si>
  <si>
    <t>Brazil</t>
  </si>
  <si>
    <t>Bulgaria</t>
  </si>
  <si>
    <t>Cambodia</t>
  </si>
  <si>
    <t>Canada</t>
  </si>
  <si>
    <t>Cayman Islands</t>
  </si>
  <si>
    <t>Chile</t>
  </si>
  <si>
    <t>China</t>
  </si>
  <si>
    <t>Colombia</t>
  </si>
  <si>
    <t>Costa Rica</t>
  </si>
  <si>
    <t>Croatia</t>
  </si>
  <si>
    <t>Cyprus</t>
  </si>
  <si>
    <t>Czech Republic</t>
  </si>
  <si>
    <t>Denmark</t>
  </si>
  <si>
    <t>Dominican Republic</t>
  </si>
  <si>
    <t>Ecuador</t>
  </si>
  <si>
    <t>Egypt</t>
  </si>
  <si>
    <t>Estonia</t>
  </si>
  <si>
    <t>Fiji</t>
  </si>
  <si>
    <t>Finland</t>
  </si>
  <si>
    <t>France</t>
  </si>
  <si>
    <t>Germany</t>
  </si>
  <si>
    <t>Greece</t>
  </si>
  <si>
    <t>Guatemala</t>
  </si>
  <si>
    <t>Honduras</t>
  </si>
  <si>
    <t>Hong Kong</t>
  </si>
  <si>
    <t>Hungary</t>
  </si>
  <si>
    <t>Iceland</t>
  </si>
  <si>
    <t>India</t>
  </si>
  <si>
    <t>Indonesia</t>
  </si>
  <si>
    <t>Ireland</t>
  </si>
  <si>
    <t>Isle of Man</t>
  </si>
  <si>
    <t>Israel</t>
  </si>
  <si>
    <t>Italy</t>
  </si>
  <si>
    <t>Jamaica</t>
  </si>
  <si>
    <t>Japan</t>
  </si>
  <si>
    <t>Jordan</t>
  </si>
  <si>
    <t>Kazakhstan</t>
  </si>
  <si>
    <t>Kuwait</t>
  </si>
  <si>
    <t>Latvia</t>
  </si>
  <si>
    <t>Liechtenstein</t>
  </si>
  <si>
    <t>Lithuania</t>
  </si>
  <si>
    <t>Luxembourg</t>
  </si>
  <si>
    <t>Macedonia</t>
  </si>
  <si>
    <t>Malaysia</t>
  </si>
  <si>
    <t>Malta</t>
  </si>
  <si>
    <t>Mauritius</t>
  </si>
  <si>
    <t>Mexico</t>
  </si>
  <si>
    <t>Montenegro</t>
  </si>
  <si>
    <t>Mozambique</t>
  </si>
  <si>
    <t>Namibia</t>
  </si>
  <si>
    <t>Netherlands</t>
  </si>
  <si>
    <t>New Zealand</t>
  </si>
  <si>
    <t>Nigeria</t>
  </si>
  <si>
    <t>Norway</t>
  </si>
  <si>
    <t>Oman</t>
  </si>
  <si>
    <t>Pakistan</t>
  </si>
  <si>
    <t>Panama</t>
  </si>
  <si>
    <t>Papua New Guinea</t>
  </si>
  <si>
    <t>Paraguay</t>
  </si>
  <si>
    <t>Peru</t>
  </si>
  <si>
    <t>Philippines</t>
  </si>
  <si>
    <t>Poland</t>
  </si>
  <si>
    <t>Portugal</t>
  </si>
  <si>
    <t>Qatar</t>
  </si>
  <si>
    <t>Romania</t>
  </si>
  <si>
    <t>Russia</t>
  </si>
  <si>
    <t>Saudi Arabia</t>
  </si>
  <si>
    <t>Serbia</t>
  </si>
  <si>
    <t>Singapore</t>
  </si>
  <si>
    <t>Slovenia</t>
  </si>
  <si>
    <t>South Africa</t>
  </si>
  <si>
    <t>Spain</t>
  </si>
  <si>
    <t>Sri Lanka</t>
  </si>
  <si>
    <t>Sweden</t>
  </si>
  <si>
    <t>Switzerland</t>
  </si>
  <si>
    <t>Taiwan</t>
  </si>
  <si>
    <t>Thailand</t>
  </si>
  <si>
    <t>Tunisia</t>
  </si>
  <si>
    <t>Turkey</t>
  </si>
  <si>
    <t>Ukraine</t>
  </si>
  <si>
    <t>United Arab Emirates</t>
  </si>
  <si>
    <t>United Kingdom</t>
  </si>
  <si>
    <t>United States</t>
  </si>
  <si>
    <t>Uruguay</t>
  </si>
  <si>
    <t>Venezuela</t>
  </si>
  <si>
    <t>Vietnam</t>
  </si>
  <si>
    <t>Zambia</t>
  </si>
  <si>
    <t>Country</t>
  </si>
  <si>
    <t>Adj. Default Spread</t>
  </si>
  <si>
    <t>Country Risk Premium</t>
  </si>
  <si>
    <t>Region</t>
  </si>
  <si>
    <t>Western Europe</t>
  </si>
  <si>
    <t>Eastern Europe &amp; Russia</t>
  </si>
  <si>
    <t>Africa</t>
  </si>
  <si>
    <t>Central and South America</t>
  </si>
  <si>
    <t>Australia &amp; New Zealand</t>
  </si>
  <si>
    <t>Azerbaijan</t>
  </si>
  <si>
    <t>Caribbean</t>
  </si>
  <si>
    <t>Middle East</t>
  </si>
  <si>
    <t>Belize</t>
  </si>
  <si>
    <t>North America</t>
  </si>
  <si>
    <t>Cuba</t>
  </si>
  <si>
    <t>El Salvador</t>
  </si>
  <si>
    <t>Georgia</t>
  </si>
  <si>
    <t>Lebanon</t>
  </si>
  <si>
    <t>Moldova</t>
  </si>
  <si>
    <t>Mongolia</t>
  </si>
  <si>
    <t>Morocco</t>
  </si>
  <si>
    <t>Nicaragua</t>
  </si>
  <si>
    <t>Senegal</t>
  </si>
  <si>
    <t>Slovakia</t>
  </si>
  <si>
    <t>St. Vincent &amp; the Grenadines</t>
  </si>
  <si>
    <t>Suriname</t>
  </si>
  <si>
    <t>ERP</t>
  </si>
  <si>
    <t>Weighted ERP</t>
  </si>
  <si>
    <t>Weight</t>
  </si>
  <si>
    <t>Total</t>
  </si>
  <si>
    <t>Cost of capital =</t>
  </si>
  <si>
    <t>Standard deviation in stock prices =</t>
  </si>
  <si>
    <t>Date of valuation</t>
  </si>
  <si>
    <t xml:space="preserve">Non-operating assets </t>
  </si>
  <si>
    <t xml:space="preserve"> + Non-operating assets</t>
  </si>
  <si>
    <t xml:space="preserve"> +  Cash</t>
  </si>
  <si>
    <t xml:space="preserve"> - Debt</t>
  </si>
  <si>
    <t>Minority interests</t>
  </si>
  <si>
    <t xml:space="preserve"> - Minority interests</t>
  </si>
  <si>
    <t>Business</t>
  </si>
  <si>
    <t>Estimated Value</t>
  </si>
  <si>
    <t>Last 10K</t>
  </si>
  <si>
    <t>Trailing 12 month</t>
  </si>
  <si>
    <t>Lease commitments</t>
  </si>
  <si>
    <t>Year 1</t>
  </si>
  <si>
    <t>Year 2</t>
  </si>
  <si>
    <t>Year 3</t>
  </si>
  <si>
    <t>Year 4</t>
  </si>
  <si>
    <t>Year 5</t>
  </si>
  <si>
    <t>Beyond year 5</t>
  </si>
  <si>
    <t>R &amp; D Converter</t>
  </si>
  <si>
    <t>This spreadsheet converts R&amp;D expenses from operating to capital expenses. It makes the appropriate adjustments to operating income, net</t>
  </si>
  <si>
    <t>income, the book value of assets and the book value of equity.</t>
  </si>
  <si>
    <t>Over how many years do you want to amortize R&amp;D expenses</t>
  </si>
  <si>
    <t>! If in doubt, use the lookup table below</t>
  </si>
  <si>
    <t>Enter the current year's R&amp;D expense =</t>
  </si>
  <si>
    <t>The maximum allowed is ten years</t>
  </si>
  <si>
    <t>Enter R&amp; D expenses for past years: the number of years that you will need to enter will be determined by the amortization period</t>
  </si>
  <si>
    <t>Do not input numbers in the first column (Year). It will get automatically updated  based on the input above.</t>
  </si>
  <si>
    <t>R&amp; D Expenses</t>
  </si>
  <si>
    <t>! Year -1 is the year prior to the current year</t>
  </si>
  <si>
    <t>! Year -2 is the two years prior to the current year</t>
  </si>
  <si>
    <t>R&amp;D Expense</t>
  </si>
  <si>
    <t>Unamortized portion</t>
  </si>
  <si>
    <t>Amortization this year</t>
  </si>
  <si>
    <t>Current</t>
  </si>
  <si>
    <t>Value of Research Asset =</t>
  </si>
  <si>
    <t>Amortization of asset for current year =</t>
  </si>
  <si>
    <t>Adjustment to Operating Income =</t>
  </si>
  <si>
    <t>! A positive number indicates an increase in operating income (add to reported EBIT)</t>
  </si>
  <si>
    <t>Tax Effect of R&amp;D Expensing</t>
  </si>
  <si>
    <t>Do you have R&amp;D expenses to capitalize?</t>
  </si>
  <si>
    <t xml:space="preserve"> If you want to capitalize R&amp;D, you have to input the numbers into the R&amp;D worksheet. </t>
  </si>
  <si>
    <t>First X months: Last year</t>
  </si>
  <si>
    <t>First X months: Current year</t>
  </si>
  <si>
    <t>If you are not working in US dollars, you should add the inflation differential to the industry averages.</t>
  </si>
  <si>
    <t>Numbers from your base year below ( in consistent units)</t>
  </si>
  <si>
    <t>Asia</t>
  </si>
  <si>
    <t>Kenya</t>
  </si>
  <si>
    <t>St. Maarten</t>
  </si>
  <si>
    <t>Uganda</t>
  </si>
  <si>
    <t>Industry (US)</t>
  </si>
  <si>
    <t>Industry (Global)</t>
  </si>
  <si>
    <t>Industry (Global data)</t>
  </si>
  <si>
    <t>Interest expense</t>
  </si>
  <si>
    <t>Interest expenses</t>
  </si>
  <si>
    <t>What approach do you want to use to input ERP?</t>
  </si>
  <si>
    <t>ERP choices</t>
  </si>
  <si>
    <t>Will input</t>
  </si>
  <si>
    <t>Operating countries</t>
  </si>
  <si>
    <t>Operating regions</t>
  </si>
  <si>
    <t>Country of incorporation</t>
  </si>
  <si>
    <t>Direct input for ERP (if you choose "will input"</t>
  </si>
  <si>
    <t>Equity Risk Premium used in cost of equity =</t>
  </si>
  <si>
    <t>Operating Regions ERP calculator</t>
  </si>
  <si>
    <t>Cost of debt</t>
  </si>
  <si>
    <t>Direct input</t>
  </si>
  <si>
    <t>Synthetic rating</t>
  </si>
  <si>
    <t>Actual rating</t>
  </si>
  <si>
    <t>Approach for estimating pre-tax cost of debt</t>
  </si>
  <si>
    <t>If actual rating, input the rating</t>
  </si>
  <si>
    <t>If direct input, input the pre-tax cost of debt</t>
  </si>
  <si>
    <t>D2/D</t>
  </si>
  <si>
    <t>Caa/CCC</t>
  </si>
  <si>
    <t>Ca2/CC</t>
  </si>
  <si>
    <t>C2/C</t>
  </si>
  <si>
    <t>B3/B-</t>
  </si>
  <si>
    <t>B2/B</t>
  </si>
  <si>
    <t>B1/B+</t>
  </si>
  <si>
    <t>Ba2/BB</t>
  </si>
  <si>
    <t>Ba1/BB+</t>
  </si>
  <si>
    <t>Baa2/BBB</t>
  </si>
  <si>
    <t>A3/A-</t>
  </si>
  <si>
    <t>A2/A</t>
  </si>
  <si>
    <t>A1/A+</t>
  </si>
  <si>
    <t>Aa2/AA</t>
  </si>
  <si>
    <t>Aaa/AAA</t>
  </si>
  <si>
    <t>If synethetic rating, input the type of company</t>
  </si>
  <si>
    <t>Estimated Company Default Spread =</t>
  </si>
  <si>
    <t>Estimated County Default Spread (if any) =</t>
  </si>
  <si>
    <t>Approach for estimating beta</t>
  </si>
  <si>
    <t>Beta</t>
  </si>
  <si>
    <t>If direct input, enter levered beta (or regression beta)</t>
  </si>
  <si>
    <t>Multi Business (US Industry Averages)</t>
  </si>
  <si>
    <t>Multi Business (Global Industry Averages)</t>
  </si>
  <si>
    <t>Multibusiness(Global)</t>
  </si>
  <si>
    <t>Single Business(US)</t>
  </si>
  <si>
    <t>Single Business(Global)</t>
  </si>
  <si>
    <t>Multibusiness(US)</t>
  </si>
  <si>
    <t>ROE</t>
  </si>
  <si>
    <t>Abu Dhabi</t>
  </si>
  <si>
    <t>Burkina Faso</t>
  </si>
  <si>
    <t>Cameroon</t>
  </si>
  <si>
    <t>Cape Verde</t>
  </si>
  <si>
    <t>Cook Islands</t>
  </si>
  <si>
    <t>Gabon</t>
  </si>
  <si>
    <t>Ghana</t>
  </si>
  <si>
    <t>Kyrgyzstan</t>
  </si>
  <si>
    <t>Montserrat</t>
  </si>
  <si>
    <t>Rwanda</t>
  </si>
  <si>
    <t>Global</t>
  </si>
  <si>
    <t>Adjustment to Depreciation =</t>
  </si>
  <si>
    <t>Non-cash WC as % of Revenues</t>
  </si>
  <si>
    <t>Cap Ex as % of Revenues</t>
  </si>
  <si>
    <t>Net Cap Ex as % of Revenues</t>
  </si>
  <si>
    <t>Reinvestment Rate</t>
  </si>
  <si>
    <t>Dividend Payout Ratio</t>
  </si>
  <si>
    <t>Equity Reinvestment Rate</t>
  </si>
  <si>
    <t>Andorra (Principality of)</t>
  </si>
  <si>
    <t>Congo (Democratic Republic of)</t>
  </si>
  <si>
    <t>Congo (Republic of)</t>
  </si>
  <si>
    <t>Ethiopia</t>
  </si>
  <si>
    <t>Ras Al Khaimah (Emirate of)</t>
  </si>
  <si>
    <t>Sharjah</t>
  </si>
  <si>
    <t>Aerospace/Defense</t>
  </si>
  <si>
    <t>Beverage (Alcoholic)</t>
  </si>
  <si>
    <t>Computer Services</t>
  </si>
  <si>
    <t>Computers/Peripherals</t>
  </si>
  <si>
    <t>Entertainment</t>
  </si>
  <si>
    <t>Telecom. Equipment</t>
  </si>
  <si>
    <t>Operating Countries ERP calculator</t>
  </si>
  <si>
    <t>Cash and Marketable Securities</t>
  </si>
  <si>
    <t>Cross holdings and other non-operating assets</t>
  </si>
  <si>
    <t>Profitability Lever</t>
  </si>
  <si>
    <t>Efficency of Growth Lever</t>
  </si>
  <si>
    <t>Growth Lever</t>
  </si>
  <si>
    <t>Valuation Output Feedback (for you to use to fine tune your inputs, if you want)</t>
  </si>
  <si>
    <t>Revenues in year 10, based on your revenue growth =</t>
  </si>
  <si>
    <t>Return on invested capital in year 10, based on your sales/capital ratio =</t>
  </si>
  <si>
    <t>Pre-tax Operating Income in year 10, based on your operating margin =</t>
  </si>
  <si>
    <t>Check the Diagnostics worksheet for more details.</t>
  </si>
  <si>
    <t>Do you want to override this assumption</t>
  </si>
  <si>
    <t>&amp; Average tax rate of the foreign markets where the cash is trapped</t>
  </si>
  <si>
    <t>Corporate Tax Rate</t>
  </si>
  <si>
    <t>I will assume that the growth rate in perpetuity will be equal to the risk free rate. This allows for both valuation consistency and prevents "impossible" growth rates.</t>
  </si>
  <si>
    <t>If yes, enter the growth rate in perpetuity</t>
  </si>
  <si>
    <t>This can be negative, if you feel the company will decline (and disappear) after growth is done. If you let it exceed the risk free rate, you are on your own in uncharted territory.</t>
  </si>
  <si>
    <t>Value per share</t>
  </si>
  <si>
    <t>Years since last 10K</t>
  </si>
  <si>
    <t>I have assumed that none of the cash is trapped (in foreign countries) and that there is no additional tax liability coming due and that cash is a neutral asset.</t>
  </si>
  <si>
    <t>Cash that is trapped in foreign markets (and subject to additoinal tax) or cash that is being discounted by the market (because of management mistrust)</t>
  </si>
  <si>
    <t>Additional tax rate due on trapped cash or discount being applied to cash balance because of mistrust.</t>
  </si>
  <si>
    <t>If yes, enter trapped cash (if taxes) or entire balance (if mistrust)</t>
  </si>
  <si>
    <t>The Story</t>
  </si>
  <si>
    <t>The Assumptions</t>
  </si>
  <si>
    <t>Base year</t>
  </si>
  <si>
    <t>Years 1-5</t>
  </si>
  <si>
    <t>Years 6-10</t>
  </si>
  <si>
    <t>Operating Margin</t>
  </si>
  <si>
    <t>The Cash Flows</t>
  </si>
  <si>
    <t>EBIT (1-t)</t>
  </si>
  <si>
    <t>The Value</t>
  </si>
  <si>
    <t>Terminal value</t>
  </si>
  <si>
    <t>PV(Terminal value)</t>
  </si>
  <si>
    <t>Link to story</t>
  </si>
  <si>
    <t>Revenues (a)</t>
  </si>
  <si>
    <t>Operating margin (b)</t>
  </si>
  <si>
    <t>Reinvestment (c )</t>
  </si>
  <si>
    <t>Cost of capital (d)</t>
  </si>
  <si>
    <t xml:space="preserve">Reinvestment </t>
  </si>
  <si>
    <t>Number of shares</t>
  </si>
  <si>
    <t>EBIT</t>
  </si>
  <si>
    <t>Adjustment for distress</t>
  </si>
  <si>
    <t xml:space="preserve"> + Cash &amp; Other Non-operating assets</t>
  </si>
  <si>
    <t xml:space="preserve"> - Value of equity options</t>
  </si>
  <si>
    <t>Stock was trading at =</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</si>
  <si>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</si>
  <si>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Return on capital</t>
  </si>
  <si>
    <t>Marginal ROIC =</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</si>
  <si>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</si>
  <si>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Iraq</t>
  </si>
  <si>
    <t>The last two rows in each of country/region risk premium tables is set aside for your input to provide you with flexibility to enter some numbers directly. For instance, assume that you have a company that breaks its revenues down into three countries and then puts the rest into "Rest of the World". You can enter the "Rest of the World" in one of these two rows and enter an equity risk premium for the rest of the world. The easiest way to do that is to go into the country equity risk premium worksheet and change the GDP for the three countries that you have data for to zero and compute the global weighted average ERP for the remaining countries. With the regional worksheet, you can use the last two rows to enter the data for an individual country (usually the domestic country) that might be broken out though the rest of the revenues are broken down by region. You can look up the ERP for the country in the country ERP worksheet.</t>
  </si>
  <si>
    <t>Current year's lease expense</t>
  </si>
  <si>
    <t>Copy into operating lease worksheet</t>
  </si>
  <si>
    <t>Revenue Growth Rate</t>
  </si>
  <si>
    <t>Pre-Tax Operating Income</t>
  </si>
  <si>
    <t>Taxes</t>
  </si>
  <si>
    <t>After-Tax Operating Income</t>
  </si>
  <si>
    <t>Change in Revenues</t>
  </si>
  <si>
    <t>Sales to Capital</t>
  </si>
  <si>
    <t>Reinvestment</t>
  </si>
  <si>
    <t>Capital Invested</t>
  </si>
  <si>
    <t>Implied ROC</t>
  </si>
  <si>
    <t>Cost of Equity</t>
  </si>
  <si>
    <t>Pre-Tax Cost of Debt</t>
  </si>
  <si>
    <t>Tax Savings</t>
  </si>
  <si>
    <t>After-Tax Cost of Debt</t>
  </si>
  <si>
    <t>Debt Ratio</t>
  </si>
  <si>
    <t>Cost of Capital</t>
  </si>
  <si>
    <t>Traling 12 month</t>
  </si>
  <si>
    <t>Pre-Tax Operating Margin</t>
  </si>
  <si>
    <t>Cumulated Cost of Capital</t>
  </si>
  <si>
    <t>Terminal Value</t>
  </si>
  <si>
    <t>Year of convergence</t>
  </si>
  <si>
    <t>Speed of convergence level</t>
  </si>
  <si>
    <t>Moody's rating</t>
  </si>
  <si>
    <t>Equity Risk Premium</t>
  </si>
  <si>
    <t>Aa2</t>
  </si>
  <si>
    <t>B1</t>
  </si>
  <si>
    <t>Algeria</t>
  </si>
  <si>
    <t>Baa2</t>
  </si>
  <si>
    <t>B2</t>
  </si>
  <si>
    <t>Baa1</t>
  </si>
  <si>
    <t>Aaa</t>
  </si>
  <si>
    <t>Aa1</t>
  </si>
  <si>
    <t>Ba2</t>
  </si>
  <si>
    <t>Baa3</t>
  </si>
  <si>
    <t>Ba3</t>
  </si>
  <si>
    <t>Caa1</t>
  </si>
  <si>
    <t>Aa3</t>
  </si>
  <si>
    <t>B3</t>
  </si>
  <si>
    <t>Benin</t>
  </si>
  <si>
    <t>A2</t>
  </si>
  <si>
    <t>Brunei</t>
  </si>
  <si>
    <t>A1</t>
  </si>
  <si>
    <t>Caa2</t>
  </si>
  <si>
    <t>A3</t>
  </si>
  <si>
    <t>Gambia</t>
  </si>
  <si>
    <t>Ba1</t>
  </si>
  <si>
    <t>Guinea</t>
  </si>
  <si>
    <t>Guinea-Bissau</t>
  </si>
  <si>
    <t>Guyana</t>
  </si>
  <si>
    <t>Haiti</t>
  </si>
  <si>
    <t>Iran</t>
  </si>
  <si>
    <t>Korea, D.P.R.</t>
  </si>
  <si>
    <t>Liberia</t>
  </si>
  <si>
    <t>Libya</t>
  </si>
  <si>
    <t>Madagascar</t>
  </si>
  <si>
    <t>Malawi</t>
  </si>
  <si>
    <t>Mali</t>
  </si>
  <si>
    <t>Myanmar</t>
  </si>
  <si>
    <t>Niger</t>
  </si>
  <si>
    <t>Sierra Leone</t>
  </si>
  <si>
    <t>Solomon Islands</t>
  </si>
  <si>
    <t>Somalia</t>
  </si>
  <si>
    <t>Sudan</t>
  </si>
  <si>
    <t>Swaziland</t>
  </si>
  <si>
    <t>Syria</t>
  </si>
  <si>
    <t>Tajikistan</t>
  </si>
  <si>
    <t>Tanzania</t>
  </si>
  <si>
    <t>Togo</t>
  </si>
  <si>
    <t>Zimbabwe</t>
  </si>
  <si>
    <t>Default Spread</t>
  </si>
  <si>
    <t>Mature Market ERP +</t>
  </si>
  <si>
    <t>CRP</t>
  </si>
  <si>
    <t>You can use this spreadsheet to compute your cost of capital. You can either use the built-in data to compute key inputs (beta, equity risk premium, default spread) or enter them directly. If you choose to use the built in ERP data, you can update the ERP numbers to reflect a more current mature market premuum (since the spreadsheet uses the start of the year numbers).</t>
  </si>
  <si>
    <t>Macao</t>
  </si>
  <si>
    <t>Trinidad and Tobago</t>
  </si>
  <si>
    <t>Turks and Caicos Islands</t>
  </si>
  <si>
    <t>C</t>
  </si>
  <si>
    <t>Pre-tax Operating Margin (Unadjusted)</t>
  </si>
  <si>
    <t>Rest of the World</t>
  </si>
  <si>
    <t>Technology &amp; Content</t>
  </si>
  <si>
    <t>G&amp;A</t>
  </si>
  <si>
    <t>Marketing Costs</t>
  </si>
  <si>
    <t>Content Costs</t>
  </si>
  <si>
    <t>Content Costs (Cash Flows)</t>
  </si>
  <si>
    <t>Laos</t>
  </si>
  <si>
    <t>Pre-tax Operating Margin (Lease &amp; R&amp;D adjusted)</t>
  </si>
  <si>
    <t>I will asssume that today's risk free rate will prevail in perpetuity. If you override this assumption, I will change the riskfree rate after year 10.</t>
  </si>
  <si>
    <t>If yes, enter the riskfree rate after year 10</t>
  </si>
  <si>
    <t>If yes, you will be asked to enter a normal risk free rate and your growth in perpetuity will be adjusted accordingly.</t>
  </si>
  <si>
    <t>Enter your estimate of what the riskfree rate (in your currency of choice) will be after year 10</t>
  </si>
  <si>
    <t>This is an option to let you use a negative growth rate in perpetuity or to even liquidate the firm.</t>
  </si>
  <si>
    <t xml:space="preserve">Revenue growth rate for next year </t>
  </si>
  <si>
    <t>Compounded annual revenue growth rate - years 2-5 =</t>
  </si>
  <si>
    <t>Operating Margin for next year</t>
  </si>
  <si>
    <t>Duopoly, growing market</t>
  </si>
  <si>
    <t>Industry margins, also close to historical</t>
  </si>
  <si>
    <t>Ca</t>
  </si>
  <si>
    <t>Caa3</t>
  </si>
  <si>
    <t>Sales to Capital =</t>
  </si>
  <si>
    <t>Though some sectors, even in stable growth, may have higher risk. If you change your risk free rate after year 10 (see cell B57 &amp; 58), you should incorporate it into your stable cost of capital estimate.</t>
  </si>
  <si>
    <t>Global/US marginal tax rate over time</t>
  </si>
  <si>
    <t>Excess capacity being utilized for growth</t>
  </si>
  <si>
    <t>Cost of capital decreases to mkt average</t>
  </si>
  <si>
    <t xml:space="preserve"> - Debt &amp; Minority Interests</t>
  </si>
  <si>
    <t>Spread in 2021</t>
  </si>
  <si>
    <t>British Virgin Islands</t>
  </si>
  <si>
    <t>Curaçao</t>
  </si>
  <si>
    <t>Guernsey</t>
  </si>
  <si>
    <t>Ivory Coast</t>
  </si>
  <si>
    <t>Jersey</t>
  </si>
  <si>
    <t>Saint Lucia</t>
  </si>
  <si>
    <t>South Korea</t>
  </si>
  <si>
    <t>Yemen</t>
  </si>
  <si>
    <t>NR</t>
  </si>
  <si>
    <t>Air Transport</t>
  </si>
  <si>
    <t>Apparel</t>
  </si>
  <si>
    <t>Auto &amp; Truck</t>
  </si>
  <si>
    <t>Auto Parts</t>
  </si>
  <si>
    <t>Bank (Money Center)</t>
  </si>
  <si>
    <t>Banks (Regional)</t>
  </si>
  <si>
    <t>Beverage (Soft)</t>
  </si>
  <si>
    <t>Broadcasting</t>
  </si>
  <si>
    <t>Brokerage &amp; Investment Banking</t>
  </si>
  <si>
    <t>Building Materials</t>
  </si>
  <si>
    <t>Business &amp; Consumer Services</t>
  </si>
  <si>
    <t>Cable TV</t>
  </si>
  <si>
    <t>Chemical (Basic)</t>
  </si>
  <si>
    <t>Chemical (Diversified)</t>
  </si>
  <si>
    <t>Chemical (Specialty)</t>
  </si>
  <si>
    <t>Coal &amp; Related Energy</t>
  </si>
  <si>
    <t>Construction Supplies</t>
  </si>
  <si>
    <t>Diversified</t>
  </si>
  <si>
    <t>Drugs (Biotechnology)</t>
  </si>
  <si>
    <t>Drugs (Pharmaceutical)</t>
  </si>
  <si>
    <t>Education</t>
  </si>
  <si>
    <t>Electrical Equipment</t>
  </si>
  <si>
    <t>Electronics (Consumer &amp; Office)</t>
  </si>
  <si>
    <t>Electronics (General)</t>
  </si>
  <si>
    <t>Engineering/Construction</t>
  </si>
  <si>
    <t>Environmental &amp; Waste Services</t>
  </si>
  <si>
    <t>Farming/Agriculture</t>
  </si>
  <si>
    <t>Financial Svcs. (Non-bank &amp; Insurance)</t>
  </si>
  <si>
    <t>Food Processing</t>
  </si>
  <si>
    <t>Food Wholesalers</t>
  </si>
  <si>
    <t>Furn/Home Furnishings</t>
  </si>
  <si>
    <t>Green &amp; Renewable Energy</t>
  </si>
  <si>
    <t>Healthcare Products</t>
  </si>
  <si>
    <t>Healthcare Support Services</t>
  </si>
  <si>
    <t>Heathcare Information and Technology</t>
  </si>
  <si>
    <t>Homebuilding</t>
  </si>
  <si>
    <t>Hospitals/Healthcare Facilities</t>
  </si>
  <si>
    <t>Hotel/Gaming</t>
  </si>
  <si>
    <t>Household Products</t>
  </si>
  <si>
    <t>Information Services</t>
  </si>
  <si>
    <t>Insurance (General)</t>
  </si>
  <si>
    <t>Insurance (Life)</t>
  </si>
  <si>
    <t>Insurance (Prop/Cas.)</t>
  </si>
  <si>
    <t>Investments &amp; Asset Management</t>
  </si>
  <si>
    <t>Machinery</t>
  </si>
  <si>
    <t>Metals &amp; Mining</t>
  </si>
  <si>
    <t>Office Equipment &amp; Services</t>
  </si>
  <si>
    <t>Oil/Gas (Integrated)</t>
  </si>
  <si>
    <t>Oil/Gas (Production and Exploration)</t>
  </si>
  <si>
    <t>Oil/Gas Distribution</t>
  </si>
  <si>
    <t>Oilfield Svcs/Equip.</t>
  </si>
  <si>
    <t>Packaging &amp; Container</t>
  </si>
  <si>
    <t>Paper/Forest Products</t>
  </si>
  <si>
    <t>Power</t>
  </si>
  <si>
    <t>Precious Metals</t>
  </si>
  <si>
    <t>Publishing &amp; Newspapers</t>
  </si>
  <si>
    <t>R.E.I.T.</t>
  </si>
  <si>
    <t>Real Estate (Development)</t>
  </si>
  <si>
    <t>Real Estate (General/Diversified)</t>
  </si>
  <si>
    <t>Real Estate (Operations &amp; Services)</t>
  </si>
  <si>
    <t>Recreation</t>
  </si>
  <si>
    <t>Reinsurance</t>
  </si>
  <si>
    <t>Restaurant/Dining</t>
  </si>
  <si>
    <t>Retail (Automotive)</t>
  </si>
  <si>
    <t>Retail (Building Supply)</t>
  </si>
  <si>
    <t>Retail (Distributors)</t>
  </si>
  <si>
    <t>Retail (General)</t>
  </si>
  <si>
    <t>Retail (Grocery and Food)</t>
  </si>
  <si>
    <t>Retail (Online)</t>
  </si>
  <si>
    <t>Retail (Special Lines)</t>
  </si>
  <si>
    <t>Rubber&amp; Tires</t>
  </si>
  <si>
    <t>Semiconductor</t>
  </si>
  <si>
    <t>Semiconductor Equip</t>
  </si>
  <si>
    <t>Shipbuilding &amp; Marine</t>
  </si>
  <si>
    <t>Shoe</t>
  </si>
  <si>
    <t>Software (Entertainment)</t>
  </si>
  <si>
    <t>Software (Internet)</t>
  </si>
  <si>
    <t>Software (System &amp; Application)</t>
  </si>
  <si>
    <t>Steel</t>
  </si>
  <si>
    <t>Telecom (Wireless)</t>
  </si>
  <si>
    <t>Telecom. Services</t>
  </si>
  <si>
    <t>Tobacco</t>
  </si>
  <si>
    <t>Transportation</t>
  </si>
  <si>
    <t>Transportation (Railroads)</t>
  </si>
  <si>
    <t>Trucking</t>
  </si>
  <si>
    <t>Utility (General)</t>
  </si>
  <si>
    <t>Utility (Water)</t>
  </si>
  <si>
    <t>Total Market</t>
  </si>
  <si>
    <t>Total Market (without financials)</t>
  </si>
  <si>
    <t>BIMAS</t>
  </si>
  <si>
    <t>Share price(23/01/2023)</t>
  </si>
  <si>
    <t>Income statement</t>
  </si>
  <si>
    <t>TTM</t>
  </si>
  <si>
    <t>Total Revenue</t>
  </si>
  <si>
    <t>Operating Revenue</t>
  </si>
  <si>
    <t>Cost of Revenue</t>
  </si>
  <si>
    <t>Gross Profit</t>
  </si>
  <si>
    <t>Operating Expense</t>
  </si>
  <si>
    <t>Selling General and Administrative</t>
  </si>
  <si>
    <t>General &amp; Administrative Expense</t>
  </si>
  <si>
    <t>Rental &amp; Landing Fees</t>
  </si>
  <si>
    <t>Selling &amp; Marketing Expense</t>
  </si>
  <si>
    <t>Other Operating Expenses</t>
  </si>
  <si>
    <t>Operating Income</t>
  </si>
  <si>
    <t>Net Non Operating Interest Income Expense</t>
  </si>
  <si>
    <t>Interest Income Non Operating</t>
  </si>
  <si>
    <t>Interest Expense Non Operating</t>
  </si>
  <si>
    <t>Total Other Finance Cost</t>
  </si>
  <si>
    <t>Pretax Income</t>
  </si>
  <si>
    <t>Tax Provision</t>
  </si>
  <si>
    <t>Net Income Common Stockholders</t>
  </si>
  <si>
    <t>Net Income</t>
  </si>
  <si>
    <t>Net Income Including Non-Controlling Interests</t>
  </si>
  <si>
    <t>Net Income Continuous Operations</t>
  </si>
  <si>
    <t>Minority Interests</t>
  </si>
  <si>
    <t>Otherunder Preferred Stock Dividend</t>
  </si>
  <si>
    <t>Diluted NI Available to Com Stockholders</t>
  </si>
  <si>
    <t>Basic EPS</t>
  </si>
  <si>
    <t>Diluted EPS</t>
  </si>
  <si>
    <t>Basic Average Shares</t>
  </si>
  <si>
    <t>Diluted Average Shares</t>
  </si>
  <si>
    <t>Total Operating Income as Reported</t>
  </si>
  <si>
    <t>Rent Expense Supplemental</t>
  </si>
  <si>
    <t>Total Expenses</t>
  </si>
  <si>
    <t>Net Income from Continuing &amp; Discontinued Operation</t>
  </si>
  <si>
    <t>Normalized Income</t>
  </si>
  <si>
    <t>Interest Income</t>
  </si>
  <si>
    <t>Interest Expense</t>
  </si>
  <si>
    <t>Net Interest Income</t>
  </si>
  <si>
    <t>EBITDA</t>
  </si>
  <si>
    <t>Reconciled Cost of Revenue</t>
  </si>
  <si>
    <t>Reconciled Depreciation</t>
  </si>
  <si>
    <t>Net Income from Continuing Operation Net Minority Interest</t>
  </si>
  <si>
    <t>Total Unusual Items Excluding Goodwill</t>
  </si>
  <si>
    <t>Total Unusual Items</t>
  </si>
  <si>
    <t>Normalized EBITDA</t>
  </si>
  <si>
    <t>Tax Rate for Calcs</t>
  </si>
  <si>
    <t>Tax Effect of Unusual Items</t>
  </si>
  <si>
    <t>Balance Sheet</t>
  </si>
  <si>
    <t>Total Assets</t>
  </si>
  <si>
    <t>Current Assets</t>
  </si>
  <si>
    <t>Cash, Cash Equivalents &amp; Short Term Investments</t>
  </si>
  <si>
    <t>Cash And Cash Equivalents</t>
  </si>
  <si>
    <t>Cash</t>
  </si>
  <si>
    <t>-</t>
  </si>
  <si>
    <t>Cash Equivalents</t>
  </si>
  <si>
    <t>Other Short Term Investments</t>
  </si>
  <si>
    <t>Inventory</t>
  </si>
  <si>
    <t>Finished Goods</t>
  </si>
  <si>
    <t>Other Inventories</t>
  </si>
  <si>
    <t>Inventories Adjustments Allowances</t>
  </si>
  <si>
    <t>Prepaid Assets</t>
  </si>
  <si>
    <t>Other Current Assets</t>
  </si>
  <si>
    <t>Total non-current assets</t>
  </si>
  <si>
    <t>Net PPE</t>
  </si>
  <si>
    <t>Gross PPE</t>
  </si>
  <si>
    <t>Properties</t>
  </si>
  <si>
    <t>Land And Improvements</t>
  </si>
  <si>
    <t>Buildings And Improvements</t>
  </si>
  <si>
    <t>Machinery Furniture Equipment</t>
  </si>
  <si>
    <t>Construction in Progress</t>
  </si>
  <si>
    <t>Accumulated Depreciation</t>
  </si>
  <si>
    <t>Goodwill And Other Intangible Assets</t>
  </si>
  <si>
    <t>Goodwill</t>
  </si>
  <si>
    <t>Other Intangible Assets</t>
  </si>
  <si>
    <t>Non Current Prepaid Assets</t>
  </si>
  <si>
    <t>Total Liabilities Net Minority Interest</t>
  </si>
  <si>
    <t>Current Liabilities</t>
  </si>
  <si>
    <t>Current Provisions</t>
  </si>
  <si>
    <t>Pension &amp; Other Post Retirement Benefit Plans Current</t>
  </si>
  <si>
    <t>Current Debt And Capital Lease Obligation</t>
  </si>
  <si>
    <t>Current Debt</t>
  </si>
  <si>
    <t>Current Capital Lease Obligation</t>
  </si>
  <si>
    <t>Other Current Liabilities</t>
  </si>
  <si>
    <t>Total Non Current Liabilities Net Minority Interest</t>
  </si>
  <si>
    <t>Long Term Debt And Capital Lease Obligation</t>
  </si>
  <si>
    <t>Long Term Capital Lease Obligation</t>
  </si>
  <si>
    <t>Total Equity Gross Minority Interest</t>
  </si>
  <si>
    <t>Stockholders' Equity</t>
  </si>
  <si>
    <t>Capital Stock</t>
  </si>
  <si>
    <t>Common Stock</t>
  </si>
  <si>
    <t>Retained Earnings</t>
  </si>
  <si>
    <t>Treasury Stock</t>
  </si>
  <si>
    <t>Minority Interest</t>
  </si>
  <si>
    <t>Total Capitalization</t>
  </si>
  <si>
    <t>Common Stock Equity</t>
  </si>
  <si>
    <t>Capital Lease Obligations</t>
  </si>
  <si>
    <t>Net Tangible Assets</t>
  </si>
  <si>
    <t>Working Capital</t>
  </si>
  <si>
    <t>Invested Capital</t>
  </si>
  <si>
    <t>Tangible Book Value</t>
  </si>
  <si>
    <t>Total Debt</t>
  </si>
  <si>
    <t>Share Issued</t>
  </si>
  <si>
    <t>Ordinary Shares Number</t>
  </si>
  <si>
    <t>Treasury Shares Number</t>
  </si>
  <si>
    <t>Cashflow Statement</t>
  </si>
  <si>
    <t>Operating Cash Flow</t>
  </si>
  <si>
    <t>Investing Cash Flow</t>
  </si>
  <si>
    <t>Financing Cash Flow</t>
  </si>
  <si>
    <t>End Cash Position</t>
  </si>
  <si>
    <t>Changes in Cash</t>
  </si>
  <si>
    <t>Effect of Exchange Rate Changes</t>
  </si>
  <si>
    <t>Beginning Cash Position</t>
  </si>
  <si>
    <t>Capital Expenditure</t>
  </si>
  <si>
    <t>Issuance of Debt</t>
  </si>
  <si>
    <t>Repurchase of Capital Stock</t>
  </si>
  <si>
    <t>Free Cash Flow</t>
  </si>
  <si>
    <t>Updated January 24, 2024</t>
  </si>
  <si>
    <t>In 2023</t>
  </si>
  <si>
    <t xml:space="preserve">BIM, with some 9,760 stores, is the largest supermarket retail chain in Türkiye. It has small operations in Morocco and Egypt but we don’t take it into account because of the its small scale. Most of the risk of the company comes from its operation in turkey because of inflation. Being the cheapest retailer comes with disadvantage as having a very small margin of profit makes it very hard to profit if not dealing with unused cash before losing its value. We can see it reflecting in the negative growth rate. However on top of that the stock is an overall all time high. Conversley in the future, most analysts are speculating the economy to improve which will help with income as most inflation prices are sticky and will retain high prices for a while as inflation goes down which will reflect as a high growth. </t>
  </si>
  <si>
    <t>Maintined at BIM's current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</si>
</sst>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0_);[Red]\(&quot;$&quot;#,##0\)"/>
    <numFmt numFmtId="8" formatCode="&quot;$&quot;#,##0.00_);[Red]\(&quot;$&quot;#,##0.00\)"/>
    <numFmt numFmtId="44" formatCode="_(&quot;$&quot;* #,##0.00_);_(&quot;$&quot;* \(#,##0.00\);_(&quot;$&quot;* &quot;-&quot;??_);_(@_)"/>
    <numFmt numFmtId="43" formatCode="_(* #,##0.00_);_(* \(#,##0.00\);_(* &quot;-&quot;??_);_(@_)"/>
    <numFmt numFmtId="164" formatCode="&quot;$&quot;#,##0.00"/>
    <numFmt numFmtId="165" formatCode="#,##0.0000"/>
    <numFmt numFmtId="166" formatCode="0.000%"/>
    <numFmt numFmtId="167" formatCode="0.0000%"/>
    <numFmt numFmtId="168" formatCode="_(&quot;$&quot;* #,##0_);_(&quot;$&quot;* \(#,##0\);_(&quot;$&quot;* &quot;-&quot;??_);_(@_)"/>
    <numFmt numFmtId="169" formatCode="0.0000"/>
    <numFmt numFmtId="170" formatCode="_(* #,##0.0_);_(* \(#,##0.0\)_)\ ;_(* 0_)"/>
    <numFmt numFmtId="171" formatCode="_([$$-409]* #,##0.00_);_([$$-409]* \(#,##0.00\);_([$$-409]* &quot;-&quot;??_);_(@_)"/>
    <numFmt numFmtId="172" formatCode="_([$$-409]* #,##0_);_([$$-409]* \(#,##0\);_([$$-409]* &quot;-&quot;??_);_(@_)"/>
    <numFmt numFmtId="173" formatCode="0.0%"/>
    <numFmt numFmtId="174" formatCode="_(* #,##0_);_(* \(#,##0\);_(* &quot;-&quot;??_);_(@_)"/>
  </numFmts>
  <fonts count="74">
    <font>
      <sz val="9"/>
      <name val="Geneva"/>
      <family val="2"/>
    </font>
    <font>
      <sz val="12"/>
      <color theme="1"/>
      <name val="Calibri"/>
      <family val="2"/>
      <scheme val="minor"/>
    </font>
    <font>
      <sz val="12"/>
      <color theme="1"/>
      <name val="Calibri"/>
      <family val="2"/>
      <scheme val="minor"/>
    </font>
    <font>
      <i/>
      <sz val="9"/>
      <name val="Geneva"/>
      <family val="2"/>
    </font>
    <font>
      <sz val="9"/>
      <name val="Geneva"/>
      <family val="2"/>
    </font>
    <font>
      <sz val="8"/>
      <name val="Geneva"/>
      <family val="2"/>
    </font>
    <font>
      <sz val="8"/>
      <name val="돋움"/>
      <family val="3"/>
    </font>
    <font>
      <sz val="8"/>
      <name val="Verdana"/>
      <family val="2"/>
    </font>
    <font>
      <sz val="9"/>
      <name val="Helv"/>
    </font>
    <font>
      <sz val="12"/>
      <name val="Arial"/>
      <family val="2"/>
    </font>
    <font>
      <b/>
      <i/>
      <sz val="12"/>
      <name val="Arial"/>
      <family val="2"/>
    </font>
    <font>
      <b/>
      <sz val="14"/>
      <name val="Times"/>
      <family val="1"/>
    </font>
    <font>
      <b/>
      <sz val="14"/>
      <name val="Geneva"/>
      <family val="2"/>
    </font>
    <font>
      <sz val="10"/>
      <name val="Times"/>
      <family val="1"/>
    </font>
    <font>
      <b/>
      <i/>
      <sz val="10"/>
      <name val="Times"/>
      <family val="1"/>
    </font>
    <font>
      <i/>
      <sz val="10"/>
      <name val="Times"/>
      <family val="1"/>
    </font>
    <font>
      <i/>
      <sz val="10"/>
      <name val="Geneva"/>
      <family val="2"/>
    </font>
    <font>
      <b/>
      <sz val="10"/>
      <name val="Times"/>
      <family val="1"/>
    </font>
    <font>
      <sz val="9"/>
      <color indexed="81"/>
      <name val="Geneva"/>
      <family val="2"/>
    </font>
    <font>
      <b/>
      <sz val="9"/>
      <color indexed="81"/>
      <name val="Geneva"/>
      <family val="2"/>
    </font>
    <font>
      <b/>
      <sz val="12"/>
      <name val="Times"/>
      <family val="1"/>
    </font>
    <font>
      <sz val="10"/>
      <name val="Geneva"/>
      <family val="2"/>
    </font>
    <font>
      <i/>
      <sz val="12"/>
      <name val="Times"/>
      <family val="1"/>
    </font>
    <font>
      <sz val="12"/>
      <name val="Times"/>
      <family val="1"/>
    </font>
    <font>
      <b/>
      <i/>
      <u/>
      <sz val="12"/>
      <name val="Times"/>
      <family val="1"/>
    </font>
    <font>
      <b/>
      <sz val="10"/>
      <name val="Helv"/>
    </font>
    <font>
      <sz val="10"/>
      <name val="Helv"/>
    </font>
    <font>
      <b/>
      <i/>
      <sz val="10"/>
      <name val="Helv"/>
    </font>
    <font>
      <i/>
      <sz val="10"/>
      <name val="Helv"/>
    </font>
    <font>
      <b/>
      <i/>
      <sz val="14"/>
      <name val="Times"/>
      <family val="1"/>
    </font>
    <font>
      <b/>
      <i/>
      <sz val="12"/>
      <name val="Times"/>
      <family val="1"/>
    </font>
    <font>
      <i/>
      <sz val="12"/>
      <name val="Geneva"/>
      <family val="2"/>
    </font>
    <font>
      <b/>
      <sz val="10"/>
      <name val="Geneva"/>
      <family val="2"/>
    </font>
    <font>
      <b/>
      <sz val="10"/>
      <name val="Arial"/>
      <family val="2"/>
    </font>
    <font>
      <sz val="10"/>
      <name val="Arial"/>
      <family val="2"/>
    </font>
    <font>
      <sz val="9"/>
      <name val="Times"/>
      <family val="1"/>
    </font>
    <font>
      <b/>
      <sz val="9"/>
      <name val="Times"/>
      <family val="1"/>
    </font>
    <font>
      <b/>
      <sz val="9"/>
      <name val="Helv"/>
    </font>
    <font>
      <i/>
      <sz val="14"/>
      <name val="Times"/>
      <family val="1"/>
    </font>
    <font>
      <sz val="8"/>
      <name val="Arial"/>
      <family val="2"/>
    </font>
    <font>
      <sz val="10"/>
      <color indexed="81"/>
      <name val="Calibri"/>
      <family val="2"/>
    </font>
    <font>
      <b/>
      <sz val="10"/>
      <color indexed="81"/>
      <name val="Calibri"/>
      <family val="2"/>
    </font>
    <font>
      <i/>
      <sz val="9"/>
      <name val="Helv"/>
    </font>
    <font>
      <sz val="9"/>
      <name val="Calibri"/>
      <family val="2"/>
    </font>
    <font>
      <b/>
      <sz val="12"/>
      <color theme="1"/>
      <name val="Calibri"/>
      <family val="2"/>
      <scheme val="minor"/>
    </font>
    <font>
      <sz val="12"/>
      <color rgb="FFFF0000"/>
      <name val="Calibri"/>
      <family val="2"/>
      <scheme val="minor"/>
    </font>
    <font>
      <i/>
      <sz val="10"/>
      <color rgb="FFFF0000"/>
      <name val="Helv"/>
    </font>
    <font>
      <sz val="12"/>
      <color rgb="FFFF0000"/>
      <name val="Times"/>
      <family val="1"/>
    </font>
    <font>
      <b/>
      <sz val="10"/>
      <color theme="1"/>
      <name val="Helv"/>
    </font>
    <font>
      <sz val="10"/>
      <name val="Calibri"/>
      <family val="2"/>
      <scheme val="minor"/>
    </font>
    <font>
      <i/>
      <sz val="9"/>
      <color rgb="FFFF0000"/>
      <name val="Helv"/>
    </font>
    <font>
      <i/>
      <sz val="12"/>
      <color theme="1"/>
      <name val="Calibri"/>
      <family val="2"/>
      <scheme val="minor"/>
    </font>
    <font>
      <sz val="12"/>
      <name val="Calibri"/>
      <family val="2"/>
      <scheme val="minor"/>
    </font>
    <font>
      <sz val="10"/>
      <color theme="1"/>
      <name val="Calibri"/>
      <family val="2"/>
      <scheme val="minor"/>
    </font>
    <font>
      <sz val="9"/>
      <name val="Calibri"/>
      <family val="2"/>
      <scheme val="minor"/>
    </font>
    <font>
      <b/>
      <i/>
      <sz val="12"/>
      <color theme="1"/>
      <name val="Calibri"/>
      <family val="2"/>
      <scheme val="minor"/>
    </font>
    <font>
      <i/>
      <sz val="12"/>
      <color rgb="FFFF0000"/>
      <name val="Calibri (Body)"/>
    </font>
    <font>
      <i/>
      <sz val="12"/>
      <color rgb="FFFF0000"/>
      <name val="Geneva"/>
      <family val="2"/>
    </font>
    <font>
      <sz val="12"/>
      <color rgb="FFFF0000"/>
      <name val="Calibri (Body)"/>
    </font>
    <font>
      <sz val="10"/>
      <color rgb="FFFF0000"/>
      <name val="Arial"/>
      <family val="2"/>
    </font>
    <font>
      <b/>
      <sz val="9"/>
      <color rgb="FF000000"/>
      <name val="Geneva"/>
      <family val="2"/>
    </font>
    <font>
      <sz val="9"/>
      <color rgb="FF000000"/>
      <name val="Geneva"/>
      <family val="2"/>
    </font>
    <font>
      <sz val="10"/>
      <color rgb="FF000000"/>
      <name val="Tahoma"/>
      <family val="2"/>
    </font>
    <font>
      <b/>
      <sz val="10"/>
      <color rgb="FF000000"/>
      <name val="Tahoma"/>
      <family val="2"/>
    </font>
    <font>
      <b/>
      <sz val="10"/>
      <color rgb="FF000000"/>
      <name val="Calibri"/>
      <family val="2"/>
    </font>
    <font>
      <sz val="10"/>
      <color rgb="FF000000"/>
      <name val="Calibri"/>
      <family val="2"/>
    </font>
    <font>
      <b/>
      <sz val="9"/>
      <name val="Geneva"/>
      <family val="2"/>
    </font>
    <font>
      <b/>
      <sz val="10"/>
      <color rgb="FFFF0000"/>
      <name val="Helv"/>
    </font>
    <font>
      <i/>
      <sz val="12"/>
      <color rgb="FFFF0000"/>
      <name val="Calibri"/>
      <family val="2"/>
      <scheme val="minor"/>
    </font>
    <font>
      <i/>
      <sz val="12"/>
      <color rgb="FF000000"/>
      <name val="Helvetica"/>
      <family val="2"/>
    </font>
    <font>
      <sz val="10"/>
      <name val="Times Roman"/>
    </font>
    <font>
      <sz val="8"/>
      <color theme="1"/>
      <name val="Arial"/>
      <family val="2"/>
    </font>
    <font>
      <b/>
      <sz val="11"/>
      <color theme="1"/>
      <name val="Calibri"/>
      <family val="2"/>
      <scheme val="minor"/>
    </font>
    <font>
      <sz val="6"/>
      <color rgb="FFCCC6BF"/>
      <name val="Arial"/>
      <family val="2"/>
    </font>
  </fonts>
  <fills count="13">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rgb="FFFFFF00"/>
        <bgColor indexed="64"/>
      </patternFill>
    </fill>
    <fill>
      <patternFill patternType="solid">
        <fgColor theme="0"/>
        <bgColor indexed="64"/>
      </patternFill>
    </fill>
    <fill>
      <patternFill patternType="solid">
        <fgColor rgb="FFCCFFCC"/>
        <bgColor indexed="64"/>
      </patternFill>
    </fill>
    <fill>
      <patternFill patternType="solid">
        <fgColor rgb="FFFF0000"/>
        <bgColor indexed="64"/>
      </patternFill>
    </fill>
    <fill>
      <patternFill patternType="solid">
        <fgColor rgb="FFFFFF00"/>
        <bgColor rgb="FF000000"/>
      </patternFill>
    </fill>
    <fill>
      <patternFill patternType="solid">
        <fgColor rgb="FFFFFFFF"/>
        <bgColor rgb="FF000000"/>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bottom/>
      <diagonal/>
    </border>
    <border>
      <left/>
      <right style="thin">
        <color indexed="64"/>
      </right>
      <top/>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cellStyleXfs>
  <cellXfs count="441">
    <xf numFmtId="0" fontId="0" fillId="0" borderId="0" xfId="0"/>
    <xf numFmtId="0" fontId="0" fillId="0" borderId="1" xfId="0" applyBorder="1"/>
    <xf numFmtId="0" fontId="3" fillId="0" borderId="0" xfId="0" applyFont="1"/>
    <xf numFmtId="10" fontId="0" fillId="0" borderId="1" xfId="0" applyNumberFormat="1" applyBorder="1" applyAlignment="1">
      <alignment horizontal="center"/>
    </xf>
    <xf numFmtId="0" fontId="8" fillId="0" borderId="0" xfId="0" applyFont="1"/>
    <xf numFmtId="0" fontId="9" fillId="0" borderId="0" xfId="0" applyFont="1"/>
    <xf numFmtId="0" fontId="11" fillId="0" borderId="0" xfId="0" applyFont="1"/>
    <xf numFmtId="0" fontId="12" fillId="0" borderId="0" xfId="0" applyFont="1"/>
    <xf numFmtId="0" fontId="13" fillId="0" borderId="0" xfId="0" applyFont="1"/>
    <xf numFmtId="44" fontId="13" fillId="2" borderId="1" xfId="2" applyFont="1" applyFill="1" applyBorder="1"/>
    <xf numFmtId="10" fontId="13" fillId="2" borderId="1" xfId="3" applyNumberFormat="1" applyFont="1" applyFill="1" applyBorder="1"/>
    <xf numFmtId="10" fontId="13" fillId="2" borderId="1" xfId="0" applyNumberFormat="1" applyFont="1" applyFill="1" applyBorder="1"/>
    <xf numFmtId="2" fontId="13" fillId="2" borderId="1" xfId="0" applyNumberFormat="1" applyFont="1" applyFill="1" applyBorder="1"/>
    <xf numFmtId="4" fontId="13" fillId="2" borderId="1" xfId="0" applyNumberFormat="1" applyFont="1" applyFill="1" applyBorder="1"/>
    <xf numFmtId="0" fontId="14" fillId="0" borderId="0" xfId="0" applyFont="1"/>
    <xf numFmtId="0" fontId="15" fillId="0" borderId="0" xfId="0" applyFont="1"/>
    <xf numFmtId="0" fontId="16" fillId="0" borderId="0" xfId="0" applyFont="1"/>
    <xf numFmtId="0" fontId="17" fillId="0" borderId="0" xfId="0" applyFont="1"/>
    <xf numFmtId="0" fontId="17" fillId="0" borderId="1" xfId="0" applyFont="1" applyBorder="1"/>
    <xf numFmtId="0" fontId="13" fillId="0" borderId="1" xfId="0" applyFont="1" applyBorder="1"/>
    <xf numFmtId="10" fontId="17" fillId="0" borderId="0" xfId="0" applyNumberFormat="1" applyFont="1"/>
    <xf numFmtId="3" fontId="13" fillId="0" borderId="1" xfId="0" applyNumberFormat="1" applyFont="1" applyBorder="1"/>
    <xf numFmtId="10" fontId="17" fillId="0" borderId="1" xfId="0" applyNumberFormat="1" applyFont="1" applyBorder="1"/>
    <xf numFmtId="165" fontId="17" fillId="0" borderId="1" xfId="1" applyNumberFormat="1" applyFont="1" applyBorder="1"/>
    <xf numFmtId="10" fontId="13" fillId="0" borderId="1" xfId="0" applyNumberFormat="1" applyFont="1" applyBorder="1"/>
    <xf numFmtId="44" fontId="13" fillId="0" borderId="2" xfId="2" applyFont="1" applyBorder="1"/>
    <xf numFmtId="44" fontId="13" fillId="0" borderId="0" xfId="2" applyFont="1"/>
    <xf numFmtId="8" fontId="13" fillId="0" borderId="2" xfId="0" applyNumberFormat="1" applyFont="1" applyBorder="1"/>
    <xf numFmtId="44" fontId="13" fillId="2" borderId="1" xfId="0" applyNumberFormat="1" applyFont="1" applyFill="1" applyBorder="1"/>
    <xf numFmtId="0" fontId="11" fillId="0" borderId="0" xfId="0" applyFont="1" applyAlignment="1">
      <alignment horizontal="centerContinuous"/>
    </xf>
    <xf numFmtId="0" fontId="13" fillId="0" borderId="1" xfId="0" applyFont="1" applyBorder="1" applyAlignment="1">
      <alignment horizontal="center"/>
    </xf>
    <xf numFmtId="0" fontId="20" fillId="0" borderId="0" xfId="0" applyFont="1"/>
    <xf numFmtId="0" fontId="13" fillId="0" borderId="2" xfId="0" applyFont="1" applyBorder="1"/>
    <xf numFmtId="44" fontId="13" fillId="3" borderId="1" xfId="2" applyFont="1" applyFill="1" applyBorder="1"/>
    <xf numFmtId="44" fontId="13" fillId="0" borderId="0" xfId="2" applyFont="1" applyBorder="1"/>
    <xf numFmtId="0" fontId="13" fillId="2" borderId="1" xfId="0" applyFont="1" applyFill="1" applyBorder="1" applyAlignment="1">
      <alignment horizontal="center"/>
    </xf>
    <xf numFmtId="0" fontId="13" fillId="0" borderId="3" xfId="0" applyFont="1" applyBorder="1"/>
    <xf numFmtId="44" fontId="13" fillId="2" borderId="3" xfId="0" applyNumberFormat="1" applyFont="1" applyFill="1" applyBorder="1"/>
    <xf numFmtId="44" fontId="13" fillId="2" borderId="3" xfId="2" applyFont="1" applyFill="1" applyBorder="1"/>
    <xf numFmtId="0" fontId="13" fillId="2" borderId="2" xfId="0" applyFont="1" applyFill="1" applyBorder="1"/>
    <xf numFmtId="44" fontId="13" fillId="2" borderId="2" xfId="0" applyNumberFormat="1" applyFont="1" applyFill="1" applyBorder="1"/>
    <xf numFmtId="44" fontId="13" fillId="2" borderId="4" xfId="0" applyNumberFormat="1" applyFont="1" applyFill="1" applyBorder="1"/>
    <xf numFmtId="0" fontId="22" fillId="0" borderId="5" xfId="0" applyFont="1" applyBorder="1" applyAlignment="1">
      <alignment horizontal="center"/>
    </xf>
    <xf numFmtId="0" fontId="22" fillId="0" borderId="1" xfId="0" applyFont="1" applyBorder="1" applyAlignment="1">
      <alignment horizontal="center"/>
    </xf>
    <xf numFmtId="0" fontId="23" fillId="0" borderId="1" xfId="0" applyFont="1" applyBorder="1"/>
    <xf numFmtId="0" fontId="23" fillId="0" borderId="0" xfId="0" applyFont="1"/>
    <xf numFmtId="0" fontId="24" fillId="0" borderId="1" xfId="0" applyFont="1" applyBorder="1"/>
    <xf numFmtId="0" fontId="23" fillId="0" borderId="1" xfId="0" applyFont="1" applyBorder="1" applyAlignment="1">
      <alignment horizontal="center"/>
    </xf>
    <xf numFmtId="0" fontId="23" fillId="0" borderId="0" xfId="0" applyFont="1" applyAlignment="1">
      <alignment horizontal="center"/>
    </xf>
    <xf numFmtId="0" fontId="25" fillId="0" borderId="0" xfId="0" applyFont="1"/>
    <xf numFmtId="0" fontId="26" fillId="0" borderId="6" xfId="0" applyFont="1" applyBorder="1"/>
    <xf numFmtId="0" fontId="26" fillId="0" borderId="7" xfId="0" applyFont="1" applyBorder="1"/>
    <xf numFmtId="0" fontId="26" fillId="0" borderId="0" xfId="0" applyFont="1"/>
    <xf numFmtId="0" fontId="26" fillId="0" borderId="8" xfId="0" applyFont="1" applyBorder="1"/>
    <xf numFmtId="0" fontId="26" fillId="0" borderId="9" xfId="0" applyFont="1" applyBorder="1"/>
    <xf numFmtId="0" fontId="26" fillId="0" borderId="1" xfId="0" applyFont="1" applyBorder="1"/>
    <xf numFmtId="44" fontId="26" fillId="4" borderId="1" xfId="2" applyFont="1" applyFill="1" applyBorder="1" applyAlignment="1">
      <alignment horizontal="center"/>
    </xf>
    <xf numFmtId="0" fontId="46" fillId="0" borderId="0" xfId="0" applyFont="1"/>
    <xf numFmtId="10" fontId="26" fillId="4" borderId="1" xfId="2" applyNumberFormat="1" applyFont="1" applyFill="1" applyBorder="1" applyAlignment="1">
      <alignment horizontal="center"/>
    </xf>
    <xf numFmtId="44" fontId="26" fillId="0" borderId="0" xfId="2" applyFont="1" applyFill="1" applyBorder="1" applyAlignment="1">
      <alignment horizontal="center"/>
    </xf>
    <xf numFmtId="10" fontId="26" fillId="4" borderId="1" xfId="0" applyNumberFormat="1" applyFont="1" applyFill="1" applyBorder="1" applyAlignment="1">
      <alignment horizontal="center"/>
    </xf>
    <xf numFmtId="2" fontId="26" fillId="4" borderId="1" xfId="0" applyNumberFormat="1" applyFont="1" applyFill="1" applyBorder="1" applyAlignment="1">
      <alignment horizontal="center"/>
    </xf>
    <xf numFmtId="10" fontId="26" fillId="5" borderId="0" xfId="0" applyNumberFormat="1" applyFont="1" applyFill="1" applyAlignment="1">
      <alignment horizontal="center"/>
    </xf>
    <xf numFmtId="164" fontId="26" fillId="4" borderId="1" xfId="0" applyNumberFormat="1" applyFont="1" applyFill="1" applyBorder="1" applyAlignment="1">
      <alignment horizontal="center"/>
    </xf>
    <xf numFmtId="10" fontId="26" fillId="0" borderId="0" xfId="0" applyNumberFormat="1" applyFont="1" applyAlignment="1">
      <alignment horizontal="center"/>
    </xf>
    <xf numFmtId="0" fontId="28" fillId="0" borderId="0" xfId="0" applyFont="1"/>
    <xf numFmtId="0" fontId="26" fillId="4" borderId="1" xfId="0" applyFont="1" applyFill="1" applyBorder="1" applyAlignment="1">
      <alignment horizontal="center"/>
    </xf>
    <xf numFmtId="9" fontId="26" fillId="4" borderId="1" xfId="0" applyNumberFormat="1" applyFont="1" applyFill="1" applyBorder="1" applyAlignment="1">
      <alignment horizontal="center"/>
    </xf>
    <xf numFmtId="9" fontId="26" fillId="5" borderId="0" xfId="0" applyNumberFormat="1" applyFont="1" applyFill="1" applyAlignment="1">
      <alignment horizontal="center"/>
    </xf>
    <xf numFmtId="0" fontId="9" fillId="0" borderId="0" xfId="0" applyFont="1" applyAlignment="1">
      <alignment horizontal="left"/>
    </xf>
    <xf numFmtId="10" fontId="13" fillId="4" borderId="2" xfId="0" applyNumberFormat="1" applyFont="1" applyFill="1" applyBorder="1" applyAlignment="1">
      <alignment horizontal="center"/>
    </xf>
    <xf numFmtId="8" fontId="13" fillId="2" borderId="2" xfId="0" applyNumberFormat="1" applyFont="1" applyFill="1" applyBorder="1"/>
    <xf numFmtId="0" fontId="27" fillId="5" borderId="0" xfId="0" applyFont="1" applyFill="1"/>
    <xf numFmtId="0" fontId="28" fillId="5" borderId="0" xfId="0" applyFont="1" applyFill="1"/>
    <xf numFmtId="0" fontId="25" fillId="0" borderId="10" xfId="0" applyFont="1" applyBorder="1"/>
    <xf numFmtId="0" fontId="26" fillId="0" borderId="11" xfId="0" applyFont="1" applyBorder="1"/>
    <xf numFmtId="0" fontId="26" fillId="0" borderId="12" xfId="0" applyFont="1" applyBorder="1"/>
    <xf numFmtId="0" fontId="23" fillId="6" borderId="1" xfId="0" applyFont="1" applyFill="1" applyBorder="1"/>
    <xf numFmtId="10" fontId="23" fillId="6" borderId="1" xfId="3" applyNumberFormat="1" applyFont="1" applyFill="1" applyBorder="1" applyAlignment="1">
      <alignment horizontal="center"/>
    </xf>
    <xf numFmtId="10" fontId="23" fillId="6" borderId="1" xfId="0" applyNumberFormat="1" applyFont="1" applyFill="1" applyBorder="1" applyAlignment="1">
      <alignment horizontal="center"/>
    </xf>
    <xf numFmtId="44" fontId="23" fillId="6" borderId="1" xfId="2" applyFont="1" applyFill="1" applyBorder="1"/>
    <xf numFmtId="44" fontId="23" fillId="6" borderId="1" xfId="2" applyFont="1" applyFill="1" applyBorder="1" applyAlignment="1">
      <alignment horizontal="center"/>
    </xf>
    <xf numFmtId="10" fontId="23" fillId="6" borderId="1" xfId="3" applyNumberFormat="1" applyFont="1" applyFill="1" applyBorder="1"/>
    <xf numFmtId="10" fontId="23" fillId="6" borderId="1" xfId="2" applyNumberFormat="1" applyFont="1" applyFill="1" applyBorder="1"/>
    <xf numFmtId="10" fontId="23" fillId="6" borderId="1" xfId="2" applyNumberFormat="1" applyFont="1" applyFill="1" applyBorder="1" applyAlignment="1">
      <alignment horizontal="center"/>
    </xf>
    <xf numFmtId="44" fontId="23" fillId="6" borderId="1" xfId="0" applyNumberFormat="1" applyFont="1" applyFill="1" applyBorder="1" applyAlignment="1">
      <alignment horizontal="center"/>
    </xf>
    <xf numFmtId="0" fontId="23" fillId="6" borderId="1" xfId="0" applyFont="1" applyFill="1" applyBorder="1" applyAlignment="1">
      <alignment horizontal="center"/>
    </xf>
    <xf numFmtId="44" fontId="23" fillId="6" borderId="1" xfId="0" applyNumberFormat="1" applyFont="1" applyFill="1" applyBorder="1"/>
    <xf numFmtId="10" fontId="23" fillId="6" borderId="1" xfId="0" applyNumberFormat="1" applyFont="1" applyFill="1" applyBorder="1"/>
    <xf numFmtId="164" fontId="23" fillId="6" borderId="1" xfId="0" applyNumberFormat="1" applyFont="1" applyFill="1" applyBorder="1"/>
    <xf numFmtId="8" fontId="23" fillId="6" borderId="1" xfId="0" applyNumberFormat="1" applyFont="1" applyFill="1" applyBorder="1"/>
    <xf numFmtId="43" fontId="23" fillId="6" borderId="1" xfId="1" applyFont="1" applyFill="1" applyBorder="1"/>
    <xf numFmtId="44" fontId="47" fillId="6" borderId="1" xfId="2" applyFont="1" applyFill="1" applyBorder="1"/>
    <xf numFmtId="2" fontId="23" fillId="6" borderId="1" xfId="0" applyNumberFormat="1" applyFont="1" applyFill="1" applyBorder="1" applyAlignment="1">
      <alignment horizontal="center"/>
    </xf>
    <xf numFmtId="168" fontId="23" fillId="6" borderId="1" xfId="0" applyNumberFormat="1" applyFont="1" applyFill="1" applyBorder="1"/>
    <xf numFmtId="168" fontId="23" fillId="6" borderId="1" xfId="0" applyNumberFormat="1" applyFont="1" applyFill="1" applyBorder="1" applyAlignment="1">
      <alignment horizontal="center"/>
    </xf>
    <xf numFmtId="44" fontId="23" fillId="7" borderId="1" xfId="2" applyFont="1" applyFill="1" applyBorder="1" applyAlignment="1">
      <alignment horizontal="center"/>
    </xf>
    <xf numFmtId="10" fontId="23" fillId="7" borderId="1" xfId="3" applyNumberFormat="1" applyFont="1" applyFill="1" applyBorder="1" applyAlignment="1">
      <alignment horizontal="center"/>
    </xf>
    <xf numFmtId="44" fontId="0" fillId="7" borderId="1" xfId="0" applyNumberFormat="1" applyFill="1" applyBorder="1"/>
    <xf numFmtId="0" fontId="29" fillId="0" borderId="0" xfId="0" applyFont="1"/>
    <xf numFmtId="0" fontId="13" fillId="3" borderId="1" xfId="0" applyFont="1" applyFill="1" applyBorder="1"/>
    <xf numFmtId="0" fontId="15" fillId="0" borderId="0" xfId="0" applyFont="1" applyAlignment="1">
      <alignment horizontal="center"/>
    </xf>
    <xf numFmtId="0" fontId="15" fillId="0" borderId="1" xfId="0" applyFont="1" applyBorder="1" applyAlignment="1">
      <alignment horizontal="center"/>
    </xf>
    <xf numFmtId="2" fontId="13" fillId="6" borderId="1" xfId="0" applyNumberFormat="1" applyFont="1" applyFill="1" applyBorder="1"/>
    <xf numFmtId="44" fontId="13" fillId="6" borderId="1" xfId="0" applyNumberFormat="1" applyFont="1" applyFill="1" applyBorder="1"/>
    <xf numFmtId="44" fontId="13" fillId="6" borderId="1" xfId="2" applyFont="1" applyFill="1" applyBorder="1"/>
    <xf numFmtId="10" fontId="13" fillId="6" borderId="1" xfId="3" applyNumberFormat="1" applyFont="1" applyFill="1" applyBorder="1"/>
    <xf numFmtId="10" fontId="13" fillId="6" borderId="3" xfId="0" applyNumberFormat="1" applyFont="1" applyFill="1" applyBorder="1"/>
    <xf numFmtId="10" fontId="13" fillId="6" borderId="1" xfId="0" applyNumberFormat="1" applyFont="1" applyFill="1" applyBorder="1"/>
    <xf numFmtId="10" fontId="13" fillId="6" borderId="13" xfId="3" applyNumberFormat="1" applyFont="1" applyFill="1" applyBorder="1"/>
    <xf numFmtId="10" fontId="13" fillId="6" borderId="2" xfId="3" applyNumberFormat="1" applyFont="1" applyFill="1" applyBorder="1"/>
    <xf numFmtId="2" fontId="13" fillId="6" borderId="1" xfId="2" applyNumberFormat="1" applyFont="1" applyFill="1" applyBorder="1"/>
    <xf numFmtId="0" fontId="30" fillId="0" borderId="0" xfId="0" applyFont="1"/>
    <xf numFmtId="0" fontId="31" fillId="0" borderId="0" xfId="0" applyFont="1"/>
    <xf numFmtId="0" fontId="21" fillId="0" borderId="0" xfId="0" applyFont="1"/>
    <xf numFmtId="0" fontId="13" fillId="3" borderId="1" xfId="0" applyFont="1" applyFill="1" applyBorder="1" applyAlignment="1">
      <alignment horizontal="center"/>
    </xf>
    <xf numFmtId="10" fontId="17" fillId="0" borderId="0" xfId="0" applyNumberFormat="1" applyFont="1" applyAlignment="1">
      <alignment horizontal="center"/>
    </xf>
    <xf numFmtId="10" fontId="14" fillId="0" borderId="0" xfId="0" applyNumberFormat="1" applyFont="1" applyAlignment="1">
      <alignment horizontal="center"/>
    </xf>
    <xf numFmtId="0" fontId="15" fillId="0" borderId="1" xfId="0" applyFont="1" applyBorder="1" applyAlignment="1">
      <alignment horizontal="centerContinuous"/>
    </xf>
    <xf numFmtId="0" fontId="15" fillId="0" borderId="1" xfId="0" applyFont="1" applyBorder="1"/>
    <xf numFmtId="2" fontId="13" fillId="0" borderId="1" xfId="0" applyNumberFormat="1" applyFont="1" applyBorder="1" applyAlignment="1">
      <alignment horizontal="center"/>
    </xf>
    <xf numFmtId="0" fontId="13" fillId="0" borderId="1" xfId="0" applyFont="1" applyBorder="1" applyAlignment="1">
      <alignment horizontal="centerContinuous"/>
    </xf>
    <xf numFmtId="10" fontId="13" fillId="6" borderId="2" xfId="0" applyNumberFormat="1" applyFont="1" applyFill="1" applyBorder="1"/>
    <xf numFmtId="2" fontId="17" fillId="6" borderId="2" xfId="0" applyNumberFormat="1" applyFont="1" applyFill="1" applyBorder="1" applyAlignment="1">
      <alignment horizontal="center"/>
    </xf>
    <xf numFmtId="0" fontId="32" fillId="6" borderId="4" xfId="0" applyFont="1" applyFill="1" applyBorder="1" applyAlignment="1">
      <alignment horizontal="center"/>
    </xf>
    <xf numFmtId="10" fontId="17" fillId="6" borderId="2" xfId="3" applyNumberFormat="1" applyFont="1" applyFill="1" applyBorder="1" applyAlignment="1">
      <alignment horizontal="center"/>
    </xf>
    <xf numFmtId="10" fontId="17" fillId="6" borderId="2" xfId="0" applyNumberFormat="1" applyFont="1" applyFill="1" applyBorder="1" applyAlignment="1">
      <alignment horizontal="center"/>
    </xf>
    <xf numFmtId="0" fontId="34" fillId="0" borderId="0" xfId="0" applyFont="1"/>
    <xf numFmtId="0" fontId="8" fillId="5" borderId="0" xfId="0" applyFont="1" applyFill="1"/>
    <xf numFmtId="0" fontId="33" fillId="6" borderId="1" xfId="0" applyFont="1" applyFill="1" applyBorder="1"/>
    <xf numFmtId="0" fontId="34" fillId="6" borderId="1" xfId="0" applyFont="1" applyFill="1" applyBorder="1"/>
    <xf numFmtId="44" fontId="34" fillId="6" borderId="1" xfId="2" applyFont="1" applyFill="1" applyBorder="1"/>
    <xf numFmtId="10" fontId="34" fillId="6" borderId="1" xfId="0" applyNumberFormat="1" applyFont="1" applyFill="1" applyBorder="1"/>
    <xf numFmtId="0" fontId="34" fillId="6" borderId="3" xfId="0" applyFont="1" applyFill="1" applyBorder="1"/>
    <xf numFmtId="10" fontId="34" fillId="6" borderId="3" xfId="0" applyNumberFormat="1" applyFont="1" applyFill="1" applyBorder="1" applyAlignment="1">
      <alignment horizontal="right"/>
    </xf>
    <xf numFmtId="0" fontId="34" fillId="0" borderId="10" xfId="0" applyFont="1" applyBorder="1"/>
    <xf numFmtId="169" fontId="23" fillId="6" borderId="1" xfId="0" applyNumberFormat="1" applyFont="1" applyFill="1" applyBorder="1" applyAlignment="1">
      <alignment horizontal="center"/>
    </xf>
    <xf numFmtId="0" fontId="23" fillId="0" borderId="0" xfId="0" applyFont="1" applyAlignment="1">
      <alignment horizontal="left"/>
    </xf>
    <xf numFmtId="0" fontId="25" fillId="0" borderId="11" xfId="0" applyFont="1" applyBorder="1"/>
    <xf numFmtId="0" fontId="26" fillId="4" borderId="1" xfId="0" applyFont="1" applyFill="1" applyBorder="1"/>
    <xf numFmtId="2" fontId="26" fillId="4" borderId="14" xfId="2" applyNumberFormat="1" applyFont="1" applyFill="1" applyBorder="1" applyAlignment="1">
      <alignment horizontal="center"/>
    </xf>
    <xf numFmtId="0" fontId="0" fillId="0" borderId="1" xfId="0" applyBorder="1" applyAlignment="1">
      <alignment horizontal="center"/>
    </xf>
    <xf numFmtId="0" fontId="13" fillId="4" borderId="1" xfId="0" applyFont="1" applyFill="1" applyBorder="1"/>
    <xf numFmtId="0" fontId="13" fillId="6" borderId="1" xfId="0" applyFont="1" applyFill="1" applyBorder="1"/>
    <xf numFmtId="0" fontId="14" fillId="0" borderId="1" xfId="0" applyFont="1" applyBorder="1"/>
    <xf numFmtId="167" fontId="13" fillId="6" borderId="1" xfId="3" applyNumberFormat="1" applyFont="1" applyFill="1" applyBorder="1"/>
    <xf numFmtId="167" fontId="13" fillId="6" borderId="1" xfId="0" applyNumberFormat="1" applyFont="1" applyFill="1" applyBorder="1"/>
    <xf numFmtId="10" fontId="26" fillId="5" borderId="0" xfId="3" applyNumberFormat="1" applyFont="1" applyFill="1" applyBorder="1"/>
    <xf numFmtId="0" fontId="26" fillId="0" borderId="15" xfId="0" applyFont="1" applyBorder="1"/>
    <xf numFmtId="0" fontId="8" fillId="0" borderId="16" xfId="0" applyFont="1" applyBorder="1"/>
    <xf numFmtId="0" fontId="8" fillId="0" borderId="17" xfId="0" applyFont="1" applyBorder="1"/>
    <xf numFmtId="44" fontId="26" fillId="4" borderId="14" xfId="2" applyFont="1" applyFill="1" applyBorder="1" applyAlignment="1">
      <alignment horizontal="center"/>
    </xf>
    <xf numFmtId="171" fontId="13" fillId="4" borderId="1" xfId="2" applyNumberFormat="1" applyFont="1" applyFill="1" applyBorder="1"/>
    <xf numFmtId="169" fontId="13" fillId="6" borderId="1" xfId="0" applyNumberFormat="1" applyFont="1" applyFill="1" applyBorder="1"/>
    <xf numFmtId="171" fontId="13" fillId="6" borderId="1" xfId="0" applyNumberFormat="1" applyFont="1" applyFill="1" applyBorder="1"/>
    <xf numFmtId="0" fontId="0" fillId="6" borderId="1" xfId="0" applyFill="1" applyBorder="1"/>
    <xf numFmtId="171" fontId="4" fillId="6" borderId="1" xfId="2" applyNumberFormat="1" applyFont="1" applyFill="1" applyBorder="1"/>
    <xf numFmtId="169" fontId="0" fillId="6" borderId="1" xfId="0" applyNumberFormat="1" applyFill="1" applyBorder="1"/>
    <xf numFmtId="0" fontId="0" fillId="0" borderId="0" xfId="0" applyAlignment="1">
      <alignment horizontal="center"/>
    </xf>
    <xf numFmtId="10" fontId="0" fillId="0" borderId="1" xfId="3" applyNumberFormat="1" applyFont="1" applyBorder="1" applyAlignment="1">
      <alignment horizontal="center"/>
    </xf>
    <xf numFmtId="164" fontId="0" fillId="4" borderId="1" xfId="0" applyNumberFormat="1" applyFill="1" applyBorder="1" applyAlignment="1">
      <alignment horizontal="center"/>
    </xf>
    <xf numFmtId="2" fontId="35" fillId="0" borderId="1" xfId="0" applyNumberFormat="1" applyFont="1" applyBorder="1" applyAlignment="1">
      <alignment horizontal="center"/>
    </xf>
    <xf numFmtId="2" fontId="35" fillId="0" borderId="0" xfId="0" applyNumberFormat="1" applyFont="1"/>
    <xf numFmtId="2" fontId="13" fillId="0" borderId="0" xfId="0" applyNumberFormat="1" applyFont="1"/>
    <xf numFmtId="1" fontId="35" fillId="0" borderId="1" xfId="0" applyNumberFormat="1" applyFont="1" applyBorder="1" applyAlignment="1">
      <alignment horizontal="center"/>
    </xf>
    <xf numFmtId="2" fontId="35" fillId="3" borderId="1" xfId="0" applyNumberFormat="1" applyFont="1" applyFill="1" applyBorder="1" applyAlignment="1">
      <alignment horizontal="center"/>
    </xf>
    <xf numFmtId="2" fontId="36" fillId="0" borderId="0" xfId="0" applyNumberFormat="1" applyFont="1"/>
    <xf numFmtId="2" fontId="35" fillId="0" borderId="13" xfId="0" applyNumberFormat="1" applyFont="1" applyBorder="1" applyAlignment="1">
      <alignment horizontal="centerContinuous"/>
    </xf>
    <xf numFmtId="2" fontId="35" fillId="0" borderId="18" xfId="0" applyNumberFormat="1" applyFont="1" applyBorder="1" applyAlignment="1">
      <alignment horizontal="centerContinuous"/>
    </xf>
    <xf numFmtId="44" fontId="35" fillId="0" borderId="1" xfId="2" applyFont="1" applyBorder="1"/>
    <xf numFmtId="2" fontId="35" fillId="0" borderId="3" xfId="0" applyNumberFormat="1" applyFont="1" applyBorder="1" applyAlignment="1">
      <alignment horizontal="center"/>
    </xf>
    <xf numFmtId="44" fontId="35" fillId="0" borderId="3" xfId="2" applyFont="1" applyBorder="1"/>
    <xf numFmtId="164" fontId="13" fillId="0" borderId="2" xfId="0" applyNumberFormat="1" applyFont="1" applyBorder="1"/>
    <xf numFmtId="164" fontId="13" fillId="0" borderId="19" xfId="0" applyNumberFormat="1" applyFont="1" applyBorder="1"/>
    <xf numFmtId="6" fontId="13" fillId="0" borderId="1" xfId="2" applyNumberFormat="1" applyFont="1" applyBorder="1"/>
    <xf numFmtId="44" fontId="26" fillId="8" borderId="18" xfId="0" applyNumberFormat="1" applyFont="1" applyFill="1" applyBorder="1" applyAlignment="1">
      <alignment horizontal="center"/>
    </xf>
    <xf numFmtId="44" fontId="46" fillId="9" borderId="18" xfId="0" applyNumberFormat="1" applyFont="1" applyFill="1" applyBorder="1" applyAlignment="1">
      <alignment horizontal="left"/>
    </xf>
    <xf numFmtId="164" fontId="0" fillId="0" borderId="1" xfId="0" applyNumberFormat="1" applyBorder="1" applyAlignment="1">
      <alignment horizontal="center"/>
    </xf>
    <xf numFmtId="164" fontId="0" fillId="0" borderId="1" xfId="0" applyNumberFormat="1" applyBorder="1"/>
    <xf numFmtId="164" fontId="0" fillId="0" borderId="1" xfId="3" applyNumberFormat="1" applyFont="1" applyBorder="1" applyAlignment="1">
      <alignment horizontal="center"/>
    </xf>
    <xf numFmtId="164" fontId="0" fillId="0" borderId="0" xfId="0" applyNumberFormat="1" applyAlignment="1">
      <alignment horizontal="center"/>
    </xf>
    <xf numFmtId="164" fontId="0" fillId="0" borderId="0" xfId="0" applyNumberFormat="1"/>
    <xf numFmtId="164" fontId="13" fillId="6" borderId="2" xfId="0" applyNumberFormat="1" applyFont="1" applyFill="1" applyBorder="1"/>
    <xf numFmtId="0" fontId="28" fillId="0" borderId="11" xfId="0" applyFont="1" applyBorder="1"/>
    <xf numFmtId="0" fontId="37" fillId="0" borderId="0" xfId="0" applyFont="1"/>
    <xf numFmtId="0" fontId="26" fillId="0" borderId="20" xfId="0" applyFont="1" applyBorder="1"/>
    <xf numFmtId="0" fontId="26" fillId="0" borderId="21" xfId="0" applyFont="1" applyBorder="1"/>
    <xf numFmtId="0" fontId="17" fillId="5" borderId="22" xfId="0" applyFont="1" applyFill="1" applyBorder="1" applyAlignment="1">
      <alignment vertical="center" wrapText="1"/>
    </xf>
    <xf numFmtId="0" fontId="14" fillId="5" borderId="14" xfId="0" applyFont="1" applyFill="1" applyBorder="1" applyAlignment="1">
      <alignment horizontal="center" vertical="center" wrapText="1"/>
    </xf>
    <xf numFmtId="0" fontId="14" fillId="5" borderId="23" xfId="0" applyFont="1" applyFill="1" applyBorder="1" applyAlignment="1">
      <alignment horizontal="center" vertical="center" wrapText="1"/>
    </xf>
    <xf numFmtId="0" fontId="13" fillId="6" borderId="1" xfId="0" applyFont="1" applyFill="1" applyBorder="1" applyAlignment="1">
      <alignment horizontal="left" vertical="center" wrapText="1"/>
    </xf>
    <xf numFmtId="0" fontId="13" fillId="6" borderId="24" xfId="0" applyFont="1" applyFill="1" applyBorder="1" applyAlignment="1">
      <alignment horizontal="left" vertical="center" wrapText="1"/>
    </xf>
    <xf numFmtId="9" fontId="13" fillId="6" borderId="1" xfId="3" applyFont="1" applyFill="1" applyBorder="1" applyAlignment="1">
      <alignment horizontal="left" vertical="center" wrapText="1"/>
    </xf>
    <xf numFmtId="0" fontId="13" fillId="6" borderId="24" xfId="0" applyFont="1" applyFill="1" applyBorder="1" applyAlignment="1">
      <alignment horizontal="left" vertical="center"/>
    </xf>
    <xf numFmtId="0" fontId="13" fillId="6" borderId="1" xfId="0" applyFont="1" applyFill="1" applyBorder="1" applyAlignment="1">
      <alignment horizontal="left"/>
    </xf>
    <xf numFmtId="0" fontId="13" fillId="6" borderId="24" xfId="0" applyFont="1" applyFill="1" applyBorder="1" applyAlignment="1">
      <alignment horizontal="left"/>
    </xf>
    <xf numFmtId="10" fontId="13" fillId="6" borderId="25" xfId="3" applyNumberFormat="1" applyFont="1" applyFill="1" applyBorder="1" applyAlignment="1">
      <alignment horizontal="left"/>
    </xf>
    <xf numFmtId="0" fontId="13" fillId="6" borderId="26" xfId="0" applyFont="1" applyFill="1" applyBorder="1" applyAlignment="1">
      <alignment horizontal="left"/>
    </xf>
    <xf numFmtId="0" fontId="13" fillId="5" borderId="22" xfId="0" applyFont="1" applyFill="1" applyBorder="1" applyAlignment="1">
      <alignment vertical="center"/>
    </xf>
    <xf numFmtId="0" fontId="13" fillId="5" borderId="27" xfId="0" applyFont="1" applyFill="1" applyBorder="1"/>
    <xf numFmtId="0" fontId="13" fillId="5" borderId="28" xfId="0" applyFont="1" applyFill="1" applyBorder="1"/>
    <xf numFmtId="164" fontId="3" fillId="0" borderId="0" xfId="0" applyNumberFormat="1" applyFont="1" applyAlignment="1">
      <alignment horizontal="center"/>
    </xf>
    <xf numFmtId="164" fontId="3" fillId="0" borderId="0" xfId="0" applyNumberFormat="1" applyFont="1"/>
    <xf numFmtId="17" fontId="25" fillId="4" borderId="1" xfId="0" applyNumberFormat="1" applyFont="1" applyFill="1" applyBorder="1" applyAlignment="1">
      <alignment horizontal="center"/>
    </xf>
    <xf numFmtId="0" fontId="48" fillId="4" borderId="1" xfId="0" applyFont="1" applyFill="1" applyBorder="1" applyAlignment="1">
      <alignment horizontal="center"/>
    </xf>
    <xf numFmtId="10" fontId="13" fillId="4" borderId="1" xfId="0" applyNumberFormat="1" applyFont="1" applyFill="1" applyBorder="1" applyAlignment="1">
      <alignment horizontal="center"/>
    </xf>
    <xf numFmtId="10" fontId="13" fillId="6" borderId="1" xfId="0" applyNumberFormat="1" applyFont="1" applyFill="1" applyBorder="1" applyAlignment="1">
      <alignment horizontal="center"/>
    </xf>
    <xf numFmtId="166" fontId="13" fillId="3" borderId="1" xfId="0" applyNumberFormat="1" applyFont="1" applyFill="1" applyBorder="1"/>
    <xf numFmtId="0" fontId="49" fillId="0" borderId="1" xfId="0" applyFont="1" applyBorder="1" applyAlignment="1">
      <alignment horizontal="center"/>
    </xf>
    <xf numFmtId="9" fontId="13" fillId="6" borderId="1" xfId="0" applyNumberFormat="1" applyFont="1" applyFill="1" applyBorder="1" applyAlignment="1">
      <alignment horizontal="center"/>
    </xf>
    <xf numFmtId="0" fontId="13" fillId="6" borderId="2" xfId="0" applyFont="1" applyFill="1" applyBorder="1" applyAlignment="1">
      <alignment horizontal="center"/>
    </xf>
    <xf numFmtId="0" fontId="38" fillId="0" borderId="0" xfId="0" applyFont="1"/>
    <xf numFmtId="2" fontId="13" fillId="4" borderId="1" xfId="0" applyNumberFormat="1" applyFont="1" applyFill="1" applyBorder="1"/>
    <xf numFmtId="0" fontId="29" fillId="0" borderId="0" xfId="0" applyFont="1" applyAlignment="1">
      <alignment horizontal="left"/>
    </xf>
    <xf numFmtId="164" fontId="0" fillId="6" borderId="1" xfId="0" applyNumberFormat="1" applyFill="1" applyBorder="1"/>
    <xf numFmtId="0" fontId="3" fillId="0" borderId="1" xfId="0" applyFont="1" applyBorder="1" applyAlignment="1">
      <alignment horizontal="center" wrapText="1"/>
    </xf>
    <xf numFmtId="0" fontId="14" fillId="5" borderId="0" xfId="0" applyFont="1" applyFill="1"/>
    <xf numFmtId="0" fontId="38" fillId="5" borderId="0" xfId="0" applyFont="1" applyFill="1"/>
    <xf numFmtId="0" fontId="28" fillId="0" borderId="1" xfId="0" applyFont="1" applyBorder="1"/>
    <xf numFmtId="0" fontId="28" fillId="0" borderId="8" xfId="0" applyFont="1" applyBorder="1"/>
    <xf numFmtId="0" fontId="26" fillId="0" borderId="29" xfId="0" applyFont="1" applyBorder="1"/>
    <xf numFmtId="0" fontId="42" fillId="0" borderId="0" xfId="0" applyFont="1"/>
    <xf numFmtId="0" fontId="8" fillId="4" borderId="1" xfId="0" applyFont="1" applyFill="1" applyBorder="1" applyAlignment="1">
      <alignment horizontal="center"/>
    </xf>
    <xf numFmtId="9" fontId="8" fillId="4" borderId="1" xfId="0" applyNumberFormat="1" applyFont="1" applyFill="1" applyBorder="1" applyAlignment="1">
      <alignment horizontal="center"/>
    </xf>
    <xf numFmtId="0" fontId="3" fillId="0" borderId="1" xfId="0" applyFont="1" applyBorder="1"/>
    <xf numFmtId="10" fontId="26" fillId="4" borderId="1" xfId="3" applyNumberFormat="1" applyFont="1" applyFill="1" applyBorder="1" applyAlignment="1">
      <alignment horizontal="center"/>
    </xf>
    <xf numFmtId="164" fontId="26" fillId="0" borderId="0" xfId="0" applyNumberFormat="1" applyFont="1" applyAlignment="1">
      <alignment horizontal="center"/>
    </xf>
    <xf numFmtId="2" fontId="26" fillId="0" borderId="0" xfId="0" applyNumberFormat="1" applyFont="1" applyAlignment="1">
      <alignment horizontal="center"/>
    </xf>
    <xf numFmtId="168" fontId="26" fillId="10" borderId="1" xfId="0" applyNumberFormat="1" applyFont="1" applyFill="1" applyBorder="1"/>
    <xf numFmtId="10" fontId="26" fillId="10" borderId="1" xfId="0" applyNumberFormat="1" applyFont="1" applyFill="1" applyBorder="1"/>
    <xf numFmtId="10" fontId="26" fillId="10" borderId="1" xfId="3" applyNumberFormat="1" applyFont="1" applyFill="1" applyBorder="1"/>
    <xf numFmtId="2" fontId="26" fillId="10" borderId="1" xfId="0" applyNumberFormat="1" applyFont="1" applyFill="1" applyBorder="1"/>
    <xf numFmtId="10" fontId="26" fillId="10" borderId="3" xfId="3" applyNumberFormat="1" applyFont="1" applyFill="1" applyBorder="1"/>
    <xf numFmtId="10" fontId="26" fillId="10" borderId="25" xfId="3" applyNumberFormat="1" applyFont="1" applyFill="1" applyBorder="1"/>
    <xf numFmtId="0" fontId="8" fillId="0" borderId="1" xfId="0" applyFont="1" applyBorder="1"/>
    <xf numFmtId="0" fontId="50" fillId="0" borderId="0" xfId="0" applyFont="1"/>
    <xf numFmtId="0" fontId="51" fillId="0" borderId="31" xfId="0" applyFont="1" applyBorder="1" applyAlignment="1">
      <alignment horizontal="center"/>
    </xf>
    <xf numFmtId="0" fontId="51" fillId="0" borderId="14" xfId="0" applyFont="1" applyBorder="1" applyAlignment="1">
      <alignment horizontal="center"/>
    </xf>
    <xf numFmtId="16" fontId="51" fillId="0" borderId="14" xfId="0" applyNumberFormat="1" applyFont="1" applyBorder="1" applyAlignment="1">
      <alignment horizontal="center"/>
    </xf>
    <xf numFmtId="0" fontId="51" fillId="0" borderId="32" xfId="0" applyFont="1" applyBorder="1" applyAlignment="1">
      <alignment horizontal="center"/>
    </xf>
    <xf numFmtId="0" fontId="51" fillId="0" borderId="33" xfId="0" applyFont="1" applyBorder="1"/>
    <xf numFmtId="44" fontId="45" fillId="0" borderId="34" xfId="2" applyFont="1" applyBorder="1"/>
    <xf numFmtId="0" fontId="52" fillId="0" borderId="35" xfId="0" applyFont="1" applyBorder="1"/>
    <xf numFmtId="0" fontId="52" fillId="0" borderId="36" xfId="0" applyFont="1" applyBorder="1"/>
    <xf numFmtId="168" fontId="52" fillId="0" borderId="1" xfId="2" applyNumberFormat="1" applyFont="1" applyBorder="1" applyAlignment="1">
      <alignment horizontal="center"/>
    </xf>
    <xf numFmtId="10" fontId="52" fillId="0" borderId="1" xfId="0" applyNumberFormat="1" applyFont="1" applyBorder="1" applyAlignment="1">
      <alignment horizontal="center"/>
    </xf>
    <xf numFmtId="0" fontId="52" fillId="0" borderId="1" xfId="0" applyFont="1" applyBorder="1" applyAlignment="1">
      <alignment horizontal="center"/>
    </xf>
    <xf numFmtId="10" fontId="52" fillId="0" borderId="13" xfId="0" applyNumberFormat="1" applyFont="1" applyBorder="1" applyAlignment="1">
      <alignment horizontal="center"/>
    </xf>
    <xf numFmtId="10" fontId="52" fillId="0" borderId="18" xfId="0" applyNumberFormat="1" applyFont="1" applyBorder="1" applyAlignment="1">
      <alignment horizontal="center"/>
    </xf>
    <xf numFmtId="2" fontId="52" fillId="0" borderId="13" xfId="0" applyNumberFormat="1" applyFont="1" applyBorder="1"/>
    <xf numFmtId="10" fontId="52" fillId="0" borderId="18" xfId="3" applyNumberFormat="1" applyFont="1" applyBorder="1" applyAlignment="1">
      <alignment horizontal="center"/>
    </xf>
    <xf numFmtId="0" fontId="52" fillId="0" borderId="37" xfId="0" applyFont="1" applyBorder="1"/>
    <xf numFmtId="10" fontId="52" fillId="0" borderId="25" xfId="0" applyNumberFormat="1" applyFont="1" applyBorder="1" applyAlignment="1">
      <alignment horizontal="center"/>
    </xf>
    <xf numFmtId="0" fontId="52" fillId="0" borderId="36" xfId="0" applyFont="1" applyBorder="1" applyAlignment="1">
      <alignment horizontal="center"/>
    </xf>
    <xf numFmtId="172" fontId="52" fillId="0" borderId="1" xfId="2" applyNumberFormat="1" applyFont="1" applyBorder="1"/>
    <xf numFmtId="10" fontId="52" fillId="0" borderId="1" xfId="3" applyNumberFormat="1" applyFont="1" applyBorder="1" applyAlignment="1">
      <alignment horizontal="center"/>
    </xf>
    <xf numFmtId="0" fontId="52" fillId="0" borderId="37" xfId="0" applyFont="1" applyBorder="1" applyAlignment="1">
      <alignment horizontal="center"/>
    </xf>
    <xf numFmtId="172" fontId="52" fillId="0" borderId="25" xfId="2" applyNumberFormat="1" applyFont="1" applyBorder="1"/>
    <xf numFmtId="10" fontId="52" fillId="0" borderId="25" xfId="3" applyNumberFormat="1" applyFont="1" applyBorder="1" applyAlignment="1">
      <alignment horizontal="center"/>
    </xf>
    <xf numFmtId="168" fontId="52" fillId="0" borderId="33" xfId="2" applyNumberFormat="1" applyFont="1" applyFill="1" applyBorder="1"/>
    <xf numFmtId="168" fontId="52" fillId="0" borderId="6" xfId="2" applyNumberFormat="1" applyFont="1" applyFill="1" applyBorder="1"/>
    <xf numFmtId="0" fontId="52" fillId="0" borderId="6" xfId="0" applyFont="1" applyBorder="1"/>
    <xf numFmtId="0" fontId="52" fillId="0" borderId="7" xfId="0" applyFont="1" applyBorder="1"/>
    <xf numFmtId="168" fontId="52" fillId="0" borderId="1" xfId="2" applyNumberFormat="1" applyFont="1" applyFill="1" applyBorder="1"/>
    <xf numFmtId="168" fontId="52" fillId="0" borderId="0" xfId="2" applyNumberFormat="1" applyFont="1" applyFill="1" applyBorder="1"/>
    <xf numFmtId="0" fontId="52" fillId="0" borderId="0" xfId="0" applyFont="1"/>
    <xf numFmtId="0" fontId="52" fillId="0" borderId="12" xfId="0" applyFont="1" applyBorder="1"/>
    <xf numFmtId="0" fontId="52" fillId="0" borderId="5" xfId="0" applyFont="1" applyBorder="1" applyAlignment="1">
      <alignment horizontal="left"/>
    </xf>
    <xf numFmtId="0" fontId="52" fillId="0" borderId="0" xfId="0" applyFont="1" applyAlignment="1">
      <alignment horizontal="left"/>
    </xf>
    <xf numFmtId="43" fontId="52" fillId="0" borderId="1" xfId="0" applyNumberFormat="1" applyFont="1" applyBorder="1"/>
    <xf numFmtId="0" fontId="52" fillId="0" borderId="5" xfId="0" applyFont="1" applyBorder="1"/>
    <xf numFmtId="0" fontId="52" fillId="0" borderId="38" xfId="0" applyFont="1" applyBorder="1"/>
    <xf numFmtId="0" fontId="52" fillId="0" borderId="39" xfId="0" applyFont="1" applyBorder="1"/>
    <xf numFmtId="10" fontId="52" fillId="0" borderId="17" xfId="3" applyNumberFormat="1" applyFont="1" applyBorder="1" applyAlignment="1">
      <alignment horizontal="center"/>
    </xf>
    <xf numFmtId="0" fontId="52" fillId="0" borderId="16" xfId="0" applyFont="1" applyBorder="1"/>
    <xf numFmtId="10" fontId="52" fillId="0" borderId="3" xfId="0" applyNumberFormat="1" applyFont="1" applyBorder="1" applyAlignment="1">
      <alignment horizontal="center"/>
    </xf>
    <xf numFmtId="0" fontId="52" fillId="0" borderId="34" xfId="0" applyFont="1" applyBorder="1" applyAlignment="1">
      <alignment horizontal="center"/>
    </xf>
    <xf numFmtId="2" fontId="52" fillId="0" borderId="15" xfId="0" applyNumberFormat="1" applyFont="1" applyBorder="1"/>
    <xf numFmtId="164" fontId="52" fillId="0" borderId="40" xfId="0" applyNumberFormat="1" applyFont="1" applyBorder="1" applyAlignment="1">
      <alignment horizontal="left"/>
    </xf>
    <xf numFmtId="0" fontId="51" fillId="0" borderId="41" xfId="0" applyFont="1" applyBorder="1" applyAlignment="1">
      <alignment horizontal="left"/>
    </xf>
    <xf numFmtId="172" fontId="52" fillId="0" borderId="13" xfId="2" applyNumberFormat="1" applyFont="1" applyBorder="1" applyAlignment="1">
      <alignment horizontal="left"/>
    </xf>
    <xf numFmtId="168" fontId="52" fillId="0" borderId="13" xfId="2" applyNumberFormat="1" applyFont="1" applyFill="1" applyBorder="1"/>
    <xf numFmtId="10" fontId="52" fillId="0" borderId="18" xfId="0" applyNumberFormat="1" applyFont="1" applyBorder="1" applyAlignment="1">
      <alignment horizontal="left"/>
    </xf>
    <xf numFmtId="0" fontId="0" fillId="4" borderId="1" xfId="0" applyFill="1" applyBorder="1"/>
    <xf numFmtId="10" fontId="13" fillId="4" borderId="1" xfId="0" applyNumberFormat="1" applyFont="1" applyFill="1" applyBorder="1"/>
    <xf numFmtId="10" fontId="0" fillId="0" borderId="0" xfId="0" applyNumberFormat="1"/>
    <xf numFmtId="44" fontId="4" fillId="4" borderId="1" xfId="2" applyFont="1" applyFill="1" applyBorder="1" applyAlignment="1">
      <alignment horizontal="center"/>
    </xf>
    <xf numFmtId="0" fontId="49" fillId="4" borderId="1" xfId="0" applyFont="1" applyFill="1" applyBorder="1"/>
    <xf numFmtId="170" fontId="39" fillId="0" borderId="0" xfId="0" applyNumberFormat="1" applyFont="1" applyAlignment="1">
      <alignment horizontal="right"/>
    </xf>
    <xf numFmtId="0" fontId="53" fillId="0" borderId="42" xfId="0" applyFont="1" applyBorder="1" applyAlignment="1">
      <alignment vertical="center" wrapText="1"/>
    </xf>
    <xf numFmtId="0" fontId="54" fillId="0" borderId="0" xfId="0" applyFont="1"/>
    <xf numFmtId="44" fontId="54" fillId="0" borderId="0" xfId="0" applyNumberFormat="1" applyFont="1"/>
    <xf numFmtId="10" fontId="54" fillId="0" borderId="0" xfId="0" applyNumberFormat="1" applyFont="1"/>
    <xf numFmtId="44" fontId="0" fillId="0" borderId="0" xfId="0" applyNumberFormat="1"/>
    <xf numFmtId="44" fontId="43" fillId="0" borderId="0" xfId="0" applyNumberFormat="1" applyFont="1"/>
    <xf numFmtId="2" fontId="54" fillId="0" borderId="0" xfId="0" applyNumberFormat="1" applyFont="1"/>
    <xf numFmtId="44" fontId="54" fillId="0" borderId="0" xfId="2" applyFont="1"/>
    <xf numFmtId="10" fontId="54" fillId="0" borderId="0" xfId="3" applyNumberFormat="1" applyFont="1"/>
    <xf numFmtId="10" fontId="0" fillId="0" borderId="0" xfId="3" applyNumberFormat="1" applyFont="1"/>
    <xf numFmtId="169" fontId="0" fillId="0" borderId="0" xfId="0" applyNumberFormat="1"/>
    <xf numFmtId="0" fontId="3" fillId="0" borderId="1" xfId="0" applyFont="1" applyBorder="1" applyAlignment="1">
      <alignment horizontal="center"/>
    </xf>
    <xf numFmtId="0" fontId="3" fillId="0" borderId="0" xfId="0" applyFont="1" applyAlignment="1">
      <alignment wrapText="1"/>
    </xf>
    <xf numFmtId="10" fontId="0" fillId="4" borderId="1" xfId="0" applyNumberFormat="1" applyFill="1" applyBorder="1"/>
    <xf numFmtId="0" fontId="66" fillId="0" borderId="0" xfId="0" applyFont="1"/>
    <xf numFmtId="0" fontId="22" fillId="0" borderId="1" xfId="0" applyFont="1" applyBorder="1"/>
    <xf numFmtId="10" fontId="23" fillId="0" borderId="1" xfId="3" applyNumberFormat="1" applyFont="1" applyBorder="1" applyAlignment="1">
      <alignment horizontal="center"/>
    </xf>
    <xf numFmtId="0" fontId="52" fillId="0" borderId="1" xfId="0" applyFont="1" applyBorder="1"/>
    <xf numFmtId="10" fontId="23" fillId="0" borderId="1" xfId="0" applyNumberFormat="1" applyFont="1" applyBorder="1" applyAlignment="1">
      <alignment horizontal="center"/>
    </xf>
    <xf numFmtId="0" fontId="3" fillId="0" borderId="1" xfId="0" applyFont="1" applyBorder="1" applyAlignment="1">
      <alignment wrapText="1"/>
    </xf>
    <xf numFmtId="10" fontId="3" fillId="0" borderId="1" xfId="0" applyNumberFormat="1" applyFont="1" applyBorder="1" applyAlignment="1">
      <alignment horizontal="center" wrapText="1"/>
    </xf>
    <xf numFmtId="2" fontId="3" fillId="0" borderId="1" xfId="0" applyNumberFormat="1" applyFont="1" applyBorder="1" applyAlignment="1">
      <alignment horizontal="center" wrapText="1"/>
    </xf>
    <xf numFmtId="0" fontId="34" fillId="0" borderId="0" xfId="0" applyFont="1" applyAlignment="1">
      <alignment horizontal="left"/>
    </xf>
    <xf numFmtId="10" fontId="34" fillId="0" borderId="0" xfId="0" applyNumberFormat="1" applyFont="1"/>
    <xf numFmtId="2" fontId="34" fillId="0" borderId="0" xfId="0" applyNumberFormat="1" applyFont="1"/>
    <xf numFmtId="10" fontId="39" fillId="0" borderId="0" xfId="0" applyNumberFormat="1" applyFont="1"/>
    <xf numFmtId="164" fontId="26" fillId="12" borderId="0" xfId="0" applyNumberFormat="1" applyFont="1" applyFill="1" applyAlignment="1">
      <alignment horizontal="center"/>
    </xf>
    <xf numFmtId="0" fontId="67" fillId="0" borderId="1" xfId="0" applyFont="1" applyBorder="1"/>
    <xf numFmtId="10" fontId="67" fillId="4" borderId="1" xfId="2" applyNumberFormat="1" applyFont="1" applyFill="1" applyBorder="1" applyAlignment="1">
      <alignment horizontal="center"/>
    </xf>
    <xf numFmtId="173" fontId="45" fillId="0" borderId="1" xfId="3" applyNumberFormat="1" applyFont="1" applyBorder="1" applyAlignment="1">
      <alignment horizontal="center"/>
    </xf>
    <xf numFmtId="0" fontId="68" fillId="0" borderId="1" xfId="0" applyFont="1" applyBorder="1" applyAlignment="1">
      <alignment horizontal="center"/>
    </xf>
    <xf numFmtId="2" fontId="52" fillId="12" borderId="18" xfId="0" applyNumberFormat="1" applyFont="1" applyFill="1" applyBorder="1" applyAlignment="1">
      <alignment horizontal="left"/>
    </xf>
    <xf numFmtId="10" fontId="52" fillId="12" borderId="17" xfId="3" applyNumberFormat="1" applyFont="1" applyFill="1" applyBorder="1" applyAlignment="1">
      <alignment horizontal="left"/>
    </xf>
    <xf numFmtId="0" fontId="23" fillId="6" borderId="1" xfId="2" applyNumberFormat="1" applyFont="1" applyFill="1" applyBorder="1" applyAlignment="1">
      <alignment horizontal="center"/>
    </xf>
    <xf numFmtId="0" fontId="52" fillId="0" borderId="5" xfId="0" applyFont="1" applyBorder="1" applyAlignment="1">
      <alignment wrapText="1"/>
    </xf>
    <xf numFmtId="0" fontId="69" fillId="0" borderId="0" xfId="0" applyFont="1"/>
    <xf numFmtId="17" fontId="44" fillId="0" borderId="1" xfId="0" applyNumberFormat="1" applyFont="1" applyBorder="1"/>
    <xf numFmtId="10" fontId="70" fillId="0" borderId="1" xfId="0" applyNumberFormat="1" applyFont="1" applyBorder="1" applyAlignment="1">
      <alignment horizontal="center"/>
    </xf>
    <xf numFmtId="0" fontId="71" fillId="0" borderId="1" xfId="0" applyFont="1" applyBorder="1" applyAlignment="1">
      <alignment horizontal="left"/>
    </xf>
    <xf numFmtId="0" fontId="22" fillId="0" borderId="13" xfId="0" applyFont="1" applyBorder="1" applyAlignment="1">
      <alignment horizontal="center"/>
    </xf>
    <xf numFmtId="10" fontId="23" fillId="0" borderId="13" xfId="0" applyNumberFormat="1" applyFont="1" applyBorder="1" applyAlignment="1">
      <alignment horizontal="center"/>
    </xf>
    <xf numFmtId="10" fontId="1" fillId="0" borderId="1" xfId="3" applyNumberFormat="1" applyFont="1" applyFill="1" applyBorder="1" applyAlignment="1">
      <alignment horizontal="center"/>
    </xf>
    <xf numFmtId="10" fontId="0" fillId="0" borderId="13" xfId="0" applyNumberFormat="1" applyBorder="1" applyAlignment="1">
      <alignment horizontal="center"/>
    </xf>
    <xf numFmtId="10" fontId="0" fillId="0" borderId="13" xfId="3" applyNumberFormat="1" applyFont="1" applyBorder="1" applyAlignment="1">
      <alignment horizontal="center"/>
    </xf>
    <xf numFmtId="0" fontId="72" fillId="4" borderId="0" xfId="0" applyFont="1" applyFill="1"/>
    <xf numFmtId="0" fontId="1" fillId="5" borderId="0" xfId="0" applyFont="1" applyFill="1"/>
    <xf numFmtId="0" fontId="0" fillId="5" borderId="0" xfId="0" applyFill="1"/>
    <xf numFmtId="0" fontId="44" fillId="4" borderId="0" xfId="0" applyFont="1" applyFill="1"/>
    <xf numFmtId="3" fontId="1" fillId="5" borderId="0" xfId="0" applyNumberFormat="1" applyFont="1" applyFill="1"/>
    <xf numFmtId="14" fontId="72" fillId="4" borderId="0" xfId="0" applyNumberFormat="1" applyFont="1" applyFill="1"/>
    <xf numFmtId="3" fontId="0" fillId="5" borderId="0" xfId="0" applyNumberFormat="1" applyFill="1"/>
    <xf numFmtId="0" fontId="73" fillId="5" borderId="0" xfId="0" applyFont="1" applyFill="1"/>
    <xf numFmtId="174" fontId="0" fillId="5" borderId="0" xfId="1" applyNumberFormat="1" applyFont="1" applyFill="1"/>
    <xf numFmtId="2" fontId="28" fillId="4" borderId="1" xfId="0" applyNumberFormat="1" applyFont="1" applyFill="1" applyBorder="1" applyAlignment="1">
      <alignment horizontal="center"/>
    </xf>
    <xf numFmtId="0" fontId="23" fillId="4" borderId="1" xfId="0" applyFont="1" applyFill="1" applyBorder="1"/>
    <xf numFmtId="0" fontId="23" fillId="4" borderId="1" xfId="0" applyFont="1" applyFill="1" applyBorder="1" applyAlignment="1">
      <alignment horizontal="center"/>
    </xf>
    <xf numFmtId="10" fontId="23" fillId="4" borderId="1" xfId="3" applyNumberFormat="1" applyFont="1" applyFill="1" applyBorder="1" applyAlignment="1">
      <alignment horizontal="center"/>
    </xf>
    <xf numFmtId="10" fontId="23" fillId="4" borderId="1" xfId="0" applyNumberFormat="1" applyFont="1" applyFill="1" applyBorder="1" applyAlignment="1">
      <alignment horizontal="center"/>
    </xf>
    <xf numFmtId="0" fontId="0" fillId="4" borderId="0" xfId="0" applyFill="1"/>
    <xf numFmtId="2" fontId="0" fillId="4" borderId="1" xfId="0" applyNumberFormat="1" applyFill="1" applyBorder="1" applyAlignment="1">
      <alignment horizontal="center"/>
    </xf>
    <xf numFmtId="0" fontId="3" fillId="5" borderId="1" xfId="0" applyFont="1" applyFill="1" applyBorder="1" applyAlignment="1">
      <alignment wrapText="1"/>
    </xf>
    <xf numFmtId="0" fontId="3" fillId="5" borderId="1" xfId="0" applyFont="1" applyFill="1" applyBorder="1" applyAlignment="1">
      <alignment horizontal="center" wrapText="1"/>
    </xf>
    <xf numFmtId="10" fontId="3" fillId="5" borderId="1" xfId="0" applyNumberFormat="1" applyFont="1" applyFill="1" applyBorder="1" applyAlignment="1">
      <alignment horizontal="center" wrapText="1"/>
    </xf>
    <xf numFmtId="2" fontId="3" fillId="5" borderId="1" xfId="0" applyNumberFormat="1" applyFont="1" applyFill="1" applyBorder="1" applyAlignment="1">
      <alignment horizontal="center" wrapText="1"/>
    </xf>
    <xf numFmtId="2" fontId="0" fillId="5" borderId="1" xfId="0" applyNumberFormat="1" applyFill="1" applyBorder="1" applyAlignment="1">
      <alignment horizontal="center"/>
    </xf>
    <xf numFmtId="0" fontId="39" fillId="5" borderId="1" xfId="0" applyFont="1" applyFill="1" applyBorder="1" applyAlignment="1">
      <alignment horizontal="center"/>
    </xf>
    <xf numFmtId="0" fontId="34" fillId="5" borderId="1" xfId="0" applyFont="1" applyFill="1" applyBorder="1" applyAlignment="1">
      <alignment horizontal="left"/>
    </xf>
    <xf numFmtId="0" fontId="34" fillId="5" borderId="1" xfId="0" applyFont="1" applyFill="1" applyBorder="1"/>
    <xf numFmtId="10" fontId="34" fillId="5" borderId="1" xfId="0" applyNumberFormat="1" applyFont="1" applyFill="1" applyBorder="1"/>
    <xf numFmtId="2" fontId="34" fillId="5" borderId="1" xfId="0" applyNumberFormat="1" applyFont="1" applyFill="1" applyBorder="1"/>
    <xf numFmtId="10" fontId="39" fillId="5" borderId="1" xfId="0" applyNumberFormat="1" applyFont="1" applyFill="1" applyBorder="1"/>
    <xf numFmtId="0" fontId="0" fillId="5" borderId="1" xfId="0" applyFill="1" applyBorder="1"/>
    <xf numFmtId="169" fontId="13" fillId="3" borderId="1" xfId="0" applyNumberFormat="1" applyFont="1" applyFill="1" applyBorder="1"/>
    <xf numFmtId="0" fontId="34" fillId="4" borderId="1" xfId="0" applyFont="1" applyFill="1" applyBorder="1" applyAlignment="1">
      <alignment horizontal="left"/>
    </xf>
    <xf numFmtId="0" fontId="34" fillId="4" borderId="1" xfId="0" applyFont="1" applyFill="1" applyBorder="1"/>
    <xf numFmtId="10" fontId="34" fillId="4" borderId="1" xfId="0" applyNumberFormat="1" applyFont="1" applyFill="1" applyBorder="1"/>
    <xf numFmtId="2" fontId="34" fillId="4" borderId="1" xfId="0" applyNumberFormat="1" applyFont="1" applyFill="1" applyBorder="1"/>
    <xf numFmtId="10" fontId="39" fillId="4" borderId="1" xfId="0" applyNumberFormat="1" applyFont="1" applyFill="1" applyBorder="1"/>
    <xf numFmtId="0" fontId="39" fillId="4" borderId="1" xfId="0" applyFont="1" applyFill="1" applyBorder="1" applyAlignment="1">
      <alignment horizontal="center"/>
    </xf>
    <xf numFmtId="44" fontId="26" fillId="0" borderId="0" xfId="0" applyNumberFormat="1" applyFont="1"/>
    <xf numFmtId="0" fontId="27" fillId="0" borderId="0" xfId="0" applyFont="1"/>
    <xf numFmtId="0" fontId="25" fillId="0" borderId="44" xfId="0" applyFont="1" applyBorder="1" applyAlignment="1">
      <alignment horizontal="center"/>
    </xf>
    <xf numFmtId="0" fontId="25" fillId="0" borderId="9" xfId="0" applyFont="1" applyBorder="1" applyAlignment="1">
      <alignment horizontal="center"/>
    </xf>
    <xf numFmtId="0" fontId="25" fillId="0" borderId="42" xfId="0" applyFont="1" applyBorder="1" applyAlignment="1">
      <alignment horizontal="center"/>
    </xf>
    <xf numFmtId="0" fontId="25" fillId="0" borderId="40" xfId="0" applyFont="1" applyBorder="1" applyAlignment="1">
      <alignment horizontal="center"/>
    </xf>
    <xf numFmtId="0" fontId="25" fillId="0" borderId="10" xfId="0" applyFont="1" applyBorder="1" applyAlignment="1">
      <alignment horizontal="center"/>
    </xf>
    <xf numFmtId="0" fontId="25" fillId="0" borderId="6" xfId="0" applyFont="1" applyBorder="1" applyAlignment="1">
      <alignment horizontal="center"/>
    </xf>
    <xf numFmtId="0" fontId="25" fillId="0" borderId="7" xfId="0" applyFont="1" applyBorder="1" applyAlignment="1">
      <alignment horizontal="center"/>
    </xf>
    <xf numFmtId="0" fontId="44" fillId="0" borderId="13" xfId="0" applyFont="1" applyBorder="1" applyAlignment="1">
      <alignment horizontal="center"/>
    </xf>
    <xf numFmtId="0" fontId="44" fillId="0" borderId="5" xfId="0" applyFont="1" applyBorder="1" applyAlignment="1">
      <alignment horizontal="center"/>
    </xf>
    <xf numFmtId="0" fontId="44" fillId="0" borderId="18" xfId="0" applyFont="1" applyBorder="1" applyAlignment="1">
      <alignment horizontal="center"/>
    </xf>
    <xf numFmtId="0" fontId="52" fillId="0" borderId="22" xfId="0" applyFont="1" applyBorder="1" applyAlignment="1">
      <alignment horizontal="left"/>
    </xf>
    <xf numFmtId="0" fontId="52" fillId="0" borderId="5" xfId="0" applyFont="1" applyBorder="1" applyAlignment="1">
      <alignment horizontal="left"/>
    </xf>
    <xf numFmtId="0" fontId="52" fillId="0" borderId="18" xfId="0" applyFont="1" applyBorder="1" applyAlignment="1">
      <alignment horizontal="left"/>
    </xf>
    <xf numFmtId="0" fontId="52" fillId="0" borderId="45" xfId="0" applyFont="1" applyBorder="1" applyAlignment="1">
      <alignment horizontal="left"/>
    </xf>
    <xf numFmtId="0" fontId="52" fillId="0" borderId="46" xfId="0" applyFont="1" applyBorder="1" applyAlignment="1">
      <alignment horizontal="left"/>
    </xf>
    <xf numFmtId="0" fontId="52" fillId="0" borderId="47" xfId="0" applyFont="1" applyBorder="1" applyAlignment="1">
      <alignment horizontal="left"/>
    </xf>
    <xf numFmtId="0" fontId="1" fillId="0" borderId="15" xfId="0" applyFont="1" applyBorder="1" applyAlignment="1">
      <alignment horizontal="left" wrapText="1"/>
    </xf>
    <xf numFmtId="0" fontId="2" fillId="0" borderId="16" xfId="0" applyFont="1" applyBorder="1" applyAlignment="1">
      <alignment horizontal="left" wrapText="1"/>
    </xf>
    <xf numFmtId="0" fontId="2" fillId="0" borderId="17" xfId="0" applyFont="1" applyBorder="1" applyAlignment="1">
      <alignment horizontal="left" wrapText="1"/>
    </xf>
    <xf numFmtId="0" fontId="2" fillId="0" borderId="20" xfId="0" applyFont="1" applyBorder="1" applyAlignment="1">
      <alignment horizontal="left" wrapText="1"/>
    </xf>
    <xf numFmtId="0" fontId="2" fillId="0" borderId="0" xfId="0" applyFont="1" applyAlignment="1">
      <alignment horizontal="left" wrapText="1"/>
    </xf>
    <xf numFmtId="0" fontId="2" fillId="0" borderId="21" xfId="0" applyFont="1" applyBorder="1" applyAlignment="1">
      <alignment horizontal="left" wrapText="1"/>
    </xf>
    <xf numFmtId="0" fontId="2" fillId="0" borderId="48" xfId="0" applyFont="1" applyBorder="1" applyAlignment="1">
      <alignment horizontal="left" wrapText="1"/>
    </xf>
    <xf numFmtId="0" fontId="2" fillId="0" borderId="49" xfId="0" applyFont="1" applyBorder="1" applyAlignment="1">
      <alignment horizontal="left" wrapText="1"/>
    </xf>
    <xf numFmtId="0" fontId="2" fillId="0" borderId="30" xfId="0" applyFont="1" applyBorder="1" applyAlignment="1">
      <alignment horizontal="left" wrapText="1"/>
    </xf>
    <xf numFmtId="0" fontId="56" fillId="0" borderId="15" xfId="0" applyFont="1" applyBorder="1" applyAlignment="1">
      <alignment horizontal="left" wrapText="1"/>
    </xf>
    <xf numFmtId="0" fontId="57" fillId="0" borderId="16" xfId="0" applyFont="1" applyBorder="1" applyAlignment="1">
      <alignment horizontal="left" wrapText="1"/>
    </xf>
    <xf numFmtId="0" fontId="57" fillId="0" borderId="17" xfId="0" applyFont="1" applyBorder="1" applyAlignment="1">
      <alignment horizontal="left" wrapText="1"/>
    </xf>
    <xf numFmtId="0" fontId="57" fillId="0" borderId="20" xfId="0" applyFont="1" applyBorder="1" applyAlignment="1">
      <alignment horizontal="left" wrapText="1"/>
    </xf>
    <xf numFmtId="0" fontId="57" fillId="0" borderId="0" xfId="0" applyFont="1" applyAlignment="1">
      <alignment horizontal="left" wrapText="1"/>
    </xf>
    <xf numFmtId="0" fontId="57" fillId="0" borderId="21" xfId="0" applyFont="1" applyBorder="1" applyAlignment="1">
      <alignment horizontal="left" wrapText="1"/>
    </xf>
    <xf numFmtId="0" fontId="57" fillId="0" borderId="48" xfId="0" applyFont="1" applyBorder="1" applyAlignment="1">
      <alignment horizontal="left" wrapText="1"/>
    </xf>
    <xf numFmtId="0" fontId="57" fillId="0" borderId="49" xfId="0" applyFont="1" applyBorder="1" applyAlignment="1">
      <alignment horizontal="left" wrapText="1"/>
    </xf>
    <xf numFmtId="0" fontId="57" fillId="0" borderId="30" xfId="0" applyFont="1" applyBorder="1" applyAlignment="1">
      <alignment horizontal="left" wrapText="1"/>
    </xf>
    <xf numFmtId="0" fontId="45" fillId="0" borderId="15" xfId="0" applyFont="1" applyBorder="1" applyAlignment="1">
      <alignment horizontal="left" vertical="center" wrapText="1"/>
    </xf>
    <xf numFmtId="0" fontId="45" fillId="0" borderId="16" xfId="0" applyFont="1" applyBorder="1" applyAlignment="1">
      <alignment horizontal="left" vertical="center" wrapText="1"/>
    </xf>
    <xf numFmtId="0" fontId="45" fillId="0" borderId="17" xfId="0" applyFont="1" applyBorder="1" applyAlignment="1">
      <alignment horizontal="left" vertical="center" wrapText="1"/>
    </xf>
    <xf numFmtId="0" fontId="45" fillId="0" borderId="20" xfId="0" applyFont="1" applyBorder="1" applyAlignment="1">
      <alignment horizontal="left" vertical="center" wrapText="1"/>
    </xf>
    <xf numFmtId="0" fontId="45" fillId="0" borderId="0" xfId="0" applyFont="1" applyAlignment="1">
      <alignment horizontal="left" vertical="center" wrapText="1"/>
    </xf>
    <xf numFmtId="0" fontId="45" fillId="0" borderId="21" xfId="0" applyFont="1" applyBorder="1" applyAlignment="1">
      <alignment horizontal="left" vertical="center" wrapText="1"/>
    </xf>
    <xf numFmtId="0" fontId="45" fillId="0" borderId="48" xfId="0" applyFont="1" applyBorder="1" applyAlignment="1">
      <alignment horizontal="left" vertical="center" wrapText="1"/>
    </xf>
    <xf numFmtId="0" fontId="45" fillId="0" borderId="49" xfId="0" applyFont="1" applyBorder="1" applyAlignment="1">
      <alignment horizontal="left" vertical="center" wrapText="1"/>
    </xf>
    <xf numFmtId="0" fontId="45" fillId="0" borderId="30" xfId="0" applyFont="1" applyBorder="1" applyAlignment="1">
      <alignment horizontal="left" vertical="center" wrapText="1"/>
    </xf>
    <xf numFmtId="0" fontId="58" fillId="0" borderId="15" xfId="0" applyFont="1" applyBorder="1" applyAlignment="1">
      <alignment horizontal="left" vertical="center" wrapText="1"/>
    </xf>
    <xf numFmtId="0" fontId="52" fillId="0" borderId="16" xfId="0" applyFont="1" applyBorder="1" applyAlignment="1">
      <alignment horizontal="left" vertical="center" wrapText="1"/>
    </xf>
    <xf numFmtId="0" fontId="52" fillId="0" borderId="17" xfId="0" applyFont="1" applyBorder="1" applyAlignment="1">
      <alignment horizontal="left" vertical="center" wrapText="1"/>
    </xf>
    <xf numFmtId="0" fontId="52" fillId="0" borderId="20" xfId="0" applyFont="1" applyBorder="1" applyAlignment="1">
      <alignment horizontal="left" vertical="center" wrapText="1"/>
    </xf>
    <xf numFmtId="0" fontId="52" fillId="0" borderId="0" xfId="0" applyFont="1" applyAlignment="1">
      <alignment horizontal="left" vertical="center" wrapText="1"/>
    </xf>
    <xf numFmtId="0" fontId="52" fillId="0" borderId="21" xfId="0" applyFont="1" applyBorder="1" applyAlignment="1">
      <alignment horizontal="left" vertical="center" wrapText="1"/>
    </xf>
    <xf numFmtId="0" fontId="52" fillId="0" borderId="48" xfId="0" applyFont="1" applyBorder="1" applyAlignment="1">
      <alignment horizontal="left" vertical="center" wrapText="1"/>
    </xf>
    <xf numFmtId="0" fontId="52" fillId="0" borderId="49" xfId="0" applyFont="1" applyBorder="1" applyAlignment="1">
      <alignment horizontal="left" vertical="center" wrapText="1"/>
    </xf>
    <xf numFmtId="0" fontId="52" fillId="0" borderId="30" xfId="0" applyFont="1" applyBorder="1" applyAlignment="1">
      <alignment horizontal="left" vertical="center" wrapText="1"/>
    </xf>
    <xf numFmtId="0" fontId="45" fillId="0" borderId="11" xfId="0" applyFont="1" applyBorder="1" applyAlignment="1">
      <alignment horizontal="left" vertical="center" wrapText="1"/>
    </xf>
    <xf numFmtId="168" fontId="52" fillId="0" borderId="13" xfId="2" applyNumberFormat="1" applyFont="1" applyFill="1" applyBorder="1" applyAlignment="1">
      <alignment horizontal="right"/>
    </xf>
    <xf numFmtId="168" fontId="52" fillId="0" borderId="5" xfId="2" applyNumberFormat="1" applyFont="1" applyFill="1" applyBorder="1" applyAlignment="1">
      <alignment horizontal="right"/>
    </xf>
    <xf numFmtId="0" fontId="52" fillId="0" borderId="36" xfId="0" applyFont="1" applyBorder="1" applyAlignment="1">
      <alignment horizontal="left"/>
    </xf>
    <xf numFmtId="0" fontId="52" fillId="0" borderId="1" xfId="0" applyFont="1" applyBorder="1" applyAlignment="1">
      <alignment horizontal="left"/>
    </xf>
    <xf numFmtId="0" fontId="52" fillId="0" borderId="37" xfId="0" applyFont="1" applyBorder="1" applyAlignment="1">
      <alignment horizontal="left"/>
    </xf>
    <xf numFmtId="0" fontId="52" fillId="0" borderId="25" xfId="0" applyFont="1" applyBorder="1" applyAlignment="1">
      <alignment horizontal="left"/>
    </xf>
    <xf numFmtId="0" fontId="52" fillId="0" borderId="44" xfId="0" applyFont="1" applyBorder="1" applyAlignment="1">
      <alignment horizontal="right"/>
    </xf>
    <xf numFmtId="0" fontId="52" fillId="0" borderId="42" xfId="0" applyFont="1" applyBorder="1" applyAlignment="1">
      <alignment horizontal="right"/>
    </xf>
    <xf numFmtId="0" fontId="55" fillId="0" borderId="1" xfId="0" applyFont="1" applyBorder="1" applyAlignment="1">
      <alignment horizontal="center"/>
    </xf>
    <xf numFmtId="0" fontId="55" fillId="0" borderId="13" xfId="0" applyFont="1" applyBorder="1" applyAlignment="1">
      <alignment horizontal="center"/>
    </xf>
    <xf numFmtId="0" fontId="55" fillId="0" borderId="5" xfId="0" applyFont="1" applyBorder="1" applyAlignment="1">
      <alignment horizontal="center"/>
    </xf>
    <xf numFmtId="0" fontId="55" fillId="0" borderId="18" xfId="0" applyFont="1" applyBorder="1" applyAlignment="1">
      <alignment horizontal="center"/>
    </xf>
    <xf numFmtId="0" fontId="55" fillId="0" borderId="43" xfId="0" applyFont="1" applyBorder="1" applyAlignment="1">
      <alignment horizontal="center"/>
    </xf>
    <xf numFmtId="10" fontId="59" fillId="0" borderId="44" xfId="0" applyNumberFormat="1" applyFont="1" applyBorder="1" applyAlignment="1">
      <alignment horizontal="center"/>
    </xf>
    <xf numFmtId="10" fontId="59" fillId="0" borderId="40" xfId="0" applyNumberFormat="1" applyFont="1" applyBorder="1" applyAlignment="1">
      <alignment horizontal="center"/>
    </xf>
    <xf numFmtId="0" fontId="13" fillId="11" borderId="0" xfId="0" applyFont="1" applyFill="1" applyAlignment="1">
      <alignment horizontal="center" vertical="center" wrapText="1"/>
    </xf>
    <xf numFmtId="0" fontId="3" fillId="12" borderId="1" xfId="0" applyFont="1" applyFill="1" applyBorder="1" applyAlignment="1">
      <alignment horizontal="left" vertical="top" wrapText="1"/>
    </xf>
    <xf numFmtId="164" fontId="0" fillId="0" borderId="20" xfId="0" applyNumberFormat="1" applyBorder="1" applyAlignment="1">
      <alignment horizontal="center" vertical="center" wrapText="1"/>
    </xf>
  </cellXfs>
  <cellStyles count="4">
    <cellStyle name="Comma" xfId="1" builtinId="3"/>
    <cellStyle name="Currency" xfId="2" builtinId="4"/>
    <cellStyle name="Normal" xfId="0" builtinId="0"/>
    <cellStyle name="Percent" xfId="3" builtinId="5"/>
  </cellStyles>
  <dxfs count="1">
    <dxf>
      <border>
        <left/>
        <right/>
        <top/>
        <bottom/>
      </border>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13</xdr:col>
      <xdr:colOff>60960</xdr:colOff>
      <xdr:row>0</xdr:row>
      <xdr:rowOff>73660</xdr:rowOff>
    </xdr:from>
    <xdr:ext cx="2215478" cy="609013"/>
    <xdr:sp macro="" textlink="">
      <xdr:nvSpPr>
        <xdr:cNvPr id="3" name="TextBox 2">
          <a:extLst>
            <a:ext uri="{FF2B5EF4-FFF2-40B4-BE49-F238E27FC236}">
              <a16:creationId xmlns:a16="http://schemas.microsoft.com/office/drawing/2014/main" id="{654E3889-7BCD-BA49-B216-E89EC2C08316}"/>
            </a:ext>
          </a:extLst>
        </xdr:cNvPr>
        <xdr:cNvSpPr txBox="1"/>
      </xdr:nvSpPr>
      <xdr:spPr>
        <a:xfrm>
          <a:off x="14986000" y="73660"/>
          <a:ext cx="221547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Check these revenues against</a:t>
          </a:r>
        </a:p>
        <a:p>
          <a:r>
            <a:rPr lang="en-US" sz="1100">
              <a:solidFill>
                <a:srgbClr val="FF0000"/>
              </a:solidFill>
            </a:rPr>
            <a:t>a.</a:t>
          </a:r>
          <a:r>
            <a:rPr lang="en-US" sz="1100" baseline="0">
              <a:solidFill>
                <a:srgbClr val="FF0000"/>
              </a:solidFill>
            </a:rPr>
            <a:t> Overall market size</a:t>
          </a:r>
        </a:p>
        <a:p>
          <a:r>
            <a:rPr lang="en-US" sz="1100" baseline="0">
              <a:solidFill>
                <a:srgbClr val="FF0000"/>
              </a:solidFill>
            </a:rPr>
            <a:t>b. Largest companies in this market</a:t>
          </a:r>
          <a:endParaRPr lang="en-US" sz="1100">
            <a:solidFill>
              <a:srgbClr val="FF0000"/>
            </a:solidFill>
          </a:endParaRPr>
        </a:p>
      </xdr:txBody>
    </xdr:sp>
    <xdr:clientData/>
  </xdr:oneCellAnchor>
  <xdr:oneCellAnchor>
    <xdr:from>
      <xdr:col>11</xdr:col>
      <xdr:colOff>40640</xdr:colOff>
      <xdr:row>41</xdr:row>
      <xdr:rowOff>40640</xdr:rowOff>
    </xdr:from>
    <xdr:ext cx="4613106" cy="780592"/>
    <xdr:sp macro="" textlink="">
      <xdr:nvSpPr>
        <xdr:cNvPr id="4" name="TextBox 3">
          <a:extLst>
            <a:ext uri="{FF2B5EF4-FFF2-40B4-BE49-F238E27FC236}">
              <a16:creationId xmlns:a16="http://schemas.microsoft.com/office/drawing/2014/main" id="{14E0EEE6-A169-7F47-9D62-27987AA2FE40}"/>
            </a:ext>
          </a:extLst>
        </xdr:cNvPr>
        <xdr:cNvSpPr txBox="1"/>
      </xdr:nvSpPr>
      <xdr:spPr>
        <a:xfrm>
          <a:off x="12771120" y="7538720"/>
          <a:ext cx="4613106" cy="7694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Compare this return on capital</a:t>
          </a:r>
          <a:r>
            <a:rPr lang="en-US" sz="1100" baseline="0">
              <a:solidFill>
                <a:srgbClr val="FF0000"/>
              </a:solidFill>
            </a:rPr>
            <a:t> in year 10 against</a:t>
          </a:r>
        </a:p>
        <a:p>
          <a:r>
            <a:rPr lang="en-US" sz="1100" baseline="0">
              <a:solidFill>
                <a:srgbClr val="FF0000"/>
              </a:solidFill>
            </a:rPr>
            <a:t>a.  the industry average(column E of worksheet)</a:t>
          </a:r>
        </a:p>
        <a:p>
          <a:r>
            <a:rPr lang="en-US" sz="1100" baseline="0">
              <a:solidFill>
                <a:srgbClr val="FF0000"/>
              </a:solidFill>
            </a:rPr>
            <a:t>b. the return on capital after year 10</a:t>
          </a:r>
        </a:p>
        <a:p>
          <a:r>
            <a:rPr lang="en-US" sz="1100" baseline="0">
              <a:solidFill>
                <a:srgbClr val="FF0000"/>
              </a:solidFill>
            </a:rPr>
            <a:t>If it is too high (low), you may want to lower  (raise) your sales to capital ratio</a:t>
          </a:r>
          <a:endParaRPr lang="en-US" sz="1100">
            <a:solidFill>
              <a:srgbClr val="FF0000"/>
            </a:solidFill>
          </a:endParaRPr>
        </a:p>
      </xdr:txBody>
    </xdr:sp>
    <xdr:clientData/>
  </xdr:oneCellAnchor>
  <xdr:oneCellAnchor>
    <xdr:from>
      <xdr:col>14</xdr:col>
      <xdr:colOff>30480</xdr:colOff>
      <xdr:row>6</xdr:row>
      <xdr:rowOff>144780</xdr:rowOff>
    </xdr:from>
    <xdr:ext cx="2133600" cy="436786"/>
    <xdr:sp macro="" textlink="">
      <xdr:nvSpPr>
        <xdr:cNvPr id="2" name="TextBox 1">
          <a:extLst>
            <a:ext uri="{FF2B5EF4-FFF2-40B4-BE49-F238E27FC236}">
              <a16:creationId xmlns:a16="http://schemas.microsoft.com/office/drawing/2014/main" id="{73B21E18-105F-6841-8D9F-C616AB00290E}"/>
            </a:ext>
          </a:extLst>
        </xdr:cNvPr>
        <xdr:cNvSpPr txBox="1"/>
      </xdr:nvSpPr>
      <xdr:spPr>
        <a:xfrm>
          <a:off x="15920720" y="1363980"/>
          <a:ext cx="213360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rgbClr val="FF0000"/>
              </a:solidFill>
            </a:rPr>
            <a:t>This is how much capital you invested over the</a:t>
          </a:r>
          <a:r>
            <a:rPr lang="en-US" sz="1100" baseline="0">
              <a:solidFill>
                <a:srgbClr val="FF0000"/>
              </a:solidFill>
            </a:rPr>
            <a:t> ten year period. </a:t>
          </a:r>
          <a:endParaRPr lang="en-US" sz="1100">
            <a:solidFill>
              <a:srgbClr val="FF0000"/>
            </a:solidFill>
          </a:endParaRPr>
        </a:p>
      </xdr:txBody>
    </xdr:sp>
    <xdr:clientData/>
  </xdr:oneCellAnchor>
  <xdr:oneCellAnchor>
    <xdr:from>
      <xdr:col>14</xdr:col>
      <xdr:colOff>10160</xdr:colOff>
      <xdr:row>3</xdr:row>
      <xdr:rowOff>144780</xdr:rowOff>
    </xdr:from>
    <xdr:ext cx="2895600" cy="436786"/>
    <xdr:sp macro="" textlink="">
      <xdr:nvSpPr>
        <xdr:cNvPr id="5" name="TextBox 4">
          <a:extLst>
            <a:ext uri="{FF2B5EF4-FFF2-40B4-BE49-F238E27FC236}">
              <a16:creationId xmlns:a16="http://schemas.microsoft.com/office/drawing/2014/main" id="{6892C059-F376-9D4B-9077-CBF4CF8D9DA3}"/>
            </a:ext>
          </a:extLst>
        </xdr:cNvPr>
        <xdr:cNvSpPr txBox="1"/>
      </xdr:nvSpPr>
      <xdr:spPr>
        <a:xfrm>
          <a:off x="15900400" y="754380"/>
          <a:ext cx="289560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rgbClr val="FF0000"/>
              </a:solidFill>
            </a:rPr>
            <a:t>This is is how much your</a:t>
          </a:r>
          <a:r>
            <a:rPr lang="en-US" sz="1100" baseline="0">
              <a:solidFill>
                <a:srgbClr val="FF0000"/>
              </a:solidFill>
            </a:rPr>
            <a:t> operating income grew over the ten-year period.</a:t>
          </a:r>
          <a:endParaRPr lang="en-US" sz="11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1054100</xdr:colOff>
      <xdr:row>9</xdr:row>
      <xdr:rowOff>88900</xdr:rowOff>
    </xdr:from>
    <xdr:to>
      <xdr:col>4</xdr:col>
      <xdr:colOff>187614</xdr:colOff>
      <xdr:row>9</xdr:row>
      <xdr:rowOff>101023</xdr:rowOff>
    </xdr:to>
    <xdr:cxnSp macro="">
      <xdr:nvCxnSpPr>
        <xdr:cNvPr id="113986" name="Straight Arrow Connector 4">
          <a:extLst>
            <a:ext uri="{FF2B5EF4-FFF2-40B4-BE49-F238E27FC236}">
              <a16:creationId xmlns:a16="http://schemas.microsoft.com/office/drawing/2014/main" id="{F3C3383D-3E60-1B4D-B22C-2AACA0377D06}"/>
            </a:ext>
          </a:extLst>
        </xdr:cNvPr>
        <xdr:cNvCxnSpPr>
          <a:cxnSpLocks noChangeShapeType="1"/>
        </xdr:cNvCxnSpPr>
      </xdr:nvCxnSpPr>
      <xdr:spPr bwMode="auto">
        <a:xfrm>
          <a:off x="4921827" y="2542309"/>
          <a:ext cx="389082" cy="12123"/>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3</xdr:col>
      <xdr:colOff>1066800</xdr:colOff>
      <xdr:row>10</xdr:row>
      <xdr:rowOff>101600</xdr:rowOff>
    </xdr:from>
    <xdr:to>
      <xdr:col>4</xdr:col>
      <xdr:colOff>216478</xdr:colOff>
      <xdr:row>10</xdr:row>
      <xdr:rowOff>115454</xdr:rowOff>
    </xdr:to>
    <xdr:cxnSp macro="">
      <xdr:nvCxnSpPr>
        <xdr:cNvPr id="113987" name="Straight Arrow Connector 6">
          <a:extLst>
            <a:ext uri="{FF2B5EF4-FFF2-40B4-BE49-F238E27FC236}">
              <a16:creationId xmlns:a16="http://schemas.microsoft.com/office/drawing/2014/main" id="{584B2669-8A3D-9A4E-93B2-3A47929E3B44}"/>
            </a:ext>
          </a:extLst>
        </xdr:cNvPr>
        <xdr:cNvCxnSpPr>
          <a:cxnSpLocks noChangeShapeType="1"/>
        </xdr:cNvCxnSpPr>
      </xdr:nvCxnSpPr>
      <xdr:spPr bwMode="auto">
        <a:xfrm>
          <a:off x="4934527" y="2757055"/>
          <a:ext cx="405246" cy="13854"/>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3</xdr:col>
      <xdr:colOff>1066800</xdr:colOff>
      <xdr:row>13</xdr:row>
      <xdr:rowOff>76200</xdr:rowOff>
    </xdr:from>
    <xdr:to>
      <xdr:col>4</xdr:col>
      <xdr:colOff>381000</xdr:colOff>
      <xdr:row>13</xdr:row>
      <xdr:rowOff>76200</xdr:rowOff>
    </xdr:to>
    <xdr:cxnSp macro="">
      <xdr:nvCxnSpPr>
        <xdr:cNvPr id="113988" name="Straight Arrow Connector 10">
          <a:extLst>
            <a:ext uri="{FF2B5EF4-FFF2-40B4-BE49-F238E27FC236}">
              <a16:creationId xmlns:a16="http://schemas.microsoft.com/office/drawing/2014/main" id="{8F4CF655-09CE-D947-A831-959347E2301E}"/>
            </a:ext>
          </a:extLst>
        </xdr:cNvPr>
        <xdr:cNvCxnSpPr>
          <a:cxnSpLocks noChangeShapeType="1"/>
        </xdr:cNvCxnSpPr>
      </xdr:nvCxnSpPr>
      <xdr:spPr bwMode="auto">
        <a:xfrm>
          <a:off x="3594100" y="2616200"/>
          <a:ext cx="660400" cy="0"/>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3</xdr:col>
      <xdr:colOff>990600</xdr:colOff>
      <xdr:row>8</xdr:row>
      <xdr:rowOff>101600</xdr:rowOff>
    </xdr:from>
    <xdr:to>
      <xdr:col>4</xdr:col>
      <xdr:colOff>173182</xdr:colOff>
      <xdr:row>8</xdr:row>
      <xdr:rowOff>115454</xdr:rowOff>
    </xdr:to>
    <xdr:cxnSp macro="">
      <xdr:nvCxnSpPr>
        <xdr:cNvPr id="113989" name="Straight Arrow Connector 4">
          <a:extLst>
            <a:ext uri="{FF2B5EF4-FFF2-40B4-BE49-F238E27FC236}">
              <a16:creationId xmlns:a16="http://schemas.microsoft.com/office/drawing/2014/main" id="{DBD8894E-2AE1-AD48-BBEC-C22585D3F148}"/>
            </a:ext>
          </a:extLst>
        </xdr:cNvPr>
        <xdr:cNvCxnSpPr>
          <a:cxnSpLocks noChangeShapeType="1"/>
        </xdr:cNvCxnSpPr>
      </xdr:nvCxnSpPr>
      <xdr:spPr bwMode="auto">
        <a:xfrm>
          <a:off x="4858327" y="2352964"/>
          <a:ext cx="438150" cy="13854"/>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F913B-09B5-46DB-82A3-B885F3E27944}">
  <dimension ref="A1:G119"/>
  <sheetViews>
    <sheetView tabSelected="1" zoomScale="108" zoomScaleNormal="108" workbookViewId="0">
      <selection activeCell="A18" sqref="A18"/>
    </sheetView>
  </sheetViews>
  <sheetFormatPr defaultRowHeight="11.5"/>
  <cols>
    <col min="1" max="1" width="57.19921875" style="335" bestFit="1" customWidth="1"/>
    <col min="2" max="2" width="15.8984375" style="335" customWidth="1"/>
    <col min="3" max="3" width="12.8984375" style="335" bestFit="1" customWidth="1"/>
    <col min="4" max="4" width="11.69921875" style="335" bestFit="1" customWidth="1"/>
    <col min="5" max="5" width="12.5" style="335" bestFit="1" customWidth="1"/>
    <col min="6" max="6" width="8.796875" style="335"/>
    <col min="7" max="7" width="16.09765625" style="335" bestFit="1" customWidth="1"/>
    <col min="8" max="16384" width="8.796875" style="335"/>
  </cols>
  <sheetData>
    <row r="1" spans="1:5" ht="15.5">
      <c r="A1" s="333" t="s">
        <v>768</v>
      </c>
      <c r="B1" s="334">
        <v>361</v>
      </c>
    </row>
    <row r="3" spans="1:5" ht="15.5">
      <c r="A3" s="336" t="s">
        <v>769</v>
      </c>
      <c r="B3" s="336" t="s">
        <v>770</v>
      </c>
      <c r="C3" s="336">
        <v>2022</v>
      </c>
      <c r="D3" s="336">
        <v>2021</v>
      </c>
      <c r="E3" s="336">
        <v>2020</v>
      </c>
    </row>
    <row r="4" spans="1:5" ht="15.5">
      <c r="A4" s="334" t="s">
        <v>771</v>
      </c>
      <c r="B4" s="337">
        <v>122727566</v>
      </c>
      <c r="C4" s="337">
        <v>147715566</v>
      </c>
      <c r="D4" s="337">
        <v>70698507</v>
      </c>
      <c r="E4" s="337">
        <v>55495364</v>
      </c>
    </row>
    <row r="5" spans="1:5" ht="15.5">
      <c r="A5" s="334" t="s">
        <v>772</v>
      </c>
      <c r="B5" s="337">
        <v>122727566</v>
      </c>
      <c r="C5" s="337">
        <v>147715566</v>
      </c>
      <c r="D5" s="337">
        <v>70698507</v>
      </c>
      <c r="E5" s="337">
        <v>55495364</v>
      </c>
    </row>
    <row r="6" spans="1:5" ht="15.5">
      <c r="A6" s="334" t="s">
        <v>773</v>
      </c>
      <c r="B6" s="337">
        <v>100237240</v>
      </c>
      <c r="C6" s="337">
        <v>120941907</v>
      </c>
      <c r="D6" s="337">
        <v>57238477</v>
      </c>
      <c r="E6" s="337">
        <v>45375969</v>
      </c>
    </row>
    <row r="7" spans="1:5" ht="15.5">
      <c r="A7" s="334" t="s">
        <v>774</v>
      </c>
      <c r="B7" s="337">
        <v>22490326</v>
      </c>
      <c r="C7" s="337">
        <v>26773659</v>
      </c>
      <c r="D7" s="337">
        <v>13460030</v>
      </c>
      <c r="E7" s="337">
        <v>10119395</v>
      </c>
    </row>
    <row r="8" spans="1:5" ht="15.5">
      <c r="A8" s="334" t="s">
        <v>775</v>
      </c>
      <c r="B8" s="337">
        <v>15143375</v>
      </c>
      <c r="C8" s="337">
        <v>17112280</v>
      </c>
      <c r="D8" s="337">
        <v>9254042</v>
      </c>
      <c r="E8" s="337">
        <v>6270435</v>
      </c>
    </row>
    <row r="9" spans="1:5" ht="15.5">
      <c r="A9" s="334" t="s">
        <v>776</v>
      </c>
      <c r="B9" s="337">
        <v>3298790</v>
      </c>
      <c r="C9" s="337">
        <v>3948447</v>
      </c>
      <c r="D9" s="337">
        <v>1526172</v>
      </c>
      <c r="E9" s="337">
        <v>1159771</v>
      </c>
    </row>
    <row r="10" spans="1:5" ht="15.5">
      <c r="A10" s="334" t="s">
        <v>777</v>
      </c>
      <c r="B10" s="337">
        <v>336977</v>
      </c>
      <c r="C10" s="337">
        <v>2148343</v>
      </c>
      <c r="D10" s="337">
        <v>740838</v>
      </c>
      <c r="E10" s="337">
        <v>593217</v>
      </c>
    </row>
    <row r="11" spans="1:5" ht="15.5">
      <c r="A11" s="334" t="s">
        <v>778</v>
      </c>
      <c r="B11" s="337">
        <v>59750</v>
      </c>
      <c r="C11" s="337">
        <v>79585</v>
      </c>
      <c r="D11" s="337">
        <v>29408</v>
      </c>
      <c r="E11" s="337">
        <v>22755</v>
      </c>
    </row>
    <row r="12" spans="1:5" ht="15.5">
      <c r="A12" s="334" t="s">
        <v>779</v>
      </c>
      <c r="B12" s="337">
        <v>2961813</v>
      </c>
      <c r="C12" s="337">
        <v>1800104</v>
      </c>
      <c r="D12" s="337">
        <v>785334</v>
      </c>
      <c r="E12" s="337">
        <v>566554</v>
      </c>
    </row>
    <row r="13" spans="1:5" ht="15.5">
      <c r="A13" s="334" t="s">
        <v>780</v>
      </c>
      <c r="B13" s="337">
        <v>1386299</v>
      </c>
      <c r="C13" s="337">
        <v>908175</v>
      </c>
      <c r="D13" s="337">
        <v>1061095</v>
      </c>
      <c r="E13" s="337">
        <v>223212</v>
      </c>
    </row>
    <row r="14" spans="1:5" ht="15.5">
      <c r="A14" s="334" t="s">
        <v>781</v>
      </c>
      <c r="B14" s="337">
        <v>7346951</v>
      </c>
      <c r="C14" s="337">
        <v>9661379</v>
      </c>
      <c r="D14" s="337">
        <v>4205988</v>
      </c>
      <c r="E14" s="337">
        <v>3848960</v>
      </c>
    </row>
    <row r="15" spans="1:5" ht="15.5">
      <c r="A15" s="334" t="s">
        <v>782</v>
      </c>
      <c r="B15" s="337">
        <v>-1023541</v>
      </c>
      <c r="C15" s="337">
        <v>-1151891</v>
      </c>
      <c r="D15" s="337">
        <v>-794539</v>
      </c>
      <c r="E15" s="337">
        <v>-638795</v>
      </c>
    </row>
    <row r="16" spans="1:5" ht="15.5">
      <c r="A16" s="334" t="s">
        <v>783</v>
      </c>
      <c r="B16" s="337">
        <v>138424</v>
      </c>
      <c r="C16" s="337">
        <v>107800</v>
      </c>
      <c r="D16" s="337">
        <v>78876</v>
      </c>
      <c r="E16" s="337">
        <v>117743</v>
      </c>
    </row>
    <row r="17" spans="1:5" ht="15.5">
      <c r="A17" s="334" t="s">
        <v>784</v>
      </c>
      <c r="B17" s="337">
        <v>1059735</v>
      </c>
      <c r="C17" s="337">
        <v>1175875</v>
      </c>
      <c r="D17" s="337">
        <v>834646</v>
      </c>
      <c r="E17" s="337">
        <v>726930</v>
      </c>
    </row>
    <row r="18" spans="1:5" ht="15.5">
      <c r="A18" s="334" t="s">
        <v>785</v>
      </c>
      <c r="B18" s="337">
        <v>-36194</v>
      </c>
      <c r="C18" s="337">
        <v>83816</v>
      </c>
      <c r="D18" s="337">
        <v>38769</v>
      </c>
      <c r="E18" s="337">
        <v>29608</v>
      </c>
    </row>
    <row r="19" spans="1:5" ht="15.5">
      <c r="A19" s="334" t="s">
        <v>786</v>
      </c>
      <c r="B19" s="337">
        <v>6963844</v>
      </c>
      <c r="C19" s="337">
        <v>8798889</v>
      </c>
      <c r="D19" s="337">
        <v>3909625</v>
      </c>
      <c r="E19" s="337">
        <v>3351658</v>
      </c>
    </row>
    <row r="20" spans="1:5" ht="15.5">
      <c r="A20" s="334" t="s">
        <v>787</v>
      </c>
      <c r="B20" s="337">
        <v>1516460</v>
      </c>
      <c r="C20" s="337">
        <v>640038</v>
      </c>
      <c r="D20" s="337">
        <v>958915</v>
      </c>
      <c r="E20" s="337">
        <v>744843</v>
      </c>
    </row>
    <row r="21" spans="1:5" ht="15.5">
      <c r="A21" s="334" t="s">
        <v>788</v>
      </c>
      <c r="B21" s="337">
        <v>5431760</v>
      </c>
      <c r="C21" s="337">
        <v>8156913</v>
      </c>
      <c r="D21" s="337">
        <v>2932482</v>
      </c>
      <c r="E21" s="337">
        <v>2606815</v>
      </c>
    </row>
    <row r="22" spans="1:5" ht="15.5">
      <c r="A22" s="334" t="s">
        <v>789</v>
      </c>
      <c r="B22" s="337">
        <v>5431760</v>
      </c>
      <c r="C22" s="337">
        <v>8156913</v>
      </c>
      <c r="D22" s="337">
        <v>2932482</v>
      </c>
      <c r="E22" s="337">
        <v>2606815</v>
      </c>
    </row>
    <row r="23" spans="1:5" ht="15.5">
      <c r="A23" s="334" t="s">
        <v>790</v>
      </c>
      <c r="B23" s="337">
        <v>5447384</v>
      </c>
      <c r="C23" s="337">
        <v>8158851</v>
      </c>
      <c r="D23" s="337">
        <v>2950710</v>
      </c>
      <c r="E23" s="337">
        <v>2606815</v>
      </c>
    </row>
    <row r="24" spans="1:5" ht="15.5">
      <c r="A24" s="334" t="s">
        <v>791</v>
      </c>
      <c r="B24" s="337">
        <v>5447384</v>
      </c>
      <c r="C24" s="337">
        <v>8158851</v>
      </c>
      <c r="D24" s="337">
        <v>2950710</v>
      </c>
      <c r="E24" s="337">
        <v>2606815</v>
      </c>
    </row>
    <row r="25" spans="1:5" ht="15.5">
      <c r="A25" s="334" t="s">
        <v>792</v>
      </c>
      <c r="B25" s="337">
        <v>-15624</v>
      </c>
      <c r="C25" s="337">
        <v>-1938</v>
      </c>
      <c r="D25" s="337">
        <v>-18228</v>
      </c>
      <c r="E25" s="334">
        <v>0</v>
      </c>
    </row>
    <row r="26" spans="1:5" ht="15.5">
      <c r="A26" s="334" t="s">
        <v>793</v>
      </c>
      <c r="B26" s="334">
        <v>0</v>
      </c>
      <c r="C26" s="334">
        <v>0</v>
      </c>
      <c r="D26" s="334">
        <v>0</v>
      </c>
      <c r="E26" s="334">
        <v>0</v>
      </c>
    </row>
    <row r="27" spans="1:5" ht="15.5">
      <c r="A27" s="334" t="s">
        <v>794</v>
      </c>
      <c r="B27" s="337">
        <v>5431760</v>
      </c>
      <c r="C27" s="337">
        <v>8156913</v>
      </c>
      <c r="D27" s="337">
        <v>2932482</v>
      </c>
      <c r="E27" s="337">
        <v>2606815</v>
      </c>
    </row>
    <row r="28" spans="1:5" ht="15.5">
      <c r="A28" s="334" t="s">
        <v>795</v>
      </c>
      <c r="B28" s="334">
        <v>19.100000000000001</v>
      </c>
      <c r="C28" s="334">
        <v>13.64</v>
      </c>
      <c r="D28" s="334">
        <v>4.88</v>
      </c>
      <c r="E28" s="334">
        <v>4.3099999999999996</v>
      </c>
    </row>
    <row r="29" spans="1:5" ht="15.5">
      <c r="A29" s="334" t="s">
        <v>796</v>
      </c>
      <c r="B29" s="334">
        <v>19.100000000000001</v>
      </c>
      <c r="C29" s="334">
        <v>13.64</v>
      </c>
      <c r="D29" s="334">
        <v>4.88</v>
      </c>
      <c r="E29" s="334">
        <v>4.3099999999999996</v>
      </c>
    </row>
    <row r="30" spans="1:5" ht="15.5">
      <c r="A30" s="334" t="s">
        <v>797</v>
      </c>
      <c r="B30" s="337">
        <v>597318</v>
      </c>
      <c r="C30" s="337">
        <v>597961</v>
      </c>
      <c r="D30" s="337">
        <v>601435</v>
      </c>
      <c r="E30" s="337">
        <v>605002</v>
      </c>
    </row>
    <row r="31" spans="1:5" ht="15.5">
      <c r="A31" s="334" t="s">
        <v>798</v>
      </c>
      <c r="B31" s="337">
        <v>597318</v>
      </c>
      <c r="C31" s="337">
        <v>597961</v>
      </c>
      <c r="D31" s="337">
        <v>601435</v>
      </c>
      <c r="E31" s="337">
        <v>605002</v>
      </c>
    </row>
    <row r="32" spans="1:5" ht="15.5">
      <c r="A32" s="334" t="s">
        <v>799</v>
      </c>
      <c r="B32" s="337">
        <v>7353906</v>
      </c>
      <c r="C32" s="337">
        <v>9515551</v>
      </c>
      <c r="D32" s="337">
        <v>4123282</v>
      </c>
      <c r="E32" s="337">
        <v>3785556</v>
      </c>
    </row>
    <row r="33" spans="1:5" ht="15.5">
      <c r="A33" s="334" t="s">
        <v>800</v>
      </c>
      <c r="B33" s="337">
        <v>59750</v>
      </c>
      <c r="C33" s="337">
        <v>79585</v>
      </c>
      <c r="D33" s="337">
        <v>29408</v>
      </c>
      <c r="E33" s="337">
        <v>22755</v>
      </c>
    </row>
    <row r="34" spans="1:5" ht="15.5">
      <c r="A34" s="334" t="s">
        <v>801</v>
      </c>
      <c r="B34" s="337">
        <v>115380615</v>
      </c>
      <c r="C34" s="337">
        <v>138054187</v>
      </c>
      <c r="D34" s="337">
        <v>66492519</v>
      </c>
      <c r="E34" s="337">
        <v>51646404</v>
      </c>
    </row>
    <row r="35" spans="1:5" ht="15.5">
      <c r="A35" s="334" t="s">
        <v>802</v>
      </c>
      <c r="B35" s="337">
        <v>5431760</v>
      </c>
      <c r="C35" s="337">
        <v>8156913</v>
      </c>
      <c r="D35" s="337">
        <v>2932482</v>
      </c>
      <c r="E35" s="337">
        <v>2606815</v>
      </c>
    </row>
    <row r="36" spans="1:5" ht="15.5">
      <c r="A36" s="334" t="s">
        <v>803</v>
      </c>
      <c r="B36" s="337">
        <v>5505398</v>
      </c>
      <c r="C36" s="337">
        <v>8213012</v>
      </c>
      <c r="D36" s="337">
        <v>2970985</v>
      </c>
      <c r="E36" s="337">
        <v>2636827</v>
      </c>
    </row>
    <row r="37" spans="1:5" ht="15.5">
      <c r="A37" s="334" t="s">
        <v>804</v>
      </c>
      <c r="B37" s="337">
        <v>138424</v>
      </c>
      <c r="C37" s="337">
        <v>107800</v>
      </c>
      <c r="D37" s="337">
        <v>78876</v>
      </c>
      <c r="E37" s="337">
        <v>117743</v>
      </c>
    </row>
    <row r="38" spans="1:5" ht="15.5">
      <c r="A38" s="334" t="s">
        <v>805</v>
      </c>
      <c r="B38" s="337">
        <v>1059735</v>
      </c>
      <c r="C38" s="337">
        <v>1175875</v>
      </c>
      <c r="D38" s="337">
        <v>834646</v>
      </c>
      <c r="E38" s="337">
        <v>726930</v>
      </c>
    </row>
    <row r="39" spans="1:5" ht="15.5">
      <c r="A39" s="334" t="s">
        <v>806</v>
      </c>
      <c r="B39" s="337">
        <v>-1023541</v>
      </c>
      <c r="C39" s="337">
        <v>-1151891</v>
      </c>
      <c r="D39" s="337">
        <v>-794539</v>
      </c>
      <c r="E39" s="337">
        <v>-638795</v>
      </c>
    </row>
    <row r="40" spans="1:5" ht="15.5">
      <c r="A40" s="334" t="s">
        <v>552</v>
      </c>
      <c r="B40" s="337">
        <v>8023579</v>
      </c>
      <c r="C40" s="337">
        <v>9974764</v>
      </c>
      <c r="D40" s="337">
        <v>4744271</v>
      </c>
      <c r="E40" s="337">
        <v>4078588</v>
      </c>
    </row>
    <row r="41" spans="1:5" ht="15.5">
      <c r="A41" s="334" t="s">
        <v>807</v>
      </c>
      <c r="B41" s="337">
        <v>10344745</v>
      </c>
      <c r="C41" s="337">
        <v>12567604</v>
      </c>
      <c r="D41" s="337">
        <v>6546929</v>
      </c>
      <c r="E41" s="337">
        <v>5448661</v>
      </c>
    </row>
    <row r="42" spans="1:5" ht="15.5">
      <c r="A42" s="334" t="s">
        <v>808</v>
      </c>
      <c r="B42" s="337">
        <v>100237240</v>
      </c>
      <c r="C42" s="337">
        <v>120941907</v>
      </c>
      <c r="D42" s="337">
        <v>57238477</v>
      </c>
      <c r="E42" s="337">
        <v>45375969</v>
      </c>
    </row>
    <row r="43" spans="1:5" ht="15.5">
      <c r="A43" s="334" t="s">
        <v>809</v>
      </c>
      <c r="B43" s="337">
        <v>2321166</v>
      </c>
      <c r="C43" s="337">
        <v>2592840</v>
      </c>
      <c r="D43" s="337">
        <v>1802658</v>
      </c>
      <c r="E43" s="337">
        <v>1370073</v>
      </c>
    </row>
    <row r="44" spans="1:5" ht="15.5">
      <c r="A44" s="334" t="s">
        <v>810</v>
      </c>
      <c r="B44" s="337">
        <v>5431760</v>
      </c>
      <c r="C44" s="337">
        <v>8156913</v>
      </c>
      <c r="D44" s="337">
        <v>2932482</v>
      </c>
      <c r="E44" s="337">
        <v>2606815</v>
      </c>
    </row>
    <row r="45" spans="1:5" ht="15.5">
      <c r="A45" s="334" t="s">
        <v>811</v>
      </c>
      <c r="B45" s="337">
        <v>-94138</v>
      </c>
      <c r="C45" s="337">
        <v>-60500</v>
      </c>
      <c r="D45" s="337">
        <v>-51016</v>
      </c>
      <c r="E45" s="337">
        <v>-38587</v>
      </c>
    </row>
    <row r="46" spans="1:5" ht="15.5">
      <c r="A46" s="334" t="s">
        <v>812</v>
      </c>
      <c r="B46" s="337">
        <v>-94138</v>
      </c>
      <c r="C46" s="337">
        <v>-60500</v>
      </c>
      <c r="D46" s="337">
        <v>-51016</v>
      </c>
      <c r="E46" s="337">
        <v>-38587</v>
      </c>
    </row>
    <row r="47" spans="1:5" ht="15.5">
      <c r="A47" s="334" t="s">
        <v>813</v>
      </c>
      <c r="B47" s="337">
        <v>10438883</v>
      </c>
      <c r="C47" s="337">
        <v>12628104</v>
      </c>
      <c r="D47" s="337">
        <v>6597945</v>
      </c>
      <c r="E47" s="337">
        <v>5487248</v>
      </c>
    </row>
    <row r="48" spans="1:5" ht="15.5">
      <c r="A48" s="334" t="s">
        <v>814</v>
      </c>
      <c r="B48" s="334">
        <v>0</v>
      </c>
      <c r="C48" s="334">
        <v>0</v>
      </c>
      <c r="D48" s="334">
        <v>0</v>
      </c>
      <c r="E48" s="334">
        <v>0</v>
      </c>
    </row>
    <row r="49" spans="1:7" ht="15.5">
      <c r="A49" s="334" t="s">
        <v>815</v>
      </c>
      <c r="B49" s="337">
        <v>-20500</v>
      </c>
      <c r="C49" s="337">
        <v>-4401</v>
      </c>
      <c r="D49" s="337">
        <v>-12513</v>
      </c>
      <c r="E49" s="337">
        <v>-8575</v>
      </c>
    </row>
    <row r="51" spans="1:7" ht="14.5">
      <c r="A51" s="333" t="s">
        <v>816</v>
      </c>
      <c r="B51" s="338">
        <v>45170</v>
      </c>
      <c r="C51" s="333">
        <v>2022</v>
      </c>
      <c r="D51" s="333">
        <v>2021</v>
      </c>
      <c r="E51" s="333">
        <v>2020</v>
      </c>
    </row>
    <row r="52" spans="1:7">
      <c r="A52" s="335" t="s">
        <v>817</v>
      </c>
      <c r="B52" s="335">
        <v>99427700</v>
      </c>
      <c r="C52" s="339">
        <v>64684433</v>
      </c>
      <c r="D52" s="339">
        <v>30412122</v>
      </c>
      <c r="E52" s="339">
        <v>23430292</v>
      </c>
      <c r="F52" s="340"/>
      <c r="G52" s="341"/>
    </row>
    <row r="53" spans="1:7">
      <c r="A53" s="335" t="s">
        <v>818</v>
      </c>
      <c r="B53" s="335">
        <v>51662310</v>
      </c>
      <c r="C53" s="339">
        <v>28095102</v>
      </c>
      <c r="D53" s="339">
        <v>14011093</v>
      </c>
      <c r="E53" s="339">
        <v>11135793</v>
      </c>
      <c r="F53" s="339"/>
      <c r="G53" s="341"/>
    </row>
    <row r="54" spans="1:7">
      <c r="A54" s="335" t="s">
        <v>819</v>
      </c>
      <c r="B54" s="335">
        <v>10335250</v>
      </c>
      <c r="C54" s="339">
        <v>4194110</v>
      </c>
      <c r="D54" s="339">
        <v>2988647</v>
      </c>
      <c r="E54" s="339">
        <v>3776474</v>
      </c>
      <c r="F54" s="340"/>
      <c r="G54" s="341"/>
    </row>
    <row r="55" spans="1:7">
      <c r="A55" s="335" t="s">
        <v>820</v>
      </c>
      <c r="B55" s="335">
        <v>3260750</v>
      </c>
      <c r="C55" s="339">
        <v>2181753</v>
      </c>
      <c r="D55" s="339">
        <v>1497058</v>
      </c>
      <c r="E55" s="339">
        <v>1112693</v>
      </c>
      <c r="F55" s="340"/>
      <c r="G55" s="341"/>
    </row>
    <row r="56" spans="1:7">
      <c r="A56" s="335" t="s">
        <v>821</v>
      </c>
      <c r="B56" s="335">
        <f>B55-B57</f>
        <v>2681414</v>
      </c>
      <c r="C56" s="339">
        <v>1881753</v>
      </c>
      <c r="D56" s="339">
        <v>918629</v>
      </c>
      <c r="E56" s="339">
        <v>820751</v>
      </c>
      <c r="G56" s="341"/>
    </row>
    <row r="57" spans="1:7">
      <c r="A57" s="335" t="s">
        <v>823</v>
      </c>
      <c r="B57" s="335">
        <v>579336</v>
      </c>
      <c r="C57" s="339">
        <v>300000</v>
      </c>
      <c r="D57" s="339">
        <v>578429</v>
      </c>
      <c r="E57" s="339">
        <v>291942</v>
      </c>
      <c r="G57" s="341"/>
    </row>
    <row r="58" spans="1:7">
      <c r="A58" s="335" t="s">
        <v>824</v>
      </c>
      <c r="B58" s="335">
        <v>0</v>
      </c>
      <c r="C58" s="339">
        <v>2012357</v>
      </c>
      <c r="D58" s="339">
        <v>1491589</v>
      </c>
      <c r="E58" s="339">
        <v>2663781</v>
      </c>
      <c r="G58" s="341"/>
    </row>
    <row r="59" spans="1:7">
      <c r="A59" s="335" t="s">
        <v>825</v>
      </c>
      <c r="B59" s="335">
        <v>24024360</v>
      </c>
      <c r="C59" s="339">
        <v>14631983</v>
      </c>
      <c r="D59" s="339">
        <v>6692940</v>
      </c>
      <c r="E59" s="339">
        <v>4228395</v>
      </c>
      <c r="F59" s="340"/>
      <c r="G59" s="341"/>
    </row>
    <row r="60" spans="1:7">
      <c r="A60" s="335" t="s">
        <v>826</v>
      </c>
      <c r="B60" s="335" t="s">
        <v>822</v>
      </c>
      <c r="C60" s="339">
        <v>14523147</v>
      </c>
      <c r="D60" s="339">
        <v>6651396</v>
      </c>
      <c r="E60" s="339">
        <v>4208607</v>
      </c>
      <c r="G60" s="341"/>
    </row>
    <row r="61" spans="1:7">
      <c r="A61" s="335" t="s">
        <v>827</v>
      </c>
      <c r="B61" s="335" t="s">
        <v>822</v>
      </c>
      <c r="C61" s="339">
        <v>108836</v>
      </c>
      <c r="D61" s="339">
        <v>41544</v>
      </c>
      <c r="E61" s="339">
        <v>19788</v>
      </c>
      <c r="G61" s="341"/>
    </row>
    <row r="62" spans="1:7">
      <c r="A62" s="335" t="s">
        <v>828</v>
      </c>
      <c r="B62" s="335" t="s">
        <v>822</v>
      </c>
      <c r="C62" s="335" t="s">
        <v>822</v>
      </c>
      <c r="D62" s="335" t="s">
        <v>822</v>
      </c>
      <c r="E62" s="339">
        <v>-6248</v>
      </c>
      <c r="G62" s="341"/>
    </row>
    <row r="63" spans="1:7">
      <c r="A63" s="335" t="s">
        <v>829</v>
      </c>
      <c r="B63" s="335" t="s">
        <v>822</v>
      </c>
      <c r="C63" s="339">
        <v>976660</v>
      </c>
      <c r="D63" s="339">
        <v>366120</v>
      </c>
      <c r="E63" s="339">
        <v>395512</v>
      </c>
      <c r="G63" s="341"/>
    </row>
    <row r="64" spans="1:7">
      <c r="A64" s="335" t="s">
        <v>830</v>
      </c>
      <c r="B64" s="335" t="s">
        <v>822</v>
      </c>
      <c r="C64" s="339">
        <v>1372</v>
      </c>
      <c r="D64" s="339">
        <v>13734</v>
      </c>
      <c r="E64" s="339">
        <v>21720</v>
      </c>
      <c r="G64" s="341"/>
    </row>
    <row r="65" spans="1:7">
      <c r="A65" s="335" t="s">
        <v>831</v>
      </c>
      <c r="B65" s="335" t="s">
        <v>822</v>
      </c>
      <c r="C65" s="339">
        <v>36589331</v>
      </c>
      <c r="D65" s="339">
        <v>16401029</v>
      </c>
      <c r="E65" s="339">
        <v>12294499</v>
      </c>
      <c r="G65" s="341"/>
    </row>
    <row r="66" spans="1:7">
      <c r="A66" s="335" t="s">
        <v>832</v>
      </c>
      <c r="B66" s="335" t="s">
        <v>822</v>
      </c>
      <c r="C66" s="339">
        <v>33237615</v>
      </c>
      <c r="D66" s="339">
        <v>14984542</v>
      </c>
      <c r="E66" s="339">
        <v>11629753</v>
      </c>
      <c r="G66" s="341"/>
    </row>
    <row r="67" spans="1:7">
      <c r="A67" s="335" t="s">
        <v>833</v>
      </c>
      <c r="B67" s="335" t="s">
        <v>822</v>
      </c>
      <c r="C67" s="339">
        <v>41864893</v>
      </c>
      <c r="D67" s="339">
        <v>21058957</v>
      </c>
      <c r="E67" s="339">
        <v>15329245</v>
      </c>
      <c r="G67" s="341"/>
    </row>
    <row r="68" spans="1:7">
      <c r="A68" s="335" t="s">
        <v>834</v>
      </c>
      <c r="B68" s="335" t="s">
        <v>822</v>
      </c>
      <c r="C68" s="335">
        <v>0</v>
      </c>
      <c r="D68" s="335">
        <v>0</v>
      </c>
      <c r="E68" s="335">
        <v>0</v>
      </c>
      <c r="G68" s="341"/>
    </row>
    <row r="69" spans="1:7">
      <c r="A69" s="335" t="s">
        <v>835</v>
      </c>
      <c r="B69" s="335" t="s">
        <v>822</v>
      </c>
      <c r="C69" s="339">
        <v>6094769</v>
      </c>
      <c r="D69" s="339">
        <v>1530267</v>
      </c>
      <c r="E69" s="339">
        <v>1374880</v>
      </c>
      <c r="G69" s="341"/>
    </row>
    <row r="70" spans="1:7">
      <c r="A70" s="335" t="s">
        <v>836</v>
      </c>
      <c r="B70" s="335" t="s">
        <v>822</v>
      </c>
      <c r="C70" s="339">
        <v>27769747</v>
      </c>
      <c r="D70" s="339">
        <v>14494411</v>
      </c>
      <c r="E70" s="339">
        <v>10527141</v>
      </c>
      <c r="G70" s="341"/>
    </row>
    <row r="71" spans="1:7">
      <c r="A71" s="335" t="s">
        <v>837</v>
      </c>
      <c r="B71" s="335" t="s">
        <v>822</v>
      </c>
      <c r="C71" s="339">
        <v>7744008</v>
      </c>
      <c r="D71" s="339">
        <v>4782117</v>
      </c>
      <c r="E71" s="339">
        <v>3335387</v>
      </c>
      <c r="G71" s="341"/>
    </row>
    <row r="72" spans="1:7">
      <c r="A72" s="335" t="s">
        <v>838</v>
      </c>
      <c r="B72" s="335" t="s">
        <v>822</v>
      </c>
      <c r="C72" s="339">
        <v>256369</v>
      </c>
      <c r="D72" s="339">
        <v>252162</v>
      </c>
      <c r="E72" s="339">
        <v>91837</v>
      </c>
      <c r="G72" s="341"/>
    </row>
    <row r="73" spans="1:7">
      <c r="A73" s="335" t="s">
        <v>839</v>
      </c>
      <c r="B73" s="339">
        <v>-13047560</v>
      </c>
      <c r="C73" s="339">
        <v>-8627278</v>
      </c>
      <c r="D73" s="339">
        <v>-6074415</v>
      </c>
      <c r="E73" s="339">
        <v>-3699492</v>
      </c>
      <c r="G73" s="341"/>
    </row>
    <row r="74" spans="1:7">
      <c r="A74" s="335" t="s">
        <v>840</v>
      </c>
      <c r="B74" s="335" t="s">
        <v>822</v>
      </c>
      <c r="C74" s="339">
        <v>65034</v>
      </c>
      <c r="D74" s="339">
        <v>66645</v>
      </c>
      <c r="E74" s="339">
        <v>43461</v>
      </c>
      <c r="G74" s="341"/>
    </row>
    <row r="75" spans="1:7">
      <c r="A75" s="335" t="s">
        <v>841</v>
      </c>
      <c r="B75" s="335" t="s">
        <v>822</v>
      </c>
      <c r="C75" s="339">
        <v>13421</v>
      </c>
      <c r="D75" s="339">
        <v>13421</v>
      </c>
      <c r="E75" s="335" t="s">
        <v>822</v>
      </c>
      <c r="G75" s="341"/>
    </row>
    <row r="76" spans="1:7">
      <c r="A76" s="335" t="s">
        <v>842</v>
      </c>
      <c r="B76" s="335" t="s">
        <v>822</v>
      </c>
      <c r="C76" s="339">
        <v>51613</v>
      </c>
      <c r="D76" s="339">
        <v>53224</v>
      </c>
      <c r="E76" s="339">
        <v>43461</v>
      </c>
      <c r="G76" s="341"/>
    </row>
    <row r="77" spans="1:7">
      <c r="A77" s="335" t="s">
        <v>843</v>
      </c>
      <c r="B77" s="335" t="s">
        <v>822</v>
      </c>
      <c r="C77" s="339">
        <v>455945</v>
      </c>
      <c r="D77" s="339">
        <v>66592</v>
      </c>
      <c r="E77" s="339">
        <v>61103</v>
      </c>
      <c r="G77" s="341"/>
    </row>
    <row r="78" spans="1:7">
      <c r="A78" s="335" t="s">
        <v>844</v>
      </c>
      <c r="B78" s="335" t="s">
        <v>822</v>
      </c>
      <c r="C78" s="339">
        <v>39275030</v>
      </c>
      <c r="D78" s="339">
        <v>22603050</v>
      </c>
      <c r="E78" s="339">
        <v>16254605</v>
      </c>
      <c r="G78" s="341"/>
    </row>
    <row r="79" spans="1:7">
      <c r="A79" s="335" t="s">
        <v>845</v>
      </c>
      <c r="B79" s="341">
        <v>52922820</v>
      </c>
      <c r="C79" s="339">
        <v>28809987</v>
      </c>
      <c r="D79" s="339">
        <v>15864572</v>
      </c>
      <c r="E79" s="339">
        <v>11020795</v>
      </c>
      <c r="G79" s="341"/>
    </row>
    <row r="80" spans="1:7">
      <c r="A80" s="335" t="s">
        <v>846</v>
      </c>
      <c r="B80" s="335" t="s">
        <v>822</v>
      </c>
      <c r="C80" s="339">
        <v>125521</v>
      </c>
      <c r="D80" s="339">
        <v>789634</v>
      </c>
      <c r="E80" s="339">
        <v>45806</v>
      </c>
      <c r="G80" s="341"/>
    </row>
    <row r="81" spans="1:7">
      <c r="A81" s="335" t="s">
        <v>847</v>
      </c>
      <c r="B81" s="335" t="s">
        <v>822</v>
      </c>
      <c r="C81" s="339">
        <v>111846</v>
      </c>
      <c r="D81" s="339">
        <v>60717</v>
      </c>
      <c r="E81" s="339">
        <v>41533</v>
      </c>
      <c r="G81" s="341"/>
    </row>
    <row r="82" spans="1:7">
      <c r="A82" s="335" t="s">
        <v>848</v>
      </c>
      <c r="B82" s="339">
        <v>3905860</v>
      </c>
      <c r="C82" s="339">
        <v>2450374</v>
      </c>
      <c r="D82" s="339">
        <v>1792893</v>
      </c>
      <c r="E82" s="339">
        <v>1377627</v>
      </c>
      <c r="G82" s="341"/>
    </row>
    <row r="83" spans="1:7">
      <c r="A83" s="335" t="s">
        <v>849</v>
      </c>
      <c r="B83" s="335">
        <v>0</v>
      </c>
      <c r="C83" s="335">
        <v>0</v>
      </c>
      <c r="D83" s="339">
        <v>101175</v>
      </c>
      <c r="E83" s="339">
        <v>131421</v>
      </c>
      <c r="G83" s="341"/>
    </row>
    <row r="84" spans="1:7">
      <c r="A84" s="335" t="s">
        <v>850</v>
      </c>
      <c r="B84" s="339">
        <v>3905860</v>
      </c>
      <c r="C84" s="339">
        <v>2450374</v>
      </c>
      <c r="D84" s="339">
        <v>1691718</v>
      </c>
      <c r="E84" s="339">
        <v>1246206</v>
      </c>
      <c r="G84" s="341"/>
    </row>
    <row r="85" spans="1:7">
      <c r="A85" s="335" t="s">
        <v>851</v>
      </c>
      <c r="B85" s="335">
        <v>3642.15</v>
      </c>
      <c r="C85" s="339">
        <v>3925</v>
      </c>
      <c r="D85" s="339">
        <v>6054</v>
      </c>
      <c r="E85" s="339">
        <v>4207</v>
      </c>
      <c r="G85" s="341"/>
    </row>
    <row r="86" spans="1:7">
      <c r="A86" s="335" t="s">
        <v>852</v>
      </c>
      <c r="B86" s="335">
        <v>0</v>
      </c>
      <c r="C86" s="339">
        <v>10465043</v>
      </c>
      <c r="D86" s="339">
        <v>6738478</v>
      </c>
      <c r="E86" s="339">
        <v>5233810</v>
      </c>
      <c r="F86" s="340"/>
      <c r="G86" s="341"/>
    </row>
    <row r="87" spans="1:7">
      <c r="A87" s="335" t="s">
        <v>853</v>
      </c>
      <c r="B87" s="341">
        <v>15279920</v>
      </c>
      <c r="C87" s="339">
        <v>9460474</v>
      </c>
      <c r="D87" s="339">
        <v>6349151</v>
      </c>
      <c r="E87" s="339">
        <v>4715679</v>
      </c>
      <c r="F87" s="340"/>
      <c r="G87" s="341"/>
    </row>
    <row r="88" spans="1:7">
      <c r="A88" s="335" t="s">
        <v>854</v>
      </c>
      <c r="B88" s="341">
        <v>15279920</v>
      </c>
      <c r="C88" s="339">
        <v>9460474</v>
      </c>
      <c r="D88" s="339">
        <v>6349151</v>
      </c>
      <c r="E88" s="339">
        <v>4715679</v>
      </c>
      <c r="G88" s="341"/>
    </row>
    <row r="89" spans="1:7">
      <c r="A89" s="335" t="s">
        <v>855</v>
      </c>
      <c r="B89" s="335" t="s">
        <v>822</v>
      </c>
      <c r="C89" s="339">
        <v>25409403</v>
      </c>
      <c r="D89" s="339">
        <v>7809072</v>
      </c>
      <c r="E89" s="339">
        <v>7175687</v>
      </c>
      <c r="F89" s="340"/>
      <c r="G89" s="341"/>
    </row>
    <row r="90" spans="1:7">
      <c r="A90" s="335" t="s">
        <v>856</v>
      </c>
      <c r="B90" s="341">
        <v>30043080</v>
      </c>
      <c r="C90" s="339">
        <v>25200975</v>
      </c>
      <c r="D90" s="339">
        <v>7605615</v>
      </c>
      <c r="E90" s="339">
        <v>7175687</v>
      </c>
      <c r="G90" s="341"/>
    </row>
    <row r="91" spans="1:7">
      <c r="A91" s="335" t="s">
        <v>857</v>
      </c>
      <c r="B91" s="335" t="s">
        <v>822</v>
      </c>
      <c r="C91" s="339">
        <v>607200</v>
      </c>
      <c r="D91" s="339">
        <v>607200</v>
      </c>
      <c r="E91" s="339">
        <v>607200</v>
      </c>
      <c r="G91" s="341"/>
    </row>
    <row r="92" spans="1:7">
      <c r="A92" s="335" t="s">
        <v>858</v>
      </c>
      <c r="B92" s="335" t="s">
        <v>822</v>
      </c>
      <c r="C92" s="339">
        <v>607200</v>
      </c>
      <c r="D92" s="339">
        <v>607200</v>
      </c>
      <c r="E92" s="339">
        <v>607200</v>
      </c>
      <c r="G92" s="341"/>
    </row>
    <row r="93" spans="1:7">
      <c r="A93" s="335" t="s">
        <v>859</v>
      </c>
      <c r="B93" s="335" t="s">
        <v>822</v>
      </c>
      <c r="C93" s="339">
        <v>9441568</v>
      </c>
      <c r="D93" s="339">
        <v>3329611</v>
      </c>
      <c r="E93" s="339">
        <v>4008471</v>
      </c>
      <c r="G93" s="341"/>
    </row>
    <row r="94" spans="1:7">
      <c r="A94" s="335" t="s">
        <v>860</v>
      </c>
      <c r="B94" s="335" t="s">
        <v>822</v>
      </c>
      <c r="C94" s="339">
        <v>637483</v>
      </c>
      <c r="D94" s="339">
        <v>565177</v>
      </c>
      <c r="E94" s="339">
        <v>374708</v>
      </c>
      <c r="G94" s="341"/>
    </row>
    <row r="95" spans="1:7">
      <c r="A95" s="335" t="s">
        <v>861</v>
      </c>
      <c r="B95" s="335" t="s">
        <v>822</v>
      </c>
      <c r="C95" s="339">
        <v>208428</v>
      </c>
      <c r="D95" s="339">
        <v>203457</v>
      </c>
      <c r="E95" s="335" t="s">
        <v>822</v>
      </c>
      <c r="G95" s="341"/>
    </row>
    <row r="96" spans="1:7">
      <c r="A96" s="335" t="s">
        <v>862</v>
      </c>
      <c r="B96" s="335" t="s">
        <v>822</v>
      </c>
      <c r="C96" s="339">
        <v>25200975</v>
      </c>
      <c r="D96" s="339">
        <v>7605615</v>
      </c>
      <c r="E96" s="339">
        <v>7175687</v>
      </c>
      <c r="G96" s="341"/>
    </row>
    <row r="97" spans="1:7">
      <c r="A97" s="335" t="s">
        <v>863</v>
      </c>
      <c r="B97" s="335" t="s">
        <v>822</v>
      </c>
      <c r="C97" s="339">
        <v>25200975</v>
      </c>
      <c r="D97" s="339">
        <v>7605615</v>
      </c>
      <c r="E97" s="339">
        <v>7175687</v>
      </c>
      <c r="G97" s="341"/>
    </row>
    <row r="98" spans="1:7">
      <c r="A98" s="335" t="s">
        <v>864</v>
      </c>
      <c r="B98" s="335" t="s">
        <v>822</v>
      </c>
      <c r="C98" s="339">
        <v>11910848</v>
      </c>
      <c r="D98" s="339">
        <v>8040869</v>
      </c>
      <c r="E98" s="339">
        <v>5961885</v>
      </c>
      <c r="G98" s="341"/>
    </row>
    <row r="99" spans="1:7">
      <c r="A99" s="335" t="s">
        <v>865</v>
      </c>
      <c r="B99" s="335" t="s">
        <v>822</v>
      </c>
      <c r="C99" s="339">
        <v>25135941</v>
      </c>
      <c r="D99" s="339">
        <v>7538970</v>
      </c>
      <c r="E99" s="339">
        <v>7132226</v>
      </c>
      <c r="G99" s="341"/>
    </row>
    <row r="100" spans="1:7">
      <c r="A100" s="335" t="s">
        <v>866</v>
      </c>
      <c r="B100" s="335" t="s">
        <v>822</v>
      </c>
      <c r="C100" s="339">
        <v>-714885</v>
      </c>
      <c r="D100" s="339">
        <v>-1853479</v>
      </c>
      <c r="E100" s="339">
        <v>114998</v>
      </c>
      <c r="G100" s="341"/>
    </row>
    <row r="101" spans="1:7">
      <c r="A101" s="335" t="s">
        <v>867</v>
      </c>
      <c r="B101" s="335" t="s">
        <v>822</v>
      </c>
      <c r="C101" s="339">
        <v>25200975</v>
      </c>
      <c r="D101" s="339">
        <v>7706790</v>
      </c>
      <c r="E101" s="339">
        <v>7307108</v>
      </c>
      <c r="G101" s="341"/>
    </row>
    <row r="102" spans="1:7">
      <c r="A102" s="335" t="s">
        <v>868</v>
      </c>
      <c r="B102" s="335" t="s">
        <v>822</v>
      </c>
      <c r="C102" s="339">
        <v>25135941</v>
      </c>
      <c r="D102" s="339">
        <v>7538970</v>
      </c>
      <c r="E102" s="339">
        <v>7132226</v>
      </c>
      <c r="G102" s="341"/>
    </row>
    <row r="103" spans="1:7">
      <c r="A103" s="335" t="s">
        <v>869</v>
      </c>
      <c r="B103" s="341">
        <v>19186000</v>
      </c>
      <c r="C103" s="339">
        <v>11910848</v>
      </c>
      <c r="D103" s="339">
        <v>8142044</v>
      </c>
      <c r="E103" s="339">
        <v>6093306</v>
      </c>
      <c r="G103" s="341"/>
    </row>
    <row r="104" spans="1:7">
      <c r="A104" s="335" t="s">
        <v>870</v>
      </c>
      <c r="B104" s="339">
        <v>607200</v>
      </c>
      <c r="C104" s="339">
        <v>607200</v>
      </c>
      <c r="D104" s="339">
        <v>607200</v>
      </c>
      <c r="E104" s="339">
        <v>607200</v>
      </c>
      <c r="G104" s="341"/>
    </row>
    <row r="105" spans="1:7">
      <c r="A105" s="335" t="s">
        <v>871</v>
      </c>
      <c r="B105" s="335" t="s">
        <v>822</v>
      </c>
      <c r="C105" s="339">
        <v>597842</v>
      </c>
      <c r="D105" s="339">
        <v>598832</v>
      </c>
      <c r="E105" s="339">
        <v>601529</v>
      </c>
      <c r="G105" s="341"/>
    </row>
    <row r="106" spans="1:7">
      <c r="A106" s="335" t="s">
        <v>872</v>
      </c>
      <c r="B106" s="335" t="s">
        <v>822</v>
      </c>
      <c r="C106" s="339">
        <v>9358</v>
      </c>
      <c r="D106" s="339">
        <v>8368</v>
      </c>
      <c r="E106" s="339">
        <v>5671</v>
      </c>
      <c r="G106" s="341"/>
    </row>
    <row r="108" spans="1:7" ht="14.5">
      <c r="A108" s="333" t="s">
        <v>873</v>
      </c>
      <c r="B108" s="333">
        <v>2023</v>
      </c>
      <c r="C108" s="333">
        <v>2022</v>
      </c>
      <c r="D108" s="333">
        <v>2021</v>
      </c>
      <c r="E108" s="333">
        <v>2020</v>
      </c>
    </row>
    <row r="109" spans="1:7">
      <c r="A109" s="335" t="s">
        <v>874</v>
      </c>
      <c r="B109" s="339">
        <v>7629250</v>
      </c>
      <c r="C109" s="339">
        <v>10219073</v>
      </c>
      <c r="D109" s="339">
        <v>5830034</v>
      </c>
      <c r="E109" s="339">
        <v>4743926</v>
      </c>
    </row>
    <row r="110" spans="1:7">
      <c r="A110" s="335" t="s">
        <v>875</v>
      </c>
      <c r="B110" s="339">
        <v>-3659819</v>
      </c>
      <c r="C110" s="339">
        <v>-5195459</v>
      </c>
      <c r="D110" s="339">
        <v>-45169</v>
      </c>
      <c r="E110" s="339">
        <v>-2974291</v>
      </c>
    </row>
    <row r="111" spans="1:7">
      <c r="A111" s="335" t="s">
        <v>876</v>
      </c>
      <c r="B111" s="339">
        <v>-4388446</v>
      </c>
      <c r="C111" s="339">
        <v>-4302909</v>
      </c>
      <c r="D111" s="339">
        <v>-5374720</v>
      </c>
      <c r="E111" s="339">
        <v>-1822137</v>
      </c>
    </row>
    <row r="112" spans="1:7">
      <c r="A112" s="335" t="s">
        <v>877</v>
      </c>
      <c r="B112" s="339">
        <v>1204888</v>
      </c>
      <c r="C112" s="339">
        <v>2175367</v>
      </c>
      <c r="D112" s="339">
        <v>1496863</v>
      </c>
      <c r="E112" s="339">
        <v>1112404</v>
      </c>
    </row>
    <row r="113" spans="1:5">
      <c r="A113" s="335" t="s">
        <v>878</v>
      </c>
      <c r="B113" s="339">
        <v>-419015</v>
      </c>
      <c r="C113" s="339">
        <v>720705</v>
      </c>
      <c r="D113" s="339">
        <v>410145</v>
      </c>
      <c r="E113" s="339">
        <v>-52502</v>
      </c>
    </row>
    <row r="114" spans="1:5">
      <c r="A114" s="335" t="s">
        <v>879</v>
      </c>
      <c r="B114" s="339">
        <v>-89385</v>
      </c>
      <c r="C114" s="339">
        <v>-42201</v>
      </c>
      <c r="D114" s="339">
        <v>-25686</v>
      </c>
      <c r="E114" s="339">
        <v>10398</v>
      </c>
    </row>
    <row r="115" spans="1:5">
      <c r="A115" s="335" t="s">
        <v>880</v>
      </c>
      <c r="B115" s="339">
        <v>1623903</v>
      </c>
      <c r="C115" s="339">
        <v>1496863</v>
      </c>
      <c r="D115" s="339">
        <v>1112404</v>
      </c>
      <c r="E115" s="339">
        <v>1154508</v>
      </c>
    </row>
    <row r="116" spans="1:5">
      <c r="A116" s="335" t="s">
        <v>881</v>
      </c>
      <c r="B116" s="339">
        <v>-3588550</v>
      </c>
      <c r="C116" s="339">
        <v>-4669047</v>
      </c>
      <c r="D116" s="339">
        <v>-2221737</v>
      </c>
      <c r="E116" s="339">
        <v>-1298275</v>
      </c>
    </row>
    <row r="117" spans="1:5">
      <c r="A117" s="335" t="s">
        <v>882</v>
      </c>
      <c r="B117" s="335" t="s">
        <v>822</v>
      </c>
      <c r="C117" s="335" t="s">
        <v>822</v>
      </c>
      <c r="D117" s="335" t="s">
        <v>822</v>
      </c>
      <c r="E117" s="339">
        <v>84091</v>
      </c>
    </row>
    <row r="118" spans="1:5">
      <c r="A118" s="335" t="s">
        <v>883</v>
      </c>
      <c r="B118" s="335" t="s">
        <v>822</v>
      </c>
      <c r="C118" s="335" t="s">
        <v>822</v>
      </c>
      <c r="D118" s="335" t="s">
        <v>822</v>
      </c>
      <c r="E118" s="339">
        <v>-374708</v>
      </c>
    </row>
    <row r="119" spans="1:5">
      <c r="A119" s="335" t="s">
        <v>884</v>
      </c>
      <c r="B119" s="339">
        <v>4040700</v>
      </c>
      <c r="C119" s="339">
        <v>5550026</v>
      </c>
      <c r="D119" s="339">
        <v>3608297</v>
      </c>
      <c r="E119" s="339">
        <v>3445651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6"/>
  <sheetViews>
    <sheetView zoomScale="98" zoomScaleNormal="115" workbookViewId="0">
      <selection activeCell="A56" sqref="A56"/>
    </sheetView>
  </sheetViews>
  <sheetFormatPr defaultColWidth="10.796875" defaultRowHeight="13"/>
  <cols>
    <col min="1" max="1" width="49.69921875" style="4" customWidth="1"/>
    <col min="2" max="2" width="26.5" style="4" customWidth="1"/>
    <col min="3" max="3" width="20" style="4" customWidth="1"/>
    <col min="4" max="4" width="16.69921875" style="4" customWidth="1"/>
    <col min="5" max="7" width="10.796875" style="4"/>
    <col min="8" max="8" width="13" style="4" customWidth="1"/>
    <col min="9" max="9" width="22.5" style="4" customWidth="1"/>
    <col min="10" max="10" width="17.5" style="4" customWidth="1"/>
    <col min="11" max="11" width="17.5" style="4" bestFit="1" customWidth="1"/>
    <col min="12" max="16384" width="10.796875" style="4"/>
  </cols>
  <sheetData>
    <row r="1" spans="1:10" ht="13.5">
      <c r="A1" s="184" t="s">
        <v>383</v>
      </c>
      <c r="B1" s="203">
        <v>43488</v>
      </c>
      <c r="C1" s="148"/>
      <c r="D1" s="149"/>
      <c r="E1" s="149"/>
      <c r="F1" s="149"/>
      <c r="G1" s="149"/>
      <c r="H1" s="149"/>
      <c r="I1" s="149"/>
      <c r="J1" s="150"/>
    </row>
    <row r="2" spans="1:10" s="52" customFormat="1" ht="13.5" thickBot="1">
      <c r="A2" s="49" t="s">
        <v>34</v>
      </c>
      <c r="B2" s="204" t="s">
        <v>767</v>
      </c>
      <c r="C2" s="185"/>
      <c r="J2" s="186"/>
    </row>
    <row r="3" spans="1:10" s="52" customFormat="1" ht="13.5" thickBot="1">
      <c r="A3" s="370" t="s">
        <v>427</v>
      </c>
      <c r="B3" s="371"/>
      <c r="C3" s="372"/>
      <c r="D3" s="372"/>
      <c r="E3" s="372"/>
      <c r="F3" s="372"/>
      <c r="G3" s="372"/>
      <c r="H3" s="372"/>
      <c r="I3" s="372"/>
      <c r="J3" s="373"/>
    </row>
    <row r="4" spans="1:10" s="52" customFormat="1">
      <c r="A4" s="49"/>
      <c r="B4" s="49" t="s">
        <v>177</v>
      </c>
      <c r="C4" s="49" t="s">
        <v>178</v>
      </c>
    </row>
    <row r="5" spans="1:10" s="52" customFormat="1">
      <c r="A5" s="52" t="s">
        <v>442</v>
      </c>
      <c r="B5" s="139" t="s">
        <v>342</v>
      </c>
      <c r="C5" s="49"/>
    </row>
    <row r="6" spans="1:10" s="52" customFormat="1">
      <c r="A6" s="52" t="s">
        <v>432</v>
      </c>
      <c r="B6" s="139" t="s">
        <v>744</v>
      </c>
    </row>
    <row r="7" spans="1:10" s="52" customFormat="1">
      <c r="A7" s="52" t="s">
        <v>433</v>
      </c>
      <c r="B7" s="139" t="s">
        <v>744</v>
      </c>
      <c r="C7" s="218" t="s">
        <v>392</v>
      </c>
      <c r="D7" s="218" t="s">
        <v>529</v>
      </c>
    </row>
    <row r="8" spans="1:10" s="52" customFormat="1">
      <c r="A8" s="55" t="s">
        <v>11</v>
      </c>
      <c r="B8" s="56">
        <f>DATA!B4</f>
        <v>122727566</v>
      </c>
      <c r="C8" s="56">
        <f>DATA!C4</f>
        <v>147715566</v>
      </c>
      <c r="D8" s="139">
        <v>1</v>
      </c>
    </row>
    <row r="9" spans="1:10" s="52" customFormat="1">
      <c r="A9" s="55" t="s">
        <v>29</v>
      </c>
      <c r="B9" s="56">
        <f>DATA!B40</f>
        <v>8023579</v>
      </c>
      <c r="C9" s="56">
        <f>DATA!C40</f>
        <v>9974764</v>
      </c>
      <c r="D9" s="139">
        <v>1</v>
      </c>
    </row>
    <row r="10" spans="1:10" s="52" customFormat="1">
      <c r="A10" s="55" t="s">
        <v>435</v>
      </c>
      <c r="B10" s="56">
        <f>DATA!B38</f>
        <v>1059735</v>
      </c>
      <c r="C10" s="56">
        <f>DATA!C38</f>
        <v>1175875</v>
      </c>
      <c r="D10" s="57"/>
    </row>
    <row r="11" spans="1:10" s="52" customFormat="1">
      <c r="A11" s="55" t="s">
        <v>30</v>
      </c>
      <c r="B11" s="56">
        <f>DATA!B52-DATA!B79</f>
        <v>46504880</v>
      </c>
      <c r="C11" s="56">
        <f>DATA!C52-DATA!C79</f>
        <v>35874446</v>
      </c>
      <c r="D11" s="57"/>
    </row>
    <row r="12" spans="1:10" s="52" customFormat="1">
      <c r="A12" s="55" t="s">
        <v>31</v>
      </c>
      <c r="B12" s="56">
        <f>DATA!B88+DATA!B84+DATA!B85</f>
        <v>19189422.149999999</v>
      </c>
      <c r="C12" s="56">
        <f>DATA!C88+DATA!C84+DATA!C85</f>
        <v>11914773</v>
      </c>
      <c r="D12" s="57"/>
    </row>
    <row r="13" spans="1:10" s="52" customFormat="1">
      <c r="A13" s="55" t="s">
        <v>422</v>
      </c>
      <c r="B13" s="175" t="s">
        <v>52</v>
      </c>
      <c r="C13" s="176" t="s">
        <v>423</v>
      </c>
      <c r="D13" s="57"/>
    </row>
    <row r="14" spans="1:10" s="52" customFormat="1">
      <c r="A14" s="55" t="s">
        <v>243</v>
      </c>
      <c r="B14" s="56" t="s">
        <v>52</v>
      </c>
      <c r="C14" s="57" t="s">
        <v>246</v>
      </c>
      <c r="D14" s="57"/>
    </row>
    <row r="15" spans="1:10" s="52" customFormat="1">
      <c r="A15" s="55" t="s">
        <v>512</v>
      </c>
      <c r="B15" s="56">
        <f>DATA!B56</f>
        <v>2681414</v>
      </c>
      <c r="C15" s="56">
        <f>DATA!C56</f>
        <v>1881753</v>
      </c>
      <c r="D15" s="57"/>
    </row>
    <row r="16" spans="1:10" s="52" customFormat="1">
      <c r="A16" s="55" t="s">
        <v>513</v>
      </c>
      <c r="B16" s="151">
        <f>DATA!B58</f>
        <v>0</v>
      </c>
      <c r="C16" s="151">
        <f>DATA!C58</f>
        <v>2012357</v>
      </c>
      <c r="D16" s="57"/>
    </row>
    <row r="17" spans="1:11" s="52" customFormat="1">
      <c r="A17" s="55" t="s">
        <v>388</v>
      </c>
      <c r="B17" s="151">
        <f>DATA!B25</f>
        <v>-15624</v>
      </c>
      <c r="C17" s="151">
        <f>DATA!C25</f>
        <v>-1938</v>
      </c>
      <c r="D17" s="57"/>
    </row>
    <row r="18" spans="1:11" s="52" customFormat="1" ht="13.5" thickBot="1">
      <c r="A18" s="55" t="s">
        <v>32</v>
      </c>
      <c r="B18" s="140">
        <f>DATA!B104/1000</f>
        <v>607.20000000000005</v>
      </c>
      <c r="C18" s="57"/>
    </row>
    <row r="19" spans="1:11" s="52" customFormat="1">
      <c r="A19" s="55" t="s">
        <v>33</v>
      </c>
      <c r="B19" s="56">
        <f>DATA!B1</f>
        <v>361</v>
      </c>
      <c r="C19" s="57"/>
      <c r="E19" s="74" t="s">
        <v>242</v>
      </c>
      <c r="F19" s="50"/>
      <c r="G19" s="50"/>
      <c r="H19" s="50"/>
      <c r="I19" s="50"/>
      <c r="J19" s="50"/>
      <c r="K19" s="51"/>
    </row>
    <row r="20" spans="1:11" s="52" customFormat="1">
      <c r="A20" s="52" t="s">
        <v>104</v>
      </c>
      <c r="B20" s="58">
        <f>DATA!B20/DATA!B19</f>
        <v>0.21776191425310504</v>
      </c>
      <c r="C20" s="57"/>
      <c r="E20" s="183" t="s">
        <v>426</v>
      </c>
      <c r="K20" s="76"/>
    </row>
    <row r="21" spans="1:11" s="52" customFormat="1">
      <c r="A21" s="52" t="s">
        <v>105</v>
      </c>
      <c r="B21" s="58">
        <v>0.25</v>
      </c>
      <c r="C21" s="57"/>
      <c r="E21" s="138"/>
      <c r="I21" s="55" t="s">
        <v>238</v>
      </c>
      <c r="J21" s="55" t="s">
        <v>240</v>
      </c>
      <c r="K21" s="76" t="s">
        <v>434</v>
      </c>
    </row>
    <row r="22" spans="1:11" s="52" customFormat="1">
      <c r="A22" s="49" t="s">
        <v>35</v>
      </c>
      <c r="B22" s="59"/>
      <c r="C22" s="57"/>
      <c r="E22" s="75" t="s">
        <v>173</v>
      </c>
      <c r="I22" s="229">
        <f>IF(C8&gt;0,(B8/C8)^(1/D8)-1, "NA")</f>
        <v>-0.16916294387011321</v>
      </c>
      <c r="J22" s="229">
        <f>VLOOKUP(B6,'Industry Average Beta (US)'!A2:S95,3)</f>
        <v>2.4121428571428565E-2</v>
      </c>
      <c r="K22" s="230">
        <f>VLOOKUP(B7,'Industry Average Beta (Global)'!A2:N95,3)</f>
        <v>-2.4461977401129934E-2</v>
      </c>
    </row>
    <row r="23" spans="1:11" s="52" customFormat="1">
      <c r="A23" s="316" t="s">
        <v>655</v>
      </c>
      <c r="B23" s="317">
        <v>-0.14185709219051371</v>
      </c>
      <c r="C23" s="57"/>
      <c r="E23" s="75" t="s">
        <v>174</v>
      </c>
      <c r="I23" s="229">
        <f>'Valuation output'!B4</f>
        <v>6.5377154143185734E-2</v>
      </c>
      <c r="J23" s="230">
        <f>VLOOKUP(B6,'Industry Average Beta (US)'!A2:AA95,4)</f>
        <v>4.6295710867184911E-2</v>
      </c>
      <c r="K23" s="230">
        <f>VLOOKUP(B7,'Industry Average Beta (Global)'!A2:N95,4)</f>
        <v>5.3628754509030915E-2</v>
      </c>
    </row>
    <row r="24" spans="1:11" s="52" customFormat="1">
      <c r="A24" s="316" t="s">
        <v>657</v>
      </c>
      <c r="B24" s="317">
        <v>-6.4000000000000001E-2</v>
      </c>
      <c r="C24" s="57"/>
      <c r="E24" s="75" t="s">
        <v>175</v>
      </c>
      <c r="I24" s="231">
        <f>B8/'Valuation output'!B39</f>
        <v>1.9476581633244818</v>
      </c>
      <c r="J24" s="231">
        <f>VLOOKUP(B6,'Industry Average Beta (US)'!A2:S95,14)</f>
        <v>4.0972805811128481</v>
      </c>
      <c r="K24" s="231">
        <f>VLOOKUP(B7,'Industry Average Beta (Global)'!A2:N95,14)</f>
        <v>2.9540157175171817</v>
      </c>
    </row>
    <row r="25" spans="1:11" s="52" customFormat="1">
      <c r="A25" s="55" t="s">
        <v>656</v>
      </c>
      <c r="B25" s="60">
        <v>0.1</v>
      </c>
      <c r="C25" s="57" t="s">
        <v>516</v>
      </c>
      <c r="E25" s="75" t="s">
        <v>176</v>
      </c>
      <c r="I25" s="230">
        <f>'Valuation output'!B7/'Valuation output'!B39</f>
        <v>9.9604212123373129E-2</v>
      </c>
      <c r="J25" s="230">
        <f>VLOOKUP(B6,'Industry Average Beta (US)'!A2:S95,5)</f>
        <v>0.14673499048151145</v>
      </c>
      <c r="K25" s="230">
        <f>VLOOKUP(B7,'Industry Average Beta (Global)'!A2:N95,5)</f>
        <v>0.12009403587138043</v>
      </c>
    </row>
    <row r="26" spans="1:11" s="52" customFormat="1">
      <c r="A26" s="55" t="s">
        <v>50</v>
      </c>
      <c r="B26" s="60">
        <v>0.1225</v>
      </c>
      <c r="C26" s="57" t="s">
        <v>514</v>
      </c>
      <c r="E26" s="75" t="s">
        <v>382</v>
      </c>
      <c r="I26" s="147"/>
      <c r="J26" s="232">
        <f>VLOOKUP(B6,'Industry Average Beta (US)'!A2:S95,10)</f>
        <v>0.38910866422167528</v>
      </c>
      <c r="K26" s="230">
        <f>VLOOKUP(B6,'Industry Average Beta (Global)'!A2:Z95,10)</f>
        <v>0.24699731612176148</v>
      </c>
    </row>
    <row r="27" spans="1:11" s="52" customFormat="1" ht="13.5" thickBot="1">
      <c r="A27" s="55" t="s">
        <v>584</v>
      </c>
      <c r="B27" s="61">
        <v>2</v>
      </c>
      <c r="C27" s="57" t="s">
        <v>585</v>
      </c>
      <c r="E27" s="53" t="s">
        <v>381</v>
      </c>
      <c r="F27" s="54"/>
      <c r="G27" s="54"/>
      <c r="H27" s="54"/>
      <c r="I27" s="54"/>
      <c r="J27" s="233">
        <f>VLOOKUP(B6,'Industry Average Beta (US)'!A2:S95,13)</f>
        <v>4.5945247836019318E-2</v>
      </c>
      <c r="K27" s="230">
        <f>VLOOKUP(B6,'Industry Average Beta (Global)'!A2:Z95,13)</f>
        <v>5.7821099538569759E-2</v>
      </c>
    </row>
    <row r="28" spans="1:11" s="52" customFormat="1" ht="13.5" thickBot="1">
      <c r="A28" s="55" t="s">
        <v>37</v>
      </c>
      <c r="B28" s="61">
        <v>5.5</v>
      </c>
      <c r="C28" s="57" t="s">
        <v>515</v>
      </c>
    </row>
    <row r="29" spans="1:11" s="52" customFormat="1">
      <c r="A29" s="49" t="s">
        <v>36</v>
      </c>
      <c r="B29" s="368">
        <f>'Valuation output'!B33</f>
        <v>365.72757508929959</v>
      </c>
      <c r="C29" s="57"/>
      <c r="E29" s="374" t="s">
        <v>517</v>
      </c>
      <c r="F29" s="375"/>
      <c r="G29" s="375"/>
      <c r="H29" s="375"/>
      <c r="I29" s="375"/>
      <c r="J29" s="376"/>
    </row>
    <row r="30" spans="1:11" s="52" customFormat="1">
      <c r="A30" s="55" t="s">
        <v>27</v>
      </c>
      <c r="B30" s="60">
        <v>0.26600000000000001</v>
      </c>
      <c r="C30" s="57"/>
      <c r="E30" s="75" t="s">
        <v>518</v>
      </c>
      <c r="J30" s="228">
        <f>'Valuation output'!M3</f>
        <v>293620477.31002033</v>
      </c>
    </row>
    <row r="31" spans="1:11" s="52" customFormat="1">
      <c r="A31" s="55" t="s">
        <v>39</v>
      </c>
      <c r="B31" s="60">
        <f>'Cost of capital worksheet'!E50</f>
        <v>0.21138937643467773</v>
      </c>
      <c r="C31" s="57"/>
      <c r="E31" s="75" t="s">
        <v>520</v>
      </c>
      <c r="J31" s="228">
        <f>'Valuation output'!M5</f>
        <v>35968508.470477492</v>
      </c>
    </row>
    <row r="32" spans="1:11" s="52" customFormat="1">
      <c r="A32" s="49" t="s">
        <v>90</v>
      </c>
      <c r="B32" s="62"/>
      <c r="C32" s="62"/>
      <c r="D32" s="57"/>
      <c r="E32" s="75" t="s">
        <v>519</v>
      </c>
      <c r="J32" s="229">
        <f>'Valuation output'!L40</f>
        <v>0.26314969282932099</v>
      </c>
    </row>
    <row r="33" spans="1:14" s="52" customFormat="1" ht="13.5" thickBot="1">
      <c r="A33" s="52" t="s">
        <v>245</v>
      </c>
      <c r="B33" s="60" t="s">
        <v>52</v>
      </c>
      <c r="C33"/>
      <c r="D33" s="57"/>
      <c r="E33" s="219" t="s">
        <v>521</v>
      </c>
      <c r="F33" s="54"/>
      <c r="G33" s="54"/>
      <c r="H33" s="54"/>
      <c r="I33" s="54"/>
      <c r="J33" s="220"/>
    </row>
    <row r="34" spans="1:14" s="52" customFormat="1">
      <c r="A34" s="52" t="s">
        <v>91</v>
      </c>
      <c r="B34" s="342"/>
      <c r="C34" s="227"/>
      <c r="D34" s="57"/>
    </row>
    <row r="35" spans="1:14" s="52" customFormat="1">
      <c r="A35" s="52" t="s">
        <v>92</v>
      </c>
      <c r="B35" s="63">
        <v>1.29</v>
      </c>
      <c r="C35" s="226"/>
      <c r="D35" s="57"/>
    </row>
    <row r="36" spans="1:14" s="52" customFormat="1">
      <c r="A36" s="52" t="s">
        <v>93</v>
      </c>
      <c r="B36" s="61"/>
      <c r="C36" s="227"/>
      <c r="D36" s="57"/>
    </row>
    <row r="37" spans="1:14" s="65" customFormat="1">
      <c r="A37" s="52" t="s">
        <v>94</v>
      </c>
      <c r="B37" s="60">
        <v>4.6371597415718759E-2</v>
      </c>
      <c r="C37" s="57"/>
      <c r="D37" s="52"/>
      <c r="H37" s="52"/>
      <c r="I37" s="52"/>
      <c r="J37" s="52"/>
      <c r="K37" s="52"/>
      <c r="L37" s="52"/>
      <c r="M37" s="52"/>
      <c r="N37" s="52"/>
    </row>
    <row r="38" spans="1:14" s="52" customFormat="1">
      <c r="B38" s="64"/>
      <c r="C38" s="62"/>
      <c r="D38" s="57"/>
    </row>
    <row r="39" spans="1:14" s="52" customFormat="1">
      <c r="A39" s="369" t="s">
        <v>106</v>
      </c>
      <c r="B39" s="369"/>
      <c r="C39" s="72"/>
      <c r="D39" s="57"/>
      <c r="N39" s="65"/>
    </row>
    <row r="40" spans="1:14" s="65" customFormat="1">
      <c r="A40" s="65" t="s">
        <v>107</v>
      </c>
      <c r="C40" s="73"/>
      <c r="D40" s="57"/>
      <c r="N40" s="52"/>
    </row>
    <row r="41" spans="1:14" s="52" customFormat="1">
      <c r="A41" s="52" t="s">
        <v>40</v>
      </c>
      <c r="B41" s="66" t="s">
        <v>58</v>
      </c>
      <c r="C41" s="57" t="s">
        <v>55</v>
      </c>
    </row>
    <row r="42" spans="1:14" s="52" customFormat="1">
      <c r="A42" s="52" t="s">
        <v>42</v>
      </c>
      <c r="B42" s="60">
        <v>0.4</v>
      </c>
      <c r="C42" s="57" t="s">
        <v>663</v>
      </c>
      <c r="N42" s="65"/>
    </row>
    <row r="43" spans="1:14" s="52" customFormat="1">
      <c r="A43" s="65" t="s">
        <v>108</v>
      </c>
      <c r="B43" s="65"/>
      <c r="C43" s="57"/>
      <c r="D43" s="65"/>
      <c r="H43" s="65"/>
      <c r="I43" s="65"/>
      <c r="J43" s="65"/>
      <c r="K43" s="65"/>
      <c r="L43" s="65"/>
      <c r="M43" s="65"/>
    </row>
    <row r="44" spans="1:14" s="52" customFormat="1">
      <c r="A44" s="52" t="s">
        <v>40</v>
      </c>
      <c r="B44" s="66" t="s">
        <v>58</v>
      </c>
      <c r="C44" s="57" t="s">
        <v>54</v>
      </c>
    </row>
    <row r="45" spans="1:14" s="52" customFormat="1">
      <c r="A45" s="52" t="s">
        <v>41</v>
      </c>
      <c r="B45" s="67">
        <v>0.04</v>
      </c>
      <c r="C45" s="57" t="s">
        <v>143</v>
      </c>
    </row>
    <row r="46" spans="1:14" s="52" customFormat="1">
      <c r="A46" s="65" t="s">
        <v>139</v>
      </c>
      <c r="C46" s="57"/>
    </row>
    <row r="47" spans="1:14" s="52" customFormat="1">
      <c r="A47" s="52" t="s">
        <v>40</v>
      </c>
      <c r="B47" s="66" t="s">
        <v>58</v>
      </c>
      <c r="C47" s="57" t="s">
        <v>114</v>
      </c>
    </row>
    <row r="48" spans="1:14" s="52" customFormat="1">
      <c r="A48" s="52" t="s">
        <v>109</v>
      </c>
      <c r="B48" s="67">
        <v>0.1</v>
      </c>
      <c r="C48" s="57" t="s">
        <v>56</v>
      </c>
    </row>
    <row r="49" spans="1:14" s="52" customFormat="1">
      <c r="A49" s="52" t="s">
        <v>112</v>
      </c>
      <c r="B49" s="67" t="s">
        <v>102</v>
      </c>
      <c r="C49" s="57" t="s">
        <v>103</v>
      </c>
    </row>
    <row r="50" spans="1:14" s="52" customFormat="1">
      <c r="A50" s="52" t="s">
        <v>236</v>
      </c>
      <c r="B50" s="67">
        <v>0.7</v>
      </c>
      <c r="C50" s="57" t="s">
        <v>113</v>
      </c>
    </row>
    <row r="51" spans="1:14" s="52" customFormat="1">
      <c r="A51" s="65" t="s">
        <v>141</v>
      </c>
      <c r="B51" s="68"/>
      <c r="C51" s="57"/>
    </row>
    <row r="52" spans="1:14" s="52" customFormat="1">
      <c r="A52" s="52" t="s">
        <v>40</v>
      </c>
      <c r="B52" s="67" t="s">
        <v>52</v>
      </c>
      <c r="C52" s="57"/>
    </row>
    <row r="53" spans="1:14" s="52" customFormat="1">
      <c r="A53" s="65" t="s">
        <v>138</v>
      </c>
      <c r="C53" s="57"/>
    </row>
    <row r="54" spans="1:14" s="52" customFormat="1">
      <c r="A54" s="52" t="s">
        <v>40</v>
      </c>
      <c r="B54" s="66" t="s">
        <v>52</v>
      </c>
      <c r="C54" s="57" t="s">
        <v>57</v>
      </c>
    </row>
    <row r="55" spans="1:14" s="52" customFormat="1">
      <c r="A55" s="52" t="s">
        <v>49</v>
      </c>
      <c r="B55" s="63"/>
      <c r="C55" s="57" t="s">
        <v>144</v>
      </c>
    </row>
    <row r="56" spans="1:14" s="52" customFormat="1">
      <c r="A56" s="52" t="s">
        <v>650</v>
      </c>
      <c r="B56" s="315"/>
      <c r="C56" s="57"/>
    </row>
    <row r="57" spans="1:14" s="52" customFormat="1">
      <c r="A57" s="52" t="s">
        <v>40</v>
      </c>
      <c r="B57" s="63" t="s">
        <v>58</v>
      </c>
      <c r="C57" s="57" t="s">
        <v>652</v>
      </c>
    </row>
    <row r="58" spans="1:14" s="52" customFormat="1">
      <c r="A58" s="52" t="s">
        <v>651</v>
      </c>
      <c r="B58" s="225">
        <v>0.12</v>
      </c>
      <c r="C58" s="57" t="s">
        <v>653</v>
      </c>
    </row>
    <row r="59" spans="1:14" s="221" customFormat="1" ht="13.5">
      <c r="A59" s="52" t="s">
        <v>525</v>
      </c>
      <c r="B59" s="226"/>
      <c r="C59" s="57"/>
      <c r="D59" s="52"/>
      <c r="H59" s="65"/>
      <c r="I59" s="65"/>
      <c r="J59" s="65"/>
      <c r="K59" s="65"/>
      <c r="L59" s="65"/>
      <c r="M59" s="65"/>
      <c r="N59" s="65"/>
    </row>
    <row r="60" spans="1:14" ht="13.5">
      <c r="A60" s="52" t="s">
        <v>40</v>
      </c>
      <c r="B60" s="63" t="s">
        <v>52</v>
      </c>
      <c r="C60" s="57" t="s">
        <v>654</v>
      </c>
      <c r="D60" s="52"/>
      <c r="H60" s="52"/>
      <c r="I60" s="52"/>
      <c r="J60" s="52"/>
      <c r="K60" s="52"/>
      <c r="L60" s="52"/>
      <c r="M60" s="52"/>
      <c r="N60" s="52"/>
    </row>
    <row r="61" spans="1:14" ht="13.5">
      <c r="A61" s="52" t="s">
        <v>526</v>
      </c>
      <c r="B61" s="225"/>
      <c r="C61" s="57" t="s">
        <v>527</v>
      </c>
      <c r="D61" s="52"/>
      <c r="H61" s="52"/>
      <c r="I61" s="52"/>
      <c r="J61" s="52"/>
      <c r="K61" s="52"/>
      <c r="L61" s="52"/>
      <c r="M61" s="52"/>
    </row>
    <row r="62" spans="1:14">
      <c r="A62" s="221" t="s">
        <v>530</v>
      </c>
      <c r="B62" s="221"/>
      <c r="C62" s="221"/>
      <c r="D62" s="221"/>
    </row>
    <row r="63" spans="1:14">
      <c r="A63" s="4" t="s">
        <v>522</v>
      </c>
      <c r="B63" s="222" t="s">
        <v>52</v>
      </c>
    </row>
    <row r="64" spans="1:14">
      <c r="A64" s="4" t="s">
        <v>533</v>
      </c>
      <c r="B64" s="160"/>
      <c r="C64" s="235" t="s">
        <v>531</v>
      </c>
    </row>
    <row r="65" spans="1:3">
      <c r="A65" s="234" t="s">
        <v>523</v>
      </c>
      <c r="B65" s="223">
        <v>0.15</v>
      </c>
      <c r="C65" s="235" t="s">
        <v>532</v>
      </c>
    </row>
    <row r="66" spans="1:3">
      <c r="A66" s="128"/>
    </row>
  </sheetData>
  <mergeCells count="3">
    <mergeCell ref="A39:B39"/>
    <mergeCell ref="A3:J3"/>
    <mergeCell ref="E29:J29"/>
  </mergeCells>
  <phoneticPr fontId="7" type="noConversion"/>
  <dataValidations disablePrompts="1" count="1">
    <dataValidation type="decimal" allowBlank="1" showInputMessage="1" showErrorMessage="1" promptTitle="No negative tax rates" prompt="While it is possible for an effective tax rate to be less than 0% or greater than 100% in any given year, it is dangerous to build off these tax rates for making future projections. If less than zero, enter zero. If greater than the 100%, go with the marg" sqref="B20" xr:uid="{00000000-0002-0000-0000-000000000000}">
      <formula1>0</formula1>
      <formula2>1</formula2>
    </dataValidation>
  </dataValidations>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disablePrompts="1" count="5">
        <x14:dataValidation type="list" allowBlank="1" showInputMessage="1" showErrorMessage="1" xr:uid="{00000000-0002-0000-0000-000002000000}">
          <x14:formula1>
            <xm:f>'Industry Average Beta (US)'!$A$2:$A$95</xm:f>
          </x14:formula1>
          <xm:sqref>B6</xm:sqref>
        </x14:dataValidation>
        <x14:dataValidation type="list" allowBlank="1" showInputMessage="1" showErrorMessage="1" xr:uid="{00000000-0002-0000-0000-000003000000}">
          <x14:formula1>
            <xm:f>'Industry Average Beta (Global)'!$A$2:$A$95</xm:f>
          </x14:formula1>
          <xm:sqref>B7</xm:sqref>
        </x14:dataValidation>
        <x14:dataValidation type="list" allowBlank="1" showInputMessage="1" showErrorMessage="1" xr:uid="{00000000-0002-0000-0000-000004000000}">
          <x14:formula1>
            <xm:f>'Answer keys'!$A$2:$A$3</xm:f>
          </x14:formula1>
          <xm:sqref>B13:B14 B33 B41 B44 B47 B52 B54 B60 B63 B57</xm:sqref>
        </x14:dataValidation>
        <x14:dataValidation type="list" allowBlank="1" showInputMessage="1" showErrorMessage="1" xr:uid="{00000000-0002-0000-0000-000005000000}">
          <x14:formula1>
            <xm:f>'Answer keys'!$B$2:$B$3</xm:f>
          </x14:formula1>
          <xm:sqref>B49</xm:sqref>
        </x14:dataValidation>
        <x14:dataValidation type="list" allowBlank="1" showInputMessage="1" showErrorMessage="1" xr:uid="{00000000-0002-0000-0000-000001000000}">
          <x14:formula1>
            <xm:f>'Country equity risk premiums'!$A$5:$A$181</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0"/>
  <sheetViews>
    <sheetView topLeftCell="A13" zoomScale="65" zoomScaleNormal="65" workbookViewId="0">
      <selection activeCell="I9" sqref="I9"/>
    </sheetView>
  </sheetViews>
  <sheetFormatPr defaultColWidth="11.19921875" defaultRowHeight="15.5"/>
  <cols>
    <col min="1" max="1" width="33.69921875" style="45" bestFit="1" customWidth="1"/>
    <col min="2" max="2" width="20.296875" style="45" customWidth="1"/>
    <col min="3" max="13" width="19" style="48" bestFit="1" customWidth="1"/>
    <col min="14" max="14" width="16.69921875" bestFit="1" customWidth="1"/>
  </cols>
  <sheetData>
    <row r="1" spans="1:14">
      <c r="A1" s="42"/>
      <c r="B1" s="43" t="s">
        <v>14</v>
      </c>
      <c r="C1" s="43">
        <v>1</v>
      </c>
      <c r="D1" s="43">
        <v>2</v>
      </c>
      <c r="E1" s="43">
        <v>3</v>
      </c>
      <c r="F1" s="43">
        <v>4</v>
      </c>
      <c r="G1" s="43">
        <v>5</v>
      </c>
      <c r="H1" s="43">
        <v>6</v>
      </c>
      <c r="I1" s="43">
        <v>7</v>
      </c>
      <c r="J1" s="43">
        <v>8</v>
      </c>
      <c r="K1" s="43">
        <v>9</v>
      </c>
      <c r="L1" s="43">
        <v>10</v>
      </c>
      <c r="M1" s="47" t="s">
        <v>45</v>
      </c>
    </row>
    <row r="2" spans="1:14">
      <c r="A2" s="45" t="s">
        <v>20</v>
      </c>
      <c r="B2" s="77"/>
      <c r="C2" s="78">
        <f>'Input sheet'!B23</f>
        <v>-0.14185709219051371</v>
      </c>
      <c r="D2" s="78">
        <f>'Input sheet'!B25</f>
        <v>0.1</v>
      </c>
      <c r="E2" s="78">
        <f>D2</f>
        <v>0.1</v>
      </c>
      <c r="F2" s="78">
        <f>E2</f>
        <v>0.1</v>
      </c>
      <c r="G2" s="78">
        <f>F2</f>
        <v>0.1</v>
      </c>
      <c r="H2" s="78">
        <f>G2-((G2-$M$2)/5)</f>
        <v>0.10400000000000001</v>
      </c>
      <c r="I2" s="78">
        <f>G2-((G2-$M$2)/5)*2</f>
        <v>0.108</v>
      </c>
      <c r="J2" s="78">
        <f>G2-((G2-$M$2)/5)*3</f>
        <v>0.112</v>
      </c>
      <c r="K2" s="78">
        <f>G2-((G2-$M$2)/5)*4</f>
        <v>0.11599999999999999</v>
      </c>
      <c r="L2" s="78">
        <f>G2-((G2-$M$2)/5)*5</f>
        <v>0.12</v>
      </c>
      <c r="M2" s="79">
        <f>IF('Input sheet'!B60="Yes",'Input sheet'!B61,IF('Input sheet'!B57="Yes",'Input sheet'!B58,'Input sheet'!B30))</f>
        <v>0.12</v>
      </c>
    </row>
    <row r="3" spans="1:14" ht="15" customHeight="1">
      <c r="A3" s="45" t="s">
        <v>11</v>
      </c>
      <c r="B3" s="80">
        <f>'Input sheet'!B8</f>
        <v>122727566</v>
      </c>
      <c r="C3" s="81">
        <f>B3*(1+C2)</f>
        <v>105317790.35562065</v>
      </c>
      <c r="D3" s="81">
        <f t="shared" ref="D3:L3" si="0">C3*(1+D2)</f>
        <v>115849569.39118272</v>
      </c>
      <c r="E3" s="81">
        <f t="shared" si="0"/>
        <v>127434526.330301</v>
      </c>
      <c r="F3" s="81">
        <f t="shared" si="0"/>
        <v>140177978.9633311</v>
      </c>
      <c r="G3" s="81">
        <f t="shared" si="0"/>
        <v>154195776.85966423</v>
      </c>
      <c r="H3" s="81">
        <f t="shared" si="0"/>
        <v>170232137.65306932</v>
      </c>
      <c r="I3" s="81">
        <f t="shared" si="0"/>
        <v>188617208.51960081</v>
      </c>
      <c r="J3" s="81">
        <f t="shared" si="0"/>
        <v>209742335.87379611</v>
      </c>
      <c r="K3" s="81">
        <f t="shared" si="0"/>
        <v>234072446.83515647</v>
      </c>
      <c r="L3" s="81">
        <f t="shared" si="0"/>
        <v>262161140.45537528</v>
      </c>
      <c r="M3" s="96">
        <f>L3*(1+M2)</f>
        <v>293620477.31002033</v>
      </c>
    </row>
    <row r="4" spans="1:14" ht="15" customHeight="1">
      <c r="A4" s="45" t="s">
        <v>26</v>
      </c>
      <c r="B4" s="82">
        <f>B5/B3</f>
        <v>6.5377154143185734E-2</v>
      </c>
      <c r="C4" s="78">
        <f>'Input sheet'!B24</f>
        <v>-6.4000000000000001E-2</v>
      </c>
      <c r="D4" s="78">
        <f>IF(D1&gt;'Input sheet'!$B$27,'Input sheet'!$B$26,'Input sheet'!$B$26-(('Input sheet'!$B$26-$C$4)/'Input sheet'!$B$27)*('Input sheet'!$B$27-D1))</f>
        <v>0.1225</v>
      </c>
      <c r="E4" s="78">
        <f>IF(E1&gt;'Input sheet'!$B$27,'Input sheet'!$B$26,'Input sheet'!$B$26-(('Input sheet'!$B$26-$C$4)/'Input sheet'!$B$27)*('Input sheet'!$B$27-E1))</f>
        <v>0.1225</v>
      </c>
      <c r="F4" s="78">
        <f>IF(F1&gt;'Input sheet'!$B$27,'Input sheet'!$B$26,'Input sheet'!$B$26-(('Input sheet'!$B$26-$C$4)/'Input sheet'!$B$27)*('Input sheet'!$B$27-F1))</f>
        <v>0.1225</v>
      </c>
      <c r="G4" s="78">
        <f>IF(G1&gt;'Input sheet'!$B$27,'Input sheet'!$B$26,'Input sheet'!$B$26-(('Input sheet'!$B$26-$C$4)/'Input sheet'!$B$27)*('Input sheet'!$B$27-G1))</f>
        <v>0.1225</v>
      </c>
      <c r="H4" s="78">
        <f>IF(H1&gt;'Input sheet'!$B$27,'Input sheet'!$B$26,'Input sheet'!$B$26-(('Input sheet'!$B$26-$B$4)/'Input sheet'!$B$27)*('Input sheet'!$B$27-H1))</f>
        <v>0.1225</v>
      </c>
      <c r="I4" s="78">
        <f>IF(I1&gt;'Input sheet'!$B$27,'Input sheet'!$B$26,'Input sheet'!$B$26-(('Input sheet'!$B$26-$B$4)/'Input sheet'!$B$27)*('Input sheet'!$B$27-I1))</f>
        <v>0.1225</v>
      </c>
      <c r="J4" s="78">
        <f>IF(J1&gt;'Input sheet'!$B$27,'Input sheet'!$B$26,'Input sheet'!$B$26-(('Input sheet'!$B$26-$B$4)/'Input sheet'!$B$27)*('Input sheet'!$B$27-J1))</f>
        <v>0.1225</v>
      </c>
      <c r="K4" s="78">
        <f>IF(K1&gt;'Input sheet'!$B$27,'Input sheet'!$B$26,'Input sheet'!$B$26-(('Input sheet'!$B$26-$B$4)/'Input sheet'!$B$27)*('Input sheet'!$B$27-K1))</f>
        <v>0.1225</v>
      </c>
      <c r="L4" s="78">
        <f>IF(L1&gt;'Input sheet'!$B$27,'Input sheet'!$B$26,'Input sheet'!$B$26-(('Input sheet'!$B$26-$B$4)/'Input sheet'!$B$27)*('Input sheet'!$B$27-L1))</f>
        <v>0.1225</v>
      </c>
      <c r="M4" s="79">
        <f>L4</f>
        <v>0.1225</v>
      </c>
    </row>
    <row r="5" spans="1:14" ht="15" customHeight="1">
      <c r="A5" s="45" t="s">
        <v>25</v>
      </c>
      <c r="B5" s="80">
        <f>IF('Input sheet'!B14="Yes",IF('Input sheet'!B13="Yes",'Input sheet'!B9+'Operating lease converter'!F32+'R&amp; D converter'!D39,'Input sheet'!B9+'Operating lease converter'!F32),IF('Input sheet'!B13="Yes",'Input sheet'!B9+'R&amp; D converter'!D39,'Input sheet'!B9))</f>
        <v>8023579</v>
      </c>
      <c r="C5" s="81">
        <f t="shared" ref="C5:M5" si="1">C4*C3</f>
        <v>-6740338.5827597221</v>
      </c>
      <c r="D5" s="81">
        <f t="shared" si="1"/>
        <v>14191572.250419883</v>
      </c>
      <c r="E5" s="81">
        <f t="shared" si="1"/>
        <v>15610729.475461872</v>
      </c>
      <c r="F5" s="81">
        <f t="shared" si="1"/>
        <v>17171802.423008058</v>
      </c>
      <c r="G5" s="81">
        <f t="shared" si="1"/>
        <v>18888982.665308867</v>
      </c>
      <c r="H5" s="81">
        <f t="shared" si="1"/>
        <v>20853436.862500992</v>
      </c>
      <c r="I5" s="81">
        <f t="shared" si="1"/>
        <v>23105608.0436511</v>
      </c>
      <c r="J5" s="81">
        <f t="shared" si="1"/>
        <v>25693436.144540023</v>
      </c>
      <c r="K5" s="81">
        <f t="shared" si="1"/>
        <v>28673874.737306666</v>
      </c>
      <c r="L5" s="81">
        <f t="shared" si="1"/>
        <v>32114739.705783471</v>
      </c>
      <c r="M5" s="96">
        <f t="shared" si="1"/>
        <v>35968508.470477492</v>
      </c>
      <c r="N5" s="98">
        <f>M5-B5</f>
        <v>27944929.470477492</v>
      </c>
    </row>
    <row r="6" spans="1:14" ht="15" customHeight="1">
      <c r="A6" s="45" t="s">
        <v>140</v>
      </c>
      <c r="B6" s="83">
        <f>'Input sheet'!B20</f>
        <v>0.21776191425310504</v>
      </c>
      <c r="C6" s="84">
        <f>B6</f>
        <v>0.21776191425310504</v>
      </c>
      <c r="D6" s="84">
        <f>C6</f>
        <v>0.21776191425310504</v>
      </c>
      <c r="E6" s="84">
        <f>D6</f>
        <v>0.21776191425310504</v>
      </c>
      <c r="F6" s="84">
        <f>E6</f>
        <v>0.21776191425310504</v>
      </c>
      <c r="G6" s="84">
        <f>F6</f>
        <v>0.21776191425310504</v>
      </c>
      <c r="H6" s="84">
        <f>G6+($M$6-$G$6)/5</f>
        <v>0.22420953140248404</v>
      </c>
      <c r="I6" s="84">
        <f>H6+($M$6-$G$6)/5</f>
        <v>0.23065714855186303</v>
      </c>
      <c r="J6" s="84">
        <f>I6+($M$6-$G$6)/5</f>
        <v>0.23710476570124203</v>
      </c>
      <c r="K6" s="84">
        <f>J6+($M$6-$G$6)/5</f>
        <v>0.24355238285062103</v>
      </c>
      <c r="L6" s="84">
        <f>K6+($M$6-$G$6)/5</f>
        <v>0.25</v>
      </c>
      <c r="M6" s="84">
        <f>IF('Input sheet'!B52="Yes",'Input sheet'!B20,'Input sheet'!B21)</f>
        <v>0.25</v>
      </c>
    </row>
    <row r="7" spans="1:14" ht="15" customHeight="1">
      <c r="A7" s="45" t="s">
        <v>12</v>
      </c>
      <c r="B7" s="80">
        <f>IF(B5&gt;0,B5*(1-B6),B5)</f>
        <v>6276349.0777989849</v>
      </c>
      <c r="C7" s="81">
        <f>IF(C5&gt;0,IF(C5&lt;B10,C5,C5-(C5-B10)*C6),C5)</f>
        <v>-6740338.5827597221</v>
      </c>
      <c r="D7" s="81">
        <f t="shared" ref="D7:L7" si="2">IF(D5&gt;0,IF(D5&lt;C10,D5,D5-(D5-C10)*D6),D5)</f>
        <v>12568977.343403023</v>
      </c>
      <c r="E7" s="81">
        <f t="shared" si="2"/>
        <v>12211307.141997924</v>
      </c>
      <c r="F7" s="81">
        <f t="shared" si="2"/>
        <v>13432437.856197717</v>
      </c>
      <c r="G7" s="81">
        <f t="shared" si="2"/>
        <v>14775681.64181749</v>
      </c>
      <c r="H7" s="81">
        <f t="shared" si="2"/>
        <v>16177897.555428358</v>
      </c>
      <c r="I7" s="81">
        <f t="shared" si="2"/>
        <v>17776134.376745548</v>
      </c>
      <c r="J7" s="81">
        <f t="shared" si="2"/>
        <v>19601399.987429038</v>
      </c>
      <c r="K7" s="81">
        <f t="shared" si="2"/>
        <v>21690284.219475403</v>
      </c>
      <c r="L7" s="81">
        <f t="shared" si="2"/>
        <v>24086054.779337604</v>
      </c>
      <c r="M7" s="81">
        <f>M5*(1-M6)</f>
        <v>26976381.352858119</v>
      </c>
    </row>
    <row r="8" spans="1:14" ht="15" customHeight="1">
      <c r="A8" s="45" t="s">
        <v>15</v>
      </c>
      <c r="B8" s="80"/>
      <c r="C8" s="322">
        <f>IF(C3&gt;B3,(C3-B3)/'Input sheet'!B28,0)</f>
        <v>0</v>
      </c>
      <c r="D8" s="81">
        <f t="shared" ref="D8:L8" si="3">(D3-C3)/D38</f>
        <v>1914868.9155567398</v>
      </c>
      <c r="E8" s="81">
        <f t="shared" si="3"/>
        <v>2106355.8071124149</v>
      </c>
      <c r="F8" s="81">
        <f t="shared" si="3"/>
        <v>2316991.3878236548</v>
      </c>
      <c r="G8" s="81">
        <f t="shared" si="3"/>
        <v>2548690.5266060233</v>
      </c>
      <c r="H8" s="81">
        <f t="shared" si="3"/>
        <v>2915701.9624372884</v>
      </c>
      <c r="I8" s="81">
        <f t="shared" si="3"/>
        <v>3342740.1575511801</v>
      </c>
      <c r="J8" s="81">
        <f t="shared" si="3"/>
        <v>3840932.2462173267</v>
      </c>
      <c r="K8" s="81">
        <f t="shared" si="3"/>
        <v>4423656.5384291569</v>
      </c>
      <c r="L8" s="81">
        <f t="shared" si="3"/>
        <v>5107035.2036761483</v>
      </c>
      <c r="M8" s="85">
        <f>IF(M2&gt;0,(M2/M40)*M7,0)</f>
        <v>80929144.058574349</v>
      </c>
      <c r="N8" s="98">
        <f>SUM(C8:M8)</f>
        <v>109446116.80398428</v>
      </c>
    </row>
    <row r="9" spans="1:14" ht="15" customHeight="1">
      <c r="A9" s="45" t="s">
        <v>16</v>
      </c>
      <c r="B9" s="80"/>
      <c r="C9" s="81">
        <f t="shared" ref="C9:L9" si="4">C7-C8</f>
        <v>-6740338.5827597221</v>
      </c>
      <c r="D9" s="81">
        <f t="shared" si="4"/>
        <v>10654108.427846283</v>
      </c>
      <c r="E9" s="81">
        <f t="shared" si="4"/>
        <v>10104951.33488551</v>
      </c>
      <c r="F9" s="81">
        <f t="shared" si="4"/>
        <v>11115446.468374062</v>
      </c>
      <c r="G9" s="81">
        <f t="shared" si="4"/>
        <v>12226991.115211466</v>
      </c>
      <c r="H9" s="81">
        <f t="shared" si="4"/>
        <v>13262195.592991069</v>
      </c>
      <c r="I9" s="81">
        <f t="shared" si="4"/>
        <v>14433394.219194368</v>
      </c>
      <c r="J9" s="81">
        <f t="shared" si="4"/>
        <v>15760467.74121171</v>
      </c>
      <c r="K9" s="81">
        <f t="shared" si="4"/>
        <v>17266627.681046247</v>
      </c>
      <c r="L9" s="81">
        <f t="shared" si="4"/>
        <v>18979019.575661454</v>
      </c>
      <c r="M9" s="85">
        <f>M7-M8</f>
        <v>-53952762.70571623</v>
      </c>
    </row>
    <row r="10" spans="1:14" ht="15" customHeight="1">
      <c r="A10" s="45" t="s">
        <v>48</v>
      </c>
      <c r="B10" s="80">
        <f>IF('Input sheet'!B54="Yes",'Input sheet'!B55,0)</f>
        <v>0</v>
      </c>
      <c r="C10" s="81">
        <f>IF(C5&lt;0,B10-C5,IF(B10&gt;C5,B10-C5,0))</f>
        <v>6740338.5827597221</v>
      </c>
      <c r="D10" s="81">
        <f t="shared" ref="D10:M10" si="5">IF(D5&lt;0,C10-D5,IF(C10&gt;D5,C10-D5,0))</f>
        <v>0</v>
      </c>
      <c r="E10" s="81">
        <f t="shared" si="5"/>
        <v>0</v>
      </c>
      <c r="F10" s="81">
        <f t="shared" si="5"/>
        <v>0</v>
      </c>
      <c r="G10" s="81">
        <f t="shared" si="5"/>
        <v>0</v>
      </c>
      <c r="H10" s="81">
        <f t="shared" si="5"/>
        <v>0</v>
      </c>
      <c r="I10" s="81">
        <f t="shared" si="5"/>
        <v>0</v>
      </c>
      <c r="J10" s="81">
        <f t="shared" si="5"/>
        <v>0</v>
      </c>
      <c r="K10" s="81">
        <f t="shared" si="5"/>
        <v>0</v>
      </c>
      <c r="L10" s="81">
        <f t="shared" si="5"/>
        <v>0</v>
      </c>
      <c r="M10" s="81">
        <f t="shared" si="5"/>
        <v>0</v>
      </c>
    </row>
    <row r="11" spans="1:14" ht="15" customHeight="1">
      <c r="B11" s="77"/>
      <c r="C11" s="86"/>
      <c r="D11" s="86"/>
      <c r="E11" s="86"/>
      <c r="F11" s="86"/>
      <c r="G11" s="86"/>
      <c r="H11" s="86"/>
      <c r="I11" s="86"/>
      <c r="J11" s="86"/>
      <c r="K11" s="86"/>
      <c r="L11" s="86"/>
      <c r="M11" s="86"/>
    </row>
    <row r="12" spans="1:14" ht="15" customHeight="1">
      <c r="A12" s="45" t="s">
        <v>145</v>
      </c>
      <c r="B12" s="82"/>
      <c r="C12" s="78">
        <f>'Input sheet'!B31</f>
        <v>0.21138937643467773</v>
      </c>
      <c r="D12" s="78">
        <f>C12</f>
        <v>0.21138937643467773</v>
      </c>
      <c r="E12" s="78">
        <f>D12</f>
        <v>0.21138937643467773</v>
      </c>
      <c r="F12" s="78">
        <f>E12</f>
        <v>0.21138937643467773</v>
      </c>
      <c r="G12" s="78">
        <f>F12</f>
        <v>0.21138937643467773</v>
      </c>
      <c r="H12" s="78">
        <f>G12-($G$12-$M$12)/5</f>
        <v>0.24911150114774219</v>
      </c>
      <c r="I12" s="78">
        <f>H12-($G$12-$M$12)/5</f>
        <v>0.28683362586080663</v>
      </c>
      <c r="J12" s="78">
        <f>I12-($G$12-$M$12)/5</f>
        <v>0.32455575057387109</v>
      </c>
      <c r="K12" s="78">
        <f>J12-($G$12-$M$12)/5</f>
        <v>0.36227787528693556</v>
      </c>
      <c r="L12" s="78">
        <f>K12-($G$12-$M$12)/5</f>
        <v>0.4</v>
      </c>
      <c r="M12" s="79">
        <f>IF('Input sheet'!B41="Yes",'Input sheet'!B42,IF('Input sheet'!B57="Yes",'Input sheet'!B58+'Country equity risk premiums'!B1,'Input sheet'!B30+'Country equity risk premiums'!B1))</f>
        <v>0.4</v>
      </c>
    </row>
    <row r="13" spans="1:14" ht="15" customHeight="1">
      <c r="A13" s="45" t="s">
        <v>146</v>
      </c>
      <c r="B13" s="77"/>
      <c r="C13" s="136">
        <f>1/(1+C12)</f>
        <v>0.8254984065843205</v>
      </c>
      <c r="D13" s="136">
        <f>C13*(1/(1+D12))</f>
        <v>0.68144761927325215</v>
      </c>
      <c r="E13" s="136">
        <f t="shared" ref="E13:L13" si="6">D13*(1/(1+E12))</f>
        <v>0.5625339238807483</v>
      </c>
      <c r="F13" s="136">
        <f t="shared" si="6"/>
        <v>0.46437085781318316</v>
      </c>
      <c r="G13" s="136">
        <f t="shared" si="6"/>
        <v>0.38333740318897674</v>
      </c>
      <c r="H13" s="136">
        <f t="shared" si="6"/>
        <v>0.30688805830123922</v>
      </c>
      <c r="I13" s="136">
        <f t="shared" si="6"/>
        <v>0.23848308913745661</v>
      </c>
      <c r="J13" s="136">
        <f t="shared" si="6"/>
        <v>0.18004760391107166</v>
      </c>
      <c r="K13" s="136">
        <f t="shared" si="6"/>
        <v>0.132166577155302</v>
      </c>
      <c r="L13" s="136">
        <f t="shared" si="6"/>
        <v>9.4404697968072854E-2</v>
      </c>
      <c r="M13" s="86"/>
    </row>
    <row r="14" spans="1:14" ht="15" customHeight="1">
      <c r="A14" s="45" t="s">
        <v>21</v>
      </c>
      <c r="B14" s="77"/>
      <c r="C14" s="81">
        <f t="shared" ref="C14:L14" si="7">C9*C13</f>
        <v>-5564138.7599069681</v>
      </c>
      <c r="D14" s="81">
        <f t="shared" si="7"/>
        <v>7260216.8236349411</v>
      </c>
      <c r="E14" s="81">
        <f t="shared" si="7"/>
        <v>5684377.9250371512</v>
      </c>
      <c r="F14" s="81">
        <f t="shared" si="7"/>
        <v>5161689.411495381</v>
      </c>
      <c r="G14" s="81">
        <f t="shared" si="7"/>
        <v>4687063.0229198541</v>
      </c>
      <c r="H14" s="81">
        <f t="shared" si="7"/>
        <v>4070009.454344281</v>
      </c>
      <c r="I14" s="81">
        <f t="shared" si="7"/>
        <v>3442120.4401321812</v>
      </c>
      <c r="J14" s="81">
        <f t="shared" si="7"/>
        <v>2837634.4533229084</v>
      </c>
      <c r="K14" s="81">
        <f t="shared" si="7"/>
        <v>2282071.0796188721</v>
      </c>
      <c r="L14" s="81">
        <f t="shared" si="7"/>
        <v>1791708.6107704618</v>
      </c>
      <c r="M14" s="86"/>
    </row>
    <row r="15" spans="1:14" ht="15" customHeight="1"/>
    <row r="16" spans="1:14" ht="15" customHeight="1">
      <c r="A16" s="44" t="s">
        <v>22</v>
      </c>
      <c r="B16" s="80">
        <f>M9</f>
        <v>-53952762.70571623</v>
      </c>
    </row>
    <row r="17" spans="1:4" ht="15" customHeight="1">
      <c r="A17" s="44" t="s">
        <v>142</v>
      </c>
      <c r="B17" s="82">
        <f>M12</f>
        <v>0.4</v>
      </c>
    </row>
    <row r="18" spans="1:4">
      <c r="A18" s="44" t="s">
        <v>23</v>
      </c>
      <c r="B18" s="80">
        <f>B16/(B17-M2)</f>
        <v>-192688438.2347008</v>
      </c>
      <c r="D18" s="137"/>
    </row>
    <row r="19" spans="1:4">
      <c r="A19" s="44" t="s">
        <v>24</v>
      </c>
      <c r="B19" s="87">
        <f>B18*L13</f>
        <v>-18190693.813486591</v>
      </c>
    </row>
    <row r="20" spans="1:4">
      <c r="A20" s="44" t="s">
        <v>46</v>
      </c>
      <c r="B20" s="87">
        <f>SUM(C14:L14)</f>
        <v>31652752.46136906</v>
      </c>
    </row>
    <row r="21" spans="1:4">
      <c r="A21" s="44" t="s">
        <v>47</v>
      </c>
      <c r="B21" s="87">
        <f>B19+B20</f>
        <v>13462058.647882469</v>
      </c>
    </row>
    <row r="22" spans="1:4">
      <c r="A22" s="44" t="s">
        <v>110</v>
      </c>
      <c r="B22" s="88">
        <f>IF('Input sheet'!B47="Yes",'Input sheet'!B48,0)</f>
        <v>0.1</v>
      </c>
    </row>
    <row r="23" spans="1:4">
      <c r="A23" s="44" t="s">
        <v>111</v>
      </c>
      <c r="B23" s="89">
        <f>IF('Input sheet'!B49="B",('Input sheet'!B11+'Input sheet'!B12)*'Input sheet'!B50,'Valuation output'!B21*'Input sheet'!B50)</f>
        <v>45986011.504999995</v>
      </c>
    </row>
    <row r="24" spans="1:4">
      <c r="A24" s="44" t="s">
        <v>44</v>
      </c>
      <c r="B24" s="80">
        <f>B21*(1-B22)+B23*B22</f>
        <v>16714453.933594221</v>
      </c>
    </row>
    <row r="25" spans="1:4">
      <c r="A25" s="44" t="s">
        <v>387</v>
      </c>
      <c r="B25" s="80">
        <f>IF('Input sheet'!B14="Yes",'Input sheet'!B12+'Operating lease converter'!C28,'Input sheet'!B12)</f>
        <v>19189422.149999999</v>
      </c>
    </row>
    <row r="26" spans="1:4">
      <c r="A26" s="44" t="s">
        <v>389</v>
      </c>
      <c r="B26" s="80">
        <f>'Input sheet'!B17</f>
        <v>-15624</v>
      </c>
    </row>
    <row r="27" spans="1:4">
      <c r="A27" s="44" t="s">
        <v>386</v>
      </c>
      <c r="B27" s="80">
        <f>IF('Input sheet'!B63="YES",'Input sheet'!B15-'Input sheet'!B64*('Input sheet'!B21-'Input sheet'!B65),'Input sheet'!B15)</f>
        <v>2681414</v>
      </c>
    </row>
    <row r="28" spans="1:4">
      <c r="A28" s="44" t="s">
        <v>385</v>
      </c>
      <c r="B28" s="80">
        <f>'Input sheet'!B16</f>
        <v>0</v>
      </c>
    </row>
    <row r="29" spans="1:4">
      <c r="A29" s="44" t="s">
        <v>53</v>
      </c>
      <c r="B29" s="87">
        <f>B24-B25-B26+B27+B28</f>
        <v>222069.78359422274</v>
      </c>
    </row>
    <row r="30" spans="1:4">
      <c r="A30" s="44" t="s">
        <v>59</v>
      </c>
      <c r="B30" s="90">
        <f>IF('Input sheet'!B33="No",0,'Option value'!D27)</f>
        <v>0</v>
      </c>
    </row>
    <row r="31" spans="1:4">
      <c r="A31" s="44" t="s">
        <v>60</v>
      </c>
      <c r="B31" s="87">
        <f>B29-B30</f>
        <v>222069.78359422274</v>
      </c>
    </row>
    <row r="32" spans="1:4">
      <c r="A32" s="44" t="s">
        <v>13</v>
      </c>
      <c r="B32" s="91">
        <f>'Input sheet'!B18</f>
        <v>607.20000000000005</v>
      </c>
    </row>
    <row r="33" spans="1:13">
      <c r="A33" s="44" t="s">
        <v>95</v>
      </c>
      <c r="B33" s="92">
        <f>B31/B32</f>
        <v>365.72757508929959</v>
      </c>
    </row>
    <row r="34" spans="1:13">
      <c r="A34" s="44" t="s">
        <v>101</v>
      </c>
      <c r="B34" s="80">
        <f>'Input sheet'!B19</f>
        <v>361</v>
      </c>
    </row>
    <row r="35" spans="1:13">
      <c r="A35" s="44" t="s">
        <v>51</v>
      </c>
      <c r="B35" s="83">
        <f>B34/B33</f>
        <v>0.98707350658985649</v>
      </c>
    </row>
    <row r="37" spans="1:13">
      <c r="A37" s="46" t="s">
        <v>17</v>
      </c>
      <c r="B37" s="77"/>
      <c r="C37" s="86"/>
      <c r="D37" s="86"/>
      <c r="E37" s="86"/>
      <c r="F37" s="86"/>
      <c r="G37" s="86"/>
      <c r="H37" s="86"/>
      <c r="I37" s="86"/>
      <c r="J37" s="86"/>
      <c r="K37" s="86"/>
      <c r="L37" s="86"/>
      <c r="M37" s="86" t="s">
        <v>43</v>
      </c>
    </row>
    <row r="38" spans="1:13">
      <c r="A38" s="44" t="s">
        <v>38</v>
      </c>
      <c r="B38" s="77"/>
      <c r="C38" s="93">
        <f>'Input sheet'!B28</f>
        <v>5.5</v>
      </c>
      <c r="D38" s="93">
        <f>C38</f>
        <v>5.5</v>
      </c>
      <c r="E38" s="93">
        <f t="shared" ref="E38:L38" si="8">D38</f>
        <v>5.5</v>
      </c>
      <c r="F38" s="93">
        <f t="shared" si="8"/>
        <v>5.5</v>
      </c>
      <c r="G38" s="93">
        <f t="shared" si="8"/>
        <v>5.5</v>
      </c>
      <c r="H38" s="93">
        <f t="shared" si="8"/>
        <v>5.5</v>
      </c>
      <c r="I38" s="93">
        <f t="shared" si="8"/>
        <v>5.5</v>
      </c>
      <c r="J38" s="93">
        <f t="shared" si="8"/>
        <v>5.5</v>
      </c>
      <c r="K38" s="93">
        <f t="shared" si="8"/>
        <v>5.5</v>
      </c>
      <c r="L38" s="93">
        <f t="shared" si="8"/>
        <v>5.5</v>
      </c>
      <c r="M38" s="86"/>
    </row>
    <row r="39" spans="1:13">
      <c r="A39" s="44" t="s">
        <v>18</v>
      </c>
      <c r="B39" s="94">
        <f>IF('Input sheet'!B14="Yes",IF('Input sheet'!B13="Yes",'Input sheet'!B11+'Input sheet'!B12-'Input sheet'!B15+'Operating lease converter'!F33+'R&amp; D converter'!D35,'Input sheet'!B11+'Input sheet'!B12-'Input sheet'!B15+'Operating lease converter'!F33),IF('Input sheet'!B13="Yes",'Input sheet'!B11+'Input sheet'!B12-'Input sheet'!B15+'R&amp; D converter'!D35,'Input sheet'!B11+'Input sheet'!B12-'Input sheet'!B15))</f>
        <v>63012888.149999999</v>
      </c>
      <c r="C39" s="95">
        <f t="shared" ref="C39:L39" si="9">B39+C8</f>
        <v>63012888.149999999</v>
      </c>
      <c r="D39" s="95">
        <f t="shared" si="9"/>
        <v>64927757.065556735</v>
      </c>
      <c r="E39" s="95">
        <f t="shared" si="9"/>
        <v>67034112.872669153</v>
      </c>
      <c r="F39" s="95">
        <f t="shared" si="9"/>
        <v>69351104.260492802</v>
      </c>
      <c r="G39" s="95">
        <f t="shared" si="9"/>
        <v>71899794.787098825</v>
      </c>
      <c r="H39" s="95">
        <f t="shared" si="9"/>
        <v>74815496.749536112</v>
      </c>
      <c r="I39" s="95">
        <f t="shared" si="9"/>
        <v>78158236.907087296</v>
      </c>
      <c r="J39" s="95">
        <f t="shared" si="9"/>
        <v>81999169.153304622</v>
      </c>
      <c r="K39" s="95">
        <f t="shared" si="9"/>
        <v>86422825.691733778</v>
      </c>
      <c r="L39" s="95">
        <f t="shared" si="9"/>
        <v>91529860.895409927</v>
      </c>
      <c r="M39" s="86"/>
    </row>
    <row r="40" spans="1:13">
      <c r="A40" s="44" t="s">
        <v>19</v>
      </c>
      <c r="B40" s="82">
        <f t="shared" ref="B40:L40" si="10">B7/B39</f>
        <v>9.9604212123373129E-2</v>
      </c>
      <c r="C40" s="78">
        <f t="shared" si="10"/>
        <v>-0.10696761854042589</v>
      </c>
      <c r="D40" s="78">
        <f t="shared" si="10"/>
        <v>0.19358403726640805</v>
      </c>
      <c r="E40" s="78">
        <f t="shared" si="10"/>
        <v>0.18216556643619972</v>
      </c>
      <c r="F40" s="78">
        <f t="shared" si="10"/>
        <v>0.19368744015587022</v>
      </c>
      <c r="G40" s="78">
        <f t="shared" si="10"/>
        <v>0.2055038082593906</v>
      </c>
      <c r="H40" s="78">
        <f t="shared" si="10"/>
        <v>0.2162372537549003</v>
      </c>
      <c r="I40" s="78">
        <f t="shared" si="10"/>
        <v>0.22743776062755108</v>
      </c>
      <c r="J40" s="78">
        <f t="shared" si="10"/>
        <v>0.23904388532013665</v>
      </c>
      <c r="K40" s="78">
        <f t="shared" si="10"/>
        <v>0.25097865113602791</v>
      </c>
      <c r="L40" s="97">
        <f t="shared" si="10"/>
        <v>0.26314969282932099</v>
      </c>
      <c r="M40" s="78">
        <f>IF('Input sheet'!B44="Yes",'Input sheet'!B45,'Valuation output'!L12)</f>
        <v>0.04</v>
      </c>
    </row>
  </sheetData>
  <phoneticPr fontId="7" type="noConversion"/>
  <pageMargins left="0.75" right="0.75" top="1" bottom="1" header="0.5" footer="0.5"/>
  <pageSetup orientation="landscape" horizontalDpi="4294967292" verticalDpi="4294967292"/>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0"/>
  <sheetViews>
    <sheetView zoomScale="88" zoomScaleNormal="88" workbookViewId="0">
      <selection activeCell="B13" sqref="B13"/>
    </sheetView>
  </sheetViews>
  <sheetFormatPr defaultColWidth="11.19921875" defaultRowHeight="15.5"/>
  <cols>
    <col min="1" max="1" width="21.69921875" style="265" bestFit="1" customWidth="1"/>
    <col min="2" max="2" width="16.69921875" style="265" customWidth="1"/>
    <col min="3" max="3" width="17.69921875" style="265" customWidth="1"/>
    <col min="4" max="4" width="16.5" style="265" customWidth="1"/>
    <col min="5" max="5" width="18.09765625" style="265" customWidth="1"/>
    <col min="6" max="6" width="24.69921875" style="268" customWidth="1"/>
    <col min="7" max="7" width="41.09765625" style="265" bestFit="1" customWidth="1"/>
    <col min="8" max="8" width="17" customWidth="1"/>
    <col min="13" max="13" width="12.5" bestFit="1" customWidth="1"/>
  </cols>
  <sheetData>
    <row r="1" spans="1:11">
      <c r="A1" s="377" t="str">
        <f>'Input sheet'!B2</f>
        <v>BIMAS</v>
      </c>
      <c r="B1" s="378"/>
      <c r="C1" s="378"/>
      <c r="D1" s="378"/>
      <c r="E1" s="378"/>
      <c r="F1" s="379"/>
      <c r="G1" s="325">
        <f>'Input sheet'!B1</f>
        <v>43488</v>
      </c>
    </row>
    <row r="2" spans="1:11">
      <c r="A2" s="431" t="s">
        <v>534</v>
      </c>
      <c r="B2" s="431"/>
      <c r="C2" s="431"/>
      <c r="D2" s="431"/>
      <c r="E2" s="431"/>
      <c r="F2" s="431"/>
      <c r="G2" s="431"/>
    </row>
    <row r="3" spans="1:11" ht="16" customHeight="1">
      <c r="A3" s="386" t="s">
        <v>887</v>
      </c>
      <c r="B3" s="387"/>
      <c r="C3" s="387"/>
      <c r="D3" s="387"/>
      <c r="E3" s="387"/>
      <c r="F3" s="387"/>
      <c r="G3" s="388"/>
      <c r="H3" s="395"/>
      <c r="I3" s="396"/>
      <c r="J3" s="396"/>
      <c r="K3" s="397"/>
    </row>
    <row r="4" spans="1:11" ht="16" customHeight="1">
      <c r="A4" s="389"/>
      <c r="B4" s="390"/>
      <c r="C4" s="390"/>
      <c r="D4" s="390"/>
      <c r="E4" s="390"/>
      <c r="F4" s="390"/>
      <c r="G4" s="391"/>
      <c r="H4" s="398"/>
      <c r="I4" s="399"/>
      <c r="J4" s="399"/>
      <c r="K4" s="400"/>
    </row>
    <row r="5" spans="1:11" ht="12" customHeight="1">
      <c r="A5" s="389"/>
      <c r="B5" s="390"/>
      <c r="C5" s="390"/>
      <c r="D5" s="390"/>
      <c r="E5" s="390"/>
      <c r="F5" s="390"/>
      <c r="G5" s="391"/>
      <c r="H5" s="398"/>
      <c r="I5" s="399"/>
      <c r="J5" s="399"/>
      <c r="K5" s="400"/>
    </row>
    <row r="6" spans="1:11" ht="69" customHeight="1">
      <c r="A6" s="392"/>
      <c r="B6" s="393"/>
      <c r="C6" s="393"/>
      <c r="D6" s="393"/>
      <c r="E6" s="393"/>
      <c r="F6" s="393"/>
      <c r="G6" s="394"/>
      <c r="H6" s="401"/>
      <c r="I6" s="402"/>
      <c r="J6" s="402"/>
      <c r="K6" s="403"/>
    </row>
    <row r="7" spans="1:11">
      <c r="A7" s="432" t="s">
        <v>535</v>
      </c>
      <c r="B7" s="433"/>
      <c r="C7" s="433"/>
      <c r="D7" s="433"/>
      <c r="E7" s="433"/>
      <c r="F7" s="433"/>
      <c r="G7" s="434"/>
    </row>
    <row r="8" spans="1:11">
      <c r="A8" s="242"/>
      <c r="B8" s="237" t="s">
        <v>536</v>
      </c>
      <c r="C8" s="319" t="s">
        <v>886</v>
      </c>
      <c r="D8" s="238" t="s">
        <v>537</v>
      </c>
      <c r="E8" s="237" t="s">
        <v>538</v>
      </c>
      <c r="F8" s="237" t="s">
        <v>43</v>
      </c>
      <c r="G8" s="239" t="s">
        <v>545</v>
      </c>
    </row>
    <row r="9" spans="1:11">
      <c r="A9" s="243" t="s">
        <v>546</v>
      </c>
      <c r="B9" s="244">
        <f>'Valuation output'!B3</f>
        <v>122727566</v>
      </c>
      <c r="C9" s="318">
        <f>'Input sheet'!B23</f>
        <v>-0.14185709219051371</v>
      </c>
      <c r="D9" s="245">
        <f>'Input sheet'!B25</f>
        <v>0.1</v>
      </c>
      <c r="E9" s="245">
        <f>F9</f>
        <v>0.12</v>
      </c>
      <c r="F9" s="245">
        <f>'Valuation output'!M2</f>
        <v>0.12</v>
      </c>
      <c r="G9" s="267" t="s">
        <v>658</v>
      </c>
      <c r="H9" s="404"/>
      <c r="I9" s="405"/>
      <c r="J9" s="405"/>
      <c r="K9" s="406"/>
    </row>
    <row r="10" spans="1:11">
      <c r="A10" s="243" t="s">
        <v>547</v>
      </c>
      <c r="B10" s="245">
        <f>'Valuation output'!B4</f>
        <v>6.5377154143185734E-2</v>
      </c>
      <c r="C10" s="318">
        <f>'Input sheet'!B24</f>
        <v>-6.4000000000000001E-2</v>
      </c>
      <c r="D10" s="247">
        <f>B10</f>
        <v>6.5377154143185734E-2</v>
      </c>
      <c r="E10" s="248">
        <f>F10</f>
        <v>0.1225</v>
      </c>
      <c r="F10" s="245">
        <f>'Valuation output'!M4</f>
        <v>0.1225</v>
      </c>
      <c r="G10" s="323" t="s">
        <v>659</v>
      </c>
      <c r="H10" s="407"/>
      <c r="I10" s="408"/>
      <c r="J10" s="408"/>
      <c r="K10" s="409"/>
    </row>
    <row r="11" spans="1:11">
      <c r="A11" s="243" t="s">
        <v>140</v>
      </c>
      <c r="B11" s="245">
        <f>'Valuation output'!B6</f>
        <v>0.21776191425310504</v>
      </c>
      <c r="C11" s="245"/>
      <c r="D11" s="247">
        <f>B11</f>
        <v>0.21776191425310504</v>
      </c>
      <c r="E11" s="248">
        <f>F11</f>
        <v>0.25</v>
      </c>
      <c r="F11" s="245">
        <f>'Valuation output'!M6</f>
        <v>0.25</v>
      </c>
      <c r="G11" s="270" t="s">
        <v>664</v>
      </c>
      <c r="H11" s="407"/>
      <c r="I11" s="408"/>
      <c r="J11" s="408"/>
      <c r="K11" s="409"/>
    </row>
    <row r="12" spans="1:11">
      <c r="A12" s="243" t="s">
        <v>548</v>
      </c>
      <c r="B12" s="246"/>
      <c r="C12" s="246" t="s">
        <v>662</v>
      </c>
      <c r="D12" s="249"/>
      <c r="E12" s="320">
        <f>'Input sheet'!B28</f>
        <v>5.5</v>
      </c>
      <c r="F12" s="250">
        <f>'Valuation output'!M2/'Valuation output'!M40</f>
        <v>3</v>
      </c>
      <c r="G12" s="270" t="s">
        <v>888</v>
      </c>
      <c r="H12" s="407"/>
      <c r="I12" s="408"/>
      <c r="J12" s="408"/>
      <c r="K12" s="409"/>
    </row>
    <row r="13" spans="1:11">
      <c r="A13" s="272" t="s">
        <v>558</v>
      </c>
      <c r="B13" s="275">
        <f>'Valuation output'!B40</f>
        <v>9.9604212123373129E-2</v>
      </c>
      <c r="C13" s="245" t="s">
        <v>559</v>
      </c>
      <c r="D13" s="277"/>
      <c r="E13" s="321">
        <f>Diagnostics!B6</f>
        <v>0.84480077604524717</v>
      </c>
      <c r="F13" s="273">
        <f>'Valuation output'!M40</f>
        <v>0.04</v>
      </c>
      <c r="G13" s="274" t="s">
        <v>665</v>
      </c>
      <c r="H13" s="407"/>
      <c r="I13" s="408"/>
      <c r="J13" s="408"/>
      <c r="K13" s="409"/>
    </row>
    <row r="14" spans="1:11" ht="16" thickBot="1">
      <c r="A14" s="251" t="s">
        <v>549</v>
      </c>
      <c r="B14" s="276"/>
      <c r="C14" s="246"/>
      <c r="D14" s="247">
        <f>'Valuation output'!C12</f>
        <v>0.21138937643467773</v>
      </c>
      <c r="E14" s="248">
        <f>F14</f>
        <v>0.4</v>
      </c>
      <c r="F14" s="252">
        <f>'Valuation output'!M12</f>
        <v>0.4</v>
      </c>
      <c r="G14" s="271" t="s">
        <v>666</v>
      </c>
      <c r="H14" s="410"/>
      <c r="I14" s="411"/>
      <c r="J14" s="411"/>
      <c r="K14" s="412"/>
    </row>
    <row r="15" spans="1:11" ht="16" thickBot="1">
      <c r="A15" s="435" t="s">
        <v>540</v>
      </c>
      <c r="B15" s="435"/>
      <c r="C15" s="435"/>
      <c r="D15" s="435"/>
      <c r="E15" s="435"/>
      <c r="F15" s="435"/>
      <c r="G15" s="435"/>
    </row>
    <row r="16" spans="1:11">
      <c r="A16" s="236"/>
      <c r="B16" s="240" t="s">
        <v>11</v>
      </c>
      <c r="C16" s="240" t="s">
        <v>539</v>
      </c>
      <c r="D16" s="240" t="s">
        <v>552</v>
      </c>
      <c r="E16" s="240" t="s">
        <v>541</v>
      </c>
      <c r="F16" s="240" t="s">
        <v>550</v>
      </c>
      <c r="G16" s="279" t="s">
        <v>16</v>
      </c>
      <c r="H16" s="413" t="s">
        <v>557</v>
      </c>
      <c r="I16" s="414"/>
      <c r="J16" s="414"/>
      <c r="K16" s="415"/>
    </row>
    <row r="17" spans="1:11">
      <c r="A17" s="253">
        <v>1</v>
      </c>
      <c r="B17" s="254">
        <f>'Valuation output'!C3</f>
        <v>105317790.35562065</v>
      </c>
      <c r="C17" s="255">
        <f>'Valuation output'!C4</f>
        <v>-6.4000000000000001E-2</v>
      </c>
      <c r="D17" s="244">
        <f>B17*C17</f>
        <v>-6740338.5827597221</v>
      </c>
      <c r="E17" s="254">
        <f>'Valuation output'!C7</f>
        <v>-6740338.5827597221</v>
      </c>
      <c r="F17" s="254">
        <f>'Valuation output'!C8</f>
        <v>0</v>
      </c>
      <c r="G17" s="280">
        <f>E17-F17</f>
        <v>-6740338.5827597221</v>
      </c>
      <c r="H17" s="416"/>
      <c r="I17" s="417"/>
      <c r="J17" s="417"/>
      <c r="K17" s="418"/>
    </row>
    <row r="18" spans="1:11">
      <c r="A18" s="253">
        <v>2</v>
      </c>
      <c r="B18" s="254">
        <f>'Valuation output'!D3</f>
        <v>115849569.39118272</v>
      </c>
      <c r="C18" s="255">
        <f>'Valuation output'!D4</f>
        <v>0.1225</v>
      </c>
      <c r="D18" s="244">
        <f t="shared" ref="D18:D27" si="0">B18*C18</f>
        <v>14191572.250419883</v>
      </c>
      <c r="E18" s="254">
        <f>'Valuation output'!D7</f>
        <v>12568977.343403023</v>
      </c>
      <c r="F18" s="254">
        <f>'Valuation output'!D8</f>
        <v>1914868.9155567398</v>
      </c>
      <c r="G18" s="280">
        <f t="shared" ref="G18:G27" si="1">E18-F18</f>
        <v>10654108.427846283</v>
      </c>
      <c r="H18" s="416"/>
      <c r="I18" s="417"/>
      <c r="J18" s="417"/>
      <c r="K18" s="418"/>
    </row>
    <row r="19" spans="1:11">
      <c r="A19" s="253">
        <v>3</v>
      </c>
      <c r="B19" s="254">
        <f>'Valuation output'!E3</f>
        <v>127434526.330301</v>
      </c>
      <c r="C19" s="255">
        <f>'Valuation output'!E4</f>
        <v>0.1225</v>
      </c>
      <c r="D19" s="244">
        <f t="shared" si="0"/>
        <v>15610729.475461872</v>
      </c>
      <c r="E19" s="254">
        <f>'Valuation output'!E7</f>
        <v>12211307.141997924</v>
      </c>
      <c r="F19" s="254">
        <f>'Valuation output'!E8</f>
        <v>2106355.8071124149</v>
      </c>
      <c r="G19" s="280">
        <f t="shared" si="1"/>
        <v>10104951.33488551</v>
      </c>
      <c r="H19" s="416"/>
      <c r="I19" s="417"/>
      <c r="J19" s="417"/>
      <c r="K19" s="418"/>
    </row>
    <row r="20" spans="1:11">
      <c r="A20" s="253">
        <v>4</v>
      </c>
      <c r="B20" s="254">
        <f>'Valuation output'!F3</f>
        <v>140177978.9633311</v>
      </c>
      <c r="C20" s="255">
        <f>'Valuation output'!F4</f>
        <v>0.1225</v>
      </c>
      <c r="D20" s="244">
        <f t="shared" si="0"/>
        <v>17171802.423008058</v>
      </c>
      <c r="E20" s="254">
        <f>'Valuation output'!F7</f>
        <v>13432437.856197717</v>
      </c>
      <c r="F20" s="254">
        <f>'Valuation output'!F8</f>
        <v>2316991.3878236548</v>
      </c>
      <c r="G20" s="280">
        <f t="shared" si="1"/>
        <v>11115446.468374062</v>
      </c>
      <c r="H20" s="416"/>
      <c r="I20" s="417"/>
      <c r="J20" s="417"/>
      <c r="K20" s="418"/>
    </row>
    <row r="21" spans="1:11">
      <c r="A21" s="253">
        <v>5</v>
      </c>
      <c r="B21" s="254">
        <f>'Valuation output'!G3</f>
        <v>154195776.85966423</v>
      </c>
      <c r="C21" s="255">
        <f>'Valuation output'!G4</f>
        <v>0.1225</v>
      </c>
      <c r="D21" s="244">
        <f t="shared" si="0"/>
        <v>18888982.665308867</v>
      </c>
      <c r="E21" s="254">
        <f>'Valuation output'!G7</f>
        <v>14775681.64181749</v>
      </c>
      <c r="F21" s="254">
        <f>'Valuation output'!G8</f>
        <v>2548690.5266060233</v>
      </c>
      <c r="G21" s="280">
        <f t="shared" si="1"/>
        <v>12226991.115211466</v>
      </c>
      <c r="H21" s="416"/>
      <c r="I21" s="417"/>
      <c r="J21" s="417"/>
      <c r="K21" s="418"/>
    </row>
    <row r="22" spans="1:11">
      <c r="A22" s="253">
        <v>6</v>
      </c>
      <c r="B22" s="254">
        <f>'Valuation output'!H3</f>
        <v>170232137.65306932</v>
      </c>
      <c r="C22" s="255">
        <f>'Valuation output'!H4</f>
        <v>0.1225</v>
      </c>
      <c r="D22" s="244">
        <f t="shared" si="0"/>
        <v>20853436.862500992</v>
      </c>
      <c r="E22" s="254">
        <f>'Valuation output'!H7</f>
        <v>16177897.555428358</v>
      </c>
      <c r="F22" s="254">
        <f>'Valuation output'!H8</f>
        <v>2915701.9624372884</v>
      </c>
      <c r="G22" s="280">
        <f t="shared" si="1"/>
        <v>13262195.592991069</v>
      </c>
      <c r="H22" s="416"/>
      <c r="I22" s="417"/>
      <c r="J22" s="417"/>
      <c r="K22" s="418"/>
    </row>
    <row r="23" spans="1:11">
      <c r="A23" s="253">
        <v>7</v>
      </c>
      <c r="B23" s="254">
        <f>'Valuation output'!I3</f>
        <v>188617208.51960081</v>
      </c>
      <c r="C23" s="255">
        <f>'Valuation output'!I4</f>
        <v>0.1225</v>
      </c>
      <c r="D23" s="244">
        <f t="shared" si="0"/>
        <v>23105608.0436511</v>
      </c>
      <c r="E23" s="254">
        <f>'Valuation output'!I7</f>
        <v>17776134.376745548</v>
      </c>
      <c r="F23" s="254">
        <f>'Valuation output'!I8</f>
        <v>3342740.1575511801</v>
      </c>
      <c r="G23" s="280">
        <f t="shared" si="1"/>
        <v>14433394.219194368</v>
      </c>
      <c r="H23" s="416"/>
      <c r="I23" s="417"/>
      <c r="J23" s="417"/>
      <c r="K23" s="418"/>
    </row>
    <row r="24" spans="1:11">
      <c r="A24" s="253">
        <v>8</v>
      </c>
      <c r="B24" s="254">
        <f>'Valuation output'!J3</f>
        <v>209742335.87379611</v>
      </c>
      <c r="C24" s="255">
        <f>'Valuation output'!J4</f>
        <v>0.1225</v>
      </c>
      <c r="D24" s="244">
        <f t="shared" si="0"/>
        <v>25693436.144540023</v>
      </c>
      <c r="E24" s="254">
        <f>'Valuation output'!J7</f>
        <v>19601399.987429038</v>
      </c>
      <c r="F24" s="254">
        <f>'Valuation output'!J8</f>
        <v>3840932.2462173267</v>
      </c>
      <c r="G24" s="280">
        <f t="shared" si="1"/>
        <v>15760467.74121171</v>
      </c>
      <c r="H24" s="416"/>
      <c r="I24" s="417"/>
      <c r="J24" s="417"/>
      <c r="K24" s="418"/>
    </row>
    <row r="25" spans="1:11">
      <c r="A25" s="253">
        <v>9</v>
      </c>
      <c r="B25" s="254">
        <f>'Valuation output'!K3</f>
        <v>234072446.83515647</v>
      </c>
      <c r="C25" s="255">
        <f>'Valuation output'!K4</f>
        <v>0.1225</v>
      </c>
      <c r="D25" s="244">
        <f t="shared" si="0"/>
        <v>28673874.737306666</v>
      </c>
      <c r="E25" s="254">
        <f>'Valuation output'!K7</f>
        <v>21690284.219475403</v>
      </c>
      <c r="F25" s="254">
        <f>'Valuation output'!K8</f>
        <v>4423656.5384291569</v>
      </c>
      <c r="G25" s="280">
        <f t="shared" si="1"/>
        <v>17266627.681046247</v>
      </c>
      <c r="H25" s="416"/>
      <c r="I25" s="417"/>
      <c r="J25" s="417"/>
      <c r="K25" s="418"/>
    </row>
    <row r="26" spans="1:11">
      <c r="A26" s="253">
        <v>10</v>
      </c>
      <c r="B26" s="254">
        <f>'Valuation output'!L3</f>
        <v>262161140.45537528</v>
      </c>
      <c r="C26" s="255">
        <f>'Valuation output'!L4</f>
        <v>0.1225</v>
      </c>
      <c r="D26" s="244">
        <f t="shared" si="0"/>
        <v>32114739.705783471</v>
      </c>
      <c r="E26" s="254">
        <f>'Valuation output'!L7</f>
        <v>24086054.779337604</v>
      </c>
      <c r="F26" s="254">
        <f>'Valuation output'!L8</f>
        <v>5107035.2036761483</v>
      </c>
      <c r="G26" s="280">
        <f t="shared" si="1"/>
        <v>18979019.575661454</v>
      </c>
      <c r="H26" s="416"/>
      <c r="I26" s="417"/>
      <c r="J26" s="417"/>
      <c r="K26" s="418"/>
    </row>
    <row r="27" spans="1:11" ht="16" thickBot="1">
      <c r="A27" s="256" t="s">
        <v>45</v>
      </c>
      <c r="B27" s="257">
        <f>'Valuation output'!M3</f>
        <v>293620477.31002033</v>
      </c>
      <c r="C27" s="258">
        <f>'Valuation output'!M4</f>
        <v>0.1225</v>
      </c>
      <c r="D27" s="244">
        <f t="shared" si="0"/>
        <v>35968508.470477492</v>
      </c>
      <c r="E27" s="257">
        <f>'Valuation output'!M7</f>
        <v>26976381.352858119</v>
      </c>
      <c r="F27" s="257">
        <f>'Valuation output'!M8</f>
        <v>80929144.058574349</v>
      </c>
      <c r="G27" s="280">
        <f t="shared" si="1"/>
        <v>-53952762.70571623</v>
      </c>
      <c r="H27" s="419"/>
      <c r="I27" s="420"/>
      <c r="J27" s="420"/>
      <c r="K27" s="421"/>
    </row>
    <row r="28" spans="1:11" ht="16" thickBot="1">
      <c r="A28" s="435" t="s">
        <v>542</v>
      </c>
      <c r="B28" s="435"/>
      <c r="C28" s="435"/>
      <c r="D28" s="435"/>
      <c r="E28" s="435"/>
      <c r="F28" s="435"/>
      <c r="G28" s="435"/>
    </row>
    <row r="29" spans="1:11">
      <c r="A29" s="383" t="s">
        <v>543</v>
      </c>
      <c r="B29" s="384"/>
      <c r="C29" s="385"/>
      <c r="D29" s="259">
        <f>'Valuation output'!B18</f>
        <v>-192688438.2347008</v>
      </c>
      <c r="E29" s="260"/>
      <c r="F29" s="261"/>
      <c r="G29" s="262"/>
      <c r="H29" s="422" t="s">
        <v>560</v>
      </c>
      <c r="I29" s="408"/>
      <c r="J29" s="408"/>
      <c r="K29" s="408"/>
    </row>
    <row r="30" spans="1:11">
      <c r="A30" s="380" t="s">
        <v>544</v>
      </c>
      <c r="B30" s="381"/>
      <c r="C30" s="382"/>
      <c r="D30" s="263">
        <f>'Valuation output'!B19</f>
        <v>-18190693.813486591</v>
      </c>
      <c r="E30" s="264"/>
      <c r="F30" s="265"/>
      <c r="G30" s="266"/>
      <c r="H30" s="422"/>
      <c r="I30" s="408"/>
      <c r="J30" s="408"/>
      <c r="K30" s="408"/>
    </row>
    <row r="31" spans="1:11">
      <c r="A31" s="380" t="s">
        <v>46</v>
      </c>
      <c r="B31" s="381"/>
      <c r="C31" s="382"/>
      <c r="D31" s="263">
        <f>'Valuation output'!B20</f>
        <v>31652752.46136906</v>
      </c>
      <c r="E31" s="264"/>
      <c r="F31" s="265"/>
      <c r="G31" s="266"/>
      <c r="H31" s="422"/>
      <c r="I31" s="408"/>
      <c r="J31" s="408"/>
      <c r="K31" s="408"/>
    </row>
    <row r="32" spans="1:11">
      <c r="A32" s="380" t="s">
        <v>44</v>
      </c>
      <c r="B32" s="381"/>
      <c r="C32" s="382"/>
      <c r="D32" s="263">
        <f>'Valuation output'!B21</f>
        <v>13462058.647882469</v>
      </c>
      <c r="E32" s="264"/>
      <c r="F32" s="265"/>
      <c r="G32" s="266"/>
      <c r="H32" s="422"/>
      <c r="I32" s="408"/>
      <c r="J32" s="408"/>
      <c r="K32" s="408"/>
    </row>
    <row r="33" spans="1:13">
      <c r="A33" s="380" t="s">
        <v>553</v>
      </c>
      <c r="B33" s="381"/>
      <c r="C33" s="382"/>
      <c r="D33" s="281">
        <f>D32-'Valuation output'!B24</f>
        <v>-3252395.2857117523</v>
      </c>
      <c r="E33" s="423" t="s">
        <v>110</v>
      </c>
      <c r="F33" s="424"/>
      <c r="G33" s="282">
        <f>'Valuation output'!B22</f>
        <v>0.1</v>
      </c>
      <c r="H33" s="408"/>
      <c r="I33" s="408"/>
      <c r="J33" s="408"/>
      <c r="K33" s="408"/>
    </row>
    <row r="34" spans="1:13">
      <c r="A34" s="380" t="s">
        <v>667</v>
      </c>
      <c r="B34" s="381"/>
      <c r="C34" s="382"/>
      <c r="D34" s="263">
        <f>'Valuation output'!B25+'Valuation output'!B26</f>
        <v>19173798.149999999</v>
      </c>
      <c r="E34" s="264"/>
      <c r="F34" s="265"/>
      <c r="G34" s="266"/>
      <c r="H34" s="422"/>
      <c r="I34" s="408"/>
      <c r="J34" s="408"/>
      <c r="K34" s="408"/>
    </row>
    <row r="35" spans="1:13">
      <c r="A35" s="380" t="s">
        <v>554</v>
      </c>
      <c r="B35" s="381"/>
      <c r="C35" s="382"/>
      <c r="D35" s="263">
        <f>'Valuation output'!B27+'Valuation output'!B28</f>
        <v>2681414</v>
      </c>
      <c r="E35" s="264"/>
      <c r="F35" s="265"/>
      <c r="G35" s="266"/>
      <c r="H35" s="422"/>
      <c r="I35" s="408"/>
      <c r="J35" s="408"/>
      <c r="K35" s="408"/>
    </row>
    <row r="36" spans="1:13">
      <c r="A36" s="380" t="s">
        <v>53</v>
      </c>
      <c r="B36" s="381"/>
      <c r="C36" s="382"/>
      <c r="D36" s="263">
        <f>D32-D33-D34+D35</f>
        <v>222069.78359422274</v>
      </c>
      <c r="E36" s="264"/>
      <c r="F36" s="265"/>
      <c r="G36" s="266"/>
      <c r="H36" s="422"/>
      <c r="I36" s="408"/>
      <c r="J36" s="408"/>
      <c r="K36" s="408"/>
    </row>
    <row r="37" spans="1:13">
      <c r="A37" s="380" t="s">
        <v>555</v>
      </c>
      <c r="B37" s="381"/>
      <c r="C37" s="382"/>
      <c r="D37" s="263">
        <f>'Valuation output'!B30</f>
        <v>0</v>
      </c>
      <c r="E37" s="264"/>
      <c r="F37" s="265"/>
      <c r="G37" s="266"/>
      <c r="H37" s="422"/>
      <c r="I37" s="408"/>
      <c r="J37" s="408"/>
      <c r="K37" s="408"/>
    </row>
    <row r="38" spans="1:13" ht="16" thickBot="1">
      <c r="A38" s="425" t="s">
        <v>551</v>
      </c>
      <c r="B38" s="426"/>
      <c r="C38" s="426"/>
      <c r="D38" s="269">
        <f>'Valuation output'!B32</f>
        <v>607.20000000000005</v>
      </c>
      <c r="G38" s="266"/>
      <c r="H38" s="422"/>
      <c r="I38" s="408"/>
      <c r="J38" s="408"/>
      <c r="K38" s="408"/>
    </row>
    <row r="39" spans="1:13" ht="16" thickBot="1">
      <c r="A39" s="427" t="s">
        <v>528</v>
      </c>
      <c r="B39" s="428"/>
      <c r="C39" s="428"/>
      <c r="D39" s="241">
        <f>(D36-D37)/D38</f>
        <v>365.72757508929959</v>
      </c>
      <c r="E39" s="429" t="s">
        <v>556</v>
      </c>
      <c r="F39" s="430"/>
      <c r="G39" s="278">
        <f>'Input sheet'!B19</f>
        <v>361</v>
      </c>
      <c r="H39" s="422"/>
      <c r="I39" s="408"/>
      <c r="J39" s="408"/>
      <c r="K39" s="408"/>
      <c r="M39" s="324"/>
    </row>
    <row r="40" spans="1:13">
      <c r="M40" s="293"/>
    </row>
  </sheetData>
  <mergeCells count="23">
    <mergeCell ref="A36:C36"/>
    <mergeCell ref="A2:G2"/>
    <mergeCell ref="A7:G7"/>
    <mergeCell ref="A15:G15"/>
    <mergeCell ref="A28:G28"/>
    <mergeCell ref="A30:C30"/>
    <mergeCell ref="A35:C35"/>
    <mergeCell ref="A1:F1"/>
    <mergeCell ref="A37:C37"/>
    <mergeCell ref="A29:C29"/>
    <mergeCell ref="A3:G6"/>
    <mergeCell ref="H3:K6"/>
    <mergeCell ref="H9:K14"/>
    <mergeCell ref="H16:K27"/>
    <mergeCell ref="H29:K39"/>
    <mergeCell ref="E33:F33"/>
    <mergeCell ref="A38:C38"/>
    <mergeCell ref="A39:C39"/>
    <mergeCell ref="A33:C33"/>
    <mergeCell ref="A32:C32"/>
    <mergeCell ref="E39:F39"/>
    <mergeCell ref="A31:C31"/>
    <mergeCell ref="A34:C34"/>
  </mergeCells>
  <pageMargins left="0.75" right="0.75" top="1" bottom="1" header="0.3" footer="0.3"/>
  <pageSetup orientation="portrait" horizontalDpi="0" verticalDpi="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zoomScale="89" zoomScaleNormal="125" workbookViewId="0">
      <selection activeCell="B3" sqref="B3"/>
    </sheetView>
  </sheetViews>
  <sheetFormatPr defaultColWidth="10.796875" defaultRowHeight="15.5"/>
  <cols>
    <col min="1" max="1" width="61.69921875" style="5" customWidth="1"/>
    <col min="2" max="2" width="43.796875" style="5" customWidth="1"/>
    <col min="3" max="3" width="68" style="5" bestFit="1" customWidth="1"/>
    <col min="4" max="16384" width="10.796875" style="5"/>
  </cols>
  <sheetData>
    <row r="1" spans="1:4" s="127" customFormat="1" ht="13">
      <c r="A1" s="129" t="s">
        <v>96</v>
      </c>
      <c r="B1" s="130"/>
    </row>
    <row r="2" spans="1:4" s="127" customFormat="1" ht="12.5">
      <c r="A2" s="130" t="s">
        <v>7</v>
      </c>
      <c r="B2" s="131">
        <f>'Valuation output'!B39</f>
        <v>63012888.149999999</v>
      </c>
    </row>
    <row r="3" spans="1:4" s="127" customFormat="1" ht="12.5">
      <c r="A3" s="130" t="s">
        <v>8</v>
      </c>
      <c r="B3" s="131">
        <f>'Valuation output'!L39</f>
        <v>91529860.895409927</v>
      </c>
    </row>
    <row r="4" spans="1:4" s="127" customFormat="1" ht="12.5">
      <c r="A4" s="130" t="s">
        <v>9</v>
      </c>
      <c r="B4" s="131">
        <f>B3-B2</f>
        <v>28516972.745409928</v>
      </c>
    </row>
    <row r="5" spans="1:4" s="127" customFormat="1" ht="12.5">
      <c r="A5" s="130" t="s">
        <v>10</v>
      </c>
      <c r="B5" s="131">
        <f>'Valuation output'!L5-'Valuation output'!B5</f>
        <v>24091160.705783471</v>
      </c>
    </row>
    <row r="6" spans="1:4" s="127" customFormat="1" ht="12.5">
      <c r="A6" s="130" t="s">
        <v>4</v>
      </c>
      <c r="B6" s="132">
        <f>B5/B4</f>
        <v>0.84480077604524717</v>
      </c>
    </row>
    <row r="7" spans="1:4" s="127" customFormat="1" ht="12.5">
      <c r="A7" s="130" t="s">
        <v>5</v>
      </c>
      <c r="B7" s="132">
        <f>'Valuation output'!L40</f>
        <v>0.26314969282932099</v>
      </c>
    </row>
    <row r="8" spans="1:4" s="127" customFormat="1" ht="12.5">
      <c r="A8" s="130" t="s">
        <v>237</v>
      </c>
      <c r="B8" s="132">
        <f>(1/'Valuation output'!L13)^(1/10)-1</f>
        <v>0.26619513136642636</v>
      </c>
    </row>
    <row r="9" spans="1:4" s="127" customFormat="1" ht="13" thickBot="1">
      <c r="A9" s="133" t="s">
        <v>28</v>
      </c>
      <c r="B9" s="134">
        <f>'Valuation output'!B33/'Valuation output'!B34</f>
        <v>1.013095775870636</v>
      </c>
    </row>
    <row r="10" spans="1:4" s="127" customFormat="1" ht="13" thickBot="1">
      <c r="A10" s="135"/>
      <c r="B10" s="436" t="str">
        <f>IF(B9="NA","Value is negative. See below",IF(B9&gt;2,"Value seems high. See below",IF(B9&lt;0.5,"Value seems low. See below"," ")))</f>
        <v xml:space="preserve"> </v>
      </c>
      <c r="C10" s="437"/>
    </row>
    <row r="11" spans="1:4" s="8" customFormat="1" ht="13.5">
      <c r="A11" s="187" t="s">
        <v>6</v>
      </c>
      <c r="B11" s="188" t="s">
        <v>0</v>
      </c>
      <c r="C11" s="189" t="s">
        <v>1</v>
      </c>
    </row>
    <row r="12" spans="1:4" s="8" customFormat="1" ht="13">
      <c r="A12" s="198" t="s">
        <v>151</v>
      </c>
      <c r="B12" s="190" t="s">
        <v>2</v>
      </c>
      <c r="C12" s="191" t="s">
        <v>3</v>
      </c>
    </row>
    <row r="13" spans="1:4" s="8" customFormat="1" ht="13">
      <c r="A13" s="198" t="s">
        <v>152</v>
      </c>
      <c r="B13" s="192" t="s">
        <v>149</v>
      </c>
      <c r="C13" s="193" t="s">
        <v>150</v>
      </c>
      <c r="D13" s="8" t="s">
        <v>156</v>
      </c>
    </row>
    <row r="14" spans="1:4" s="8" customFormat="1" ht="13">
      <c r="A14" s="199" t="s">
        <v>153</v>
      </c>
      <c r="B14" s="194" t="s">
        <v>147</v>
      </c>
      <c r="C14" s="195" t="s">
        <v>148</v>
      </c>
      <c r="D14" s="8" t="s">
        <v>156</v>
      </c>
    </row>
    <row r="15" spans="1:4" s="8" customFormat="1" ht="13.5" thickBot="1">
      <c r="A15" s="200" t="s">
        <v>158</v>
      </c>
      <c r="B15" s="196" t="s">
        <v>154</v>
      </c>
      <c r="C15" s="197" t="s">
        <v>155</v>
      </c>
      <c r="D15" s="8" t="s">
        <v>157</v>
      </c>
    </row>
    <row r="16" spans="1:4">
      <c r="B16" s="69"/>
    </row>
  </sheetData>
  <mergeCells count="1">
    <mergeCell ref="B10:C10"/>
  </mergeCells>
  <phoneticPr fontId="7"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0"/>
  <sheetViews>
    <sheetView topLeftCell="A4" workbookViewId="0">
      <selection activeCell="D46" sqref="D46"/>
    </sheetView>
  </sheetViews>
  <sheetFormatPr defaultColWidth="11.296875" defaultRowHeight="11.5"/>
  <cols>
    <col min="1" max="1" width="23" bestFit="1" customWidth="1"/>
    <col min="2" max="2" width="14.09765625" bestFit="1" customWidth="1"/>
    <col min="3" max="3" width="13.69921875" bestFit="1" customWidth="1"/>
    <col min="4" max="4" width="14.69921875" bestFit="1" customWidth="1"/>
    <col min="5" max="5" width="16.296875" bestFit="1" customWidth="1"/>
    <col min="6" max="6" width="15.296875" bestFit="1" customWidth="1"/>
    <col min="7" max="8" width="13.19921875" bestFit="1" customWidth="1"/>
  </cols>
  <sheetData>
    <row r="1" spans="1:8" s="290" customFormat="1" ht="39.5" thickBot="1">
      <c r="A1" s="289" t="s">
        <v>118</v>
      </c>
      <c r="B1" s="289" t="s">
        <v>11</v>
      </c>
      <c r="C1" s="289" t="s">
        <v>565</v>
      </c>
      <c r="D1" s="289" t="s">
        <v>581</v>
      </c>
      <c r="E1" s="289" t="s">
        <v>566</v>
      </c>
      <c r="F1" s="289" t="s">
        <v>48</v>
      </c>
      <c r="G1" s="289" t="s">
        <v>567</v>
      </c>
      <c r="H1" s="289" t="s">
        <v>568</v>
      </c>
    </row>
    <row r="2" spans="1:8" s="290" customFormat="1" ht="12">
      <c r="A2" s="290" t="s">
        <v>580</v>
      </c>
      <c r="B2" s="291">
        <f>'Valuation output'!B3</f>
        <v>122727566</v>
      </c>
      <c r="D2" s="292">
        <f>'Valuation output'!B4</f>
        <v>6.5377154143185734E-2</v>
      </c>
      <c r="E2" s="291">
        <f>B2*D2</f>
        <v>8023579.0000000009</v>
      </c>
      <c r="F2" s="291">
        <f>'Valuation output'!B10</f>
        <v>0</v>
      </c>
      <c r="G2" s="291">
        <f>E2-H2</f>
        <v>1747229.922201016</v>
      </c>
      <c r="H2" s="291">
        <f>'Valuation output'!B7</f>
        <v>6276349.0777989849</v>
      </c>
    </row>
    <row r="3" spans="1:8" s="290" customFormat="1" ht="12">
      <c r="A3" s="290">
        <v>1</v>
      </c>
      <c r="B3" s="291">
        <f>'Valuation output'!C3</f>
        <v>105317790.35562065</v>
      </c>
      <c r="C3" s="292">
        <f>'Valuation output'!C2</f>
        <v>-0.14185709219051371</v>
      </c>
      <c r="D3" s="292">
        <f>'Valuation output'!C4</f>
        <v>-6.4000000000000001E-2</v>
      </c>
      <c r="E3" s="291">
        <f>B3*D3</f>
        <v>-6740338.5827597221</v>
      </c>
      <c r="F3" s="291">
        <f>'Valuation output'!C10</f>
        <v>6740338.5827597221</v>
      </c>
      <c r="G3" s="291">
        <f t="shared" ref="G3:G12" si="0">E3-H3</f>
        <v>0</v>
      </c>
      <c r="H3" s="291">
        <f>'Valuation output'!C7</f>
        <v>-6740338.5827597221</v>
      </c>
    </row>
    <row r="4" spans="1:8" s="290" customFormat="1" ht="12">
      <c r="A4" s="290">
        <v>2</v>
      </c>
      <c r="B4" s="294">
        <f>'Valuation output'!D3</f>
        <v>115849569.39118272</v>
      </c>
      <c r="C4" s="292">
        <f>B4/B3-1</f>
        <v>0.10000000000000009</v>
      </c>
      <c r="D4" s="292">
        <f>'Valuation output'!D4</f>
        <v>0.1225</v>
      </c>
      <c r="E4" s="291">
        <f t="shared" ref="E4:E12" si="1">B4*D4</f>
        <v>14191572.250419883</v>
      </c>
      <c r="F4" s="291">
        <f>'Valuation output'!D10</f>
        <v>0</v>
      </c>
      <c r="G4" s="291">
        <f t="shared" si="0"/>
        <v>1622594.9070168603</v>
      </c>
      <c r="H4" s="291">
        <f>'Valuation output'!D7</f>
        <v>12568977.343403023</v>
      </c>
    </row>
    <row r="5" spans="1:8" s="290" customFormat="1" ht="12">
      <c r="A5" s="290">
        <v>3</v>
      </c>
      <c r="B5" s="291">
        <f>'Valuation output'!E3</f>
        <v>127434526.330301</v>
      </c>
      <c r="C5" s="292">
        <f t="shared" ref="C5:C12" si="2">B5/B4-1</f>
        <v>0.10000000000000009</v>
      </c>
      <c r="D5" s="292">
        <f>'Valuation output'!E4</f>
        <v>0.1225</v>
      </c>
      <c r="E5" s="291">
        <f t="shared" si="1"/>
        <v>15610729.475461872</v>
      </c>
      <c r="F5" s="291">
        <f>'Valuation output'!E10</f>
        <v>0</v>
      </c>
      <c r="G5" s="291">
        <f t="shared" si="0"/>
        <v>3399422.3334639482</v>
      </c>
      <c r="H5" s="291">
        <f>'Valuation output'!E7</f>
        <v>12211307.141997924</v>
      </c>
    </row>
    <row r="6" spans="1:8" s="290" customFormat="1" ht="12">
      <c r="A6" s="290">
        <v>4</v>
      </c>
      <c r="B6" s="291">
        <f>'Valuation output'!F3</f>
        <v>140177978.9633311</v>
      </c>
      <c r="C6" s="292">
        <f t="shared" si="2"/>
        <v>0.10000000000000009</v>
      </c>
      <c r="D6" s="292">
        <f>'Valuation output'!F4</f>
        <v>0.1225</v>
      </c>
      <c r="E6" s="291">
        <f t="shared" si="1"/>
        <v>17171802.423008058</v>
      </c>
      <c r="F6" s="291">
        <f>'Valuation output'!F10</f>
        <v>0</v>
      </c>
      <c r="G6" s="291">
        <f t="shared" si="0"/>
        <v>3739364.5668103416</v>
      </c>
      <c r="H6" s="291">
        <f>'Valuation output'!F7</f>
        <v>13432437.856197717</v>
      </c>
    </row>
    <row r="7" spans="1:8" s="290" customFormat="1" ht="12">
      <c r="A7" s="290">
        <v>5</v>
      </c>
      <c r="B7" s="291">
        <f>'Valuation output'!G3</f>
        <v>154195776.85966423</v>
      </c>
      <c r="C7" s="292">
        <f t="shared" si="2"/>
        <v>0.10000000000000009</v>
      </c>
      <c r="D7" s="292">
        <f>'Valuation output'!G4</f>
        <v>0.1225</v>
      </c>
      <c r="E7" s="291">
        <f t="shared" si="1"/>
        <v>18888982.665308867</v>
      </c>
      <c r="F7" s="291">
        <f>'Valuation output'!G10</f>
        <v>0</v>
      </c>
      <c r="G7" s="291">
        <f t="shared" si="0"/>
        <v>4113301.023491377</v>
      </c>
      <c r="H7" s="291">
        <f>'Valuation output'!G7</f>
        <v>14775681.64181749</v>
      </c>
    </row>
    <row r="8" spans="1:8" s="290" customFormat="1" ht="12">
      <c r="A8" s="290">
        <v>6</v>
      </c>
      <c r="B8" s="291">
        <f>'Valuation output'!H3</f>
        <v>170232137.65306932</v>
      </c>
      <c r="C8" s="292">
        <f t="shared" si="2"/>
        <v>0.10400000000000009</v>
      </c>
      <c r="D8" s="292">
        <f>'Valuation output'!H4</f>
        <v>0.1225</v>
      </c>
      <c r="E8" s="291">
        <f t="shared" si="1"/>
        <v>20853436.862500992</v>
      </c>
      <c r="F8" s="291">
        <f>'Valuation output'!H10</f>
        <v>0</v>
      </c>
      <c r="G8" s="291">
        <f t="shared" si="0"/>
        <v>4675539.3070726339</v>
      </c>
      <c r="H8" s="291">
        <f>'Valuation output'!H7</f>
        <v>16177897.555428358</v>
      </c>
    </row>
    <row r="9" spans="1:8" s="290" customFormat="1" ht="12">
      <c r="A9" s="290">
        <v>7</v>
      </c>
      <c r="B9" s="291">
        <f>'Valuation output'!I3</f>
        <v>188617208.51960081</v>
      </c>
      <c r="C9" s="292">
        <f t="shared" si="2"/>
        <v>0.1080000000000001</v>
      </c>
      <c r="D9" s="292">
        <f>'Valuation output'!I4</f>
        <v>0.1225</v>
      </c>
      <c r="E9" s="291">
        <f t="shared" si="1"/>
        <v>23105608.0436511</v>
      </c>
      <c r="F9" s="291">
        <f>'Valuation output'!I10</f>
        <v>0</v>
      </c>
      <c r="G9" s="291">
        <f t="shared" si="0"/>
        <v>5329473.6669055521</v>
      </c>
      <c r="H9" s="291">
        <f>'Valuation output'!I7</f>
        <v>17776134.376745548</v>
      </c>
    </row>
    <row r="10" spans="1:8" s="290" customFormat="1" ht="12">
      <c r="A10" s="290">
        <v>8</v>
      </c>
      <c r="B10" s="291">
        <f>'Valuation output'!J3</f>
        <v>209742335.87379611</v>
      </c>
      <c r="C10" s="292">
        <f t="shared" si="2"/>
        <v>0.1120000000000001</v>
      </c>
      <c r="D10" s="292">
        <f>'Valuation output'!J4</f>
        <v>0.1225</v>
      </c>
      <c r="E10" s="291">
        <f t="shared" si="1"/>
        <v>25693436.144540023</v>
      </c>
      <c r="F10" s="291">
        <f>'Valuation output'!J10</f>
        <v>0</v>
      </c>
      <c r="G10" s="291">
        <f t="shared" si="0"/>
        <v>6092036.1571109854</v>
      </c>
      <c r="H10" s="291">
        <f>'Valuation output'!J7</f>
        <v>19601399.987429038</v>
      </c>
    </row>
    <row r="11" spans="1:8" s="290" customFormat="1" ht="12">
      <c r="A11" s="290">
        <v>9</v>
      </c>
      <c r="B11" s="291">
        <f>'Valuation output'!K3</f>
        <v>234072446.83515647</v>
      </c>
      <c r="C11" s="292">
        <f t="shared" si="2"/>
        <v>0.1160000000000001</v>
      </c>
      <c r="D11" s="292">
        <f>'Valuation output'!K4</f>
        <v>0.1225</v>
      </c>
      <c r="E11" s="291">
        <f t="shared" si="1"/>
        <v>28673874.737306666</v>
      </c>
      <c r="F11" s="291">
        <f>'Valuation output'!K10</f>
        <v>0</v>
      </c>
      <c r="G11" s="291">
        <f t="shared" si="0"/>
        <v>6983590.5178312622</v>
      </c>
      <c r="H11" s="291">
        <f>'Valuation output'!K7</f>
        <v>21690284.219475403</v>
      </c>
    </row>
    <row r="12" spans="1:8" s="290" customFormat="1" ht="12">
      <c r="A12" s="290">
        <v>10</v>
      </c>
      <c r="B12" s="291">
        <f>'Valuation output'!L3</f>
        <v>262161140.45537528</v>
      </c>
      <c r="C12" s="292">
        <f t="shared" si="2"/>
        <v>0.12000000000000011</v>
      </c>
      <c r="D12" s="292">
        <f>'Valuation output'!L4</f>
        <v>0.1225</v>
      </c>
      <c r="E12" s="291">
        <f t="shared" si="1"/>
        <v>32114739.705783471</v>
      </c>
      <c r="F12" s="291">
        <f>'Valuation output'!L10</f>
        <v>0</v>
      </c>
      <c r="G12" s="291">
        <f t="shared" si="0"/>
        <v>8028684.9264458679</v>
      </c>
      <c r="H12" s="291">
        <f>'Valuation output'!L7</f>
        <v>24086054.779337604</v>
      </c>
    </row>
    <row r="13" spans="1:8" s="290" customFormat="1" ht="12.5" thickBot="1"/>
    <row r="14" spans="1:8" s="290" customFormat="1" ht="39.5" thickBot="1">
      <c r="A14" s="289" t="s">
        <v>118</v>
      </c>
      <c r="B14" s="289" t="s">
        <v>568</v>
      </c>
      <c r="C14" s="289" t="s">
        <v>569</v>
      </c>
      <c r="D14" s="289" t="s">
        <v>570</v>
      </c>
      <c r="E14" s="289" t="s">
        <v>571</v>
      </c>
      <c r="F14" s="289" t="s">
        <v>16</v>
      </c>
      <c r="G14" s="289" t="s">
        <v>572</v>
      </c>
      <c r="H14" s="289" t="s">
        <v>573</v>
      </c>
    </row>
    <row r="15" spans="1:8" s="290" customFormat="1" ht="12">
      <c r="A15" s="290" t="str">
        <f>A2</f>
        <v>Traling 12 month</v>
      </c>
      <c r="B15" s="291">
        <f>H2</f>
        <v>6276349.0777989849</v>
      </c>
      <c r="G15" s="296">
        <f>'Valuation output'!B39</f>
        <v>63012888.149999999</v>
      </c>
      <c r="H15" s="297">
        <f>B15/G15</f>
        <v>9.9604212123373129E-2</v>
      </c>
    </row>
    <row r="16" spans="1:8" s="290" customFormat="1" ht="12">
      <c r="A16" s="290">
        <f t="shared" ref="A16:A24" si="3">A3</f>
        <v>1</v>
      </c>
      <c r="B16" s="291">
        <f t="shared" ref="B16:B25" si="4">H3</f>
        <v>-6740338.5827597221</v>
      </c>
      <c r="C16" s="291">
        <f>B3-B2</f>
        <v>-17409775.644379348</v>
      </c>
      <c r="D16" s="295">
        <f>'Valuation output'!C38</f>
        <v>5.5</v>
      </c>
      <c r="E16" s="291">
        <f>C16/D16</f>
        <v>-3165413.7535235179</v>
      </c>
      <c r="F16" s="291">
        <f>B16-E16</f>
        <v>-3574924.8292362043</v>
      </c>
      <c r="G16" s="291">
        <f>G15+E16</f>
        <v>59847474.396476477</v>
      </c>
      <c r="H16" s="297">
        <f t="shared" ref="H16:H25" si="5">B16/G16</f>
        <v>-0.11262528036031141</v>
      </c>
    </row>
    <row r="17" spans="1:8" s="290" customFormat="1" ht="12">
      <c r="A17" s="290">
        <f t="shared" si="3"/>
        <v>2</v>
      </c>
      <c r="B17" s="291">
        <f t="shared" si="4"/>
        <v>12568977.343403023</v>
      </c>
      <c r="C17" s="291">
        <f t="shared" ref="C17:C25" si="6">B4-B3</f>
        <v>10531779.035562068</v>
      </c>
      <c r="D17" s="295">
        <f>'Valuation output'!D38</f>
        <v>5.5</v>
      </c>
      <c r="E17" s="291">
        <f t="shared" ref="E17:E25" si="7">C17/D17</f>
        <v>1914868.9155567398</v>
      </c>
      <c r="F17" s="291">
        <f t="shared" ref="F17:F25" si="8">B17-E17</f>
        <v>10654108.427846283</v>
      </c>
      <c r="G17" s="291">
        <f t="shared" ref="G17:G25" si="9">G16+E17</f>
        <v>61762343.312033214</v>
      </c>
      <c r="H17" s="297">
        <f t="shared" si="5"/>
        <v>0.20350551273455644</v>
      </c>
    </row>
    <row r="18" spans="1:8" s="290" customFormat="1" ht="12">
      <c r="A18" s="290">
        <f t="shared" si="3"/>
        <v>3</v>
      </c>
      <c r="B18" s="291">
        <f t="shared" si="4"/>
        <v>12211307.141997924</v>
      </c>
      <c r="C18" s="291">
        <f t="shared" si="6"/>
        <v>11584956.939118281</v>
      </c>
      <c r="D18" s="295">
        <f>'Valuation output'!E38</f>
        <v>5.5</v>
      </c>
      <c r="E18" s="291">
        <f t="shared" si="7"/>
        <v>2106355.8071124149</v>
      </c>
      <c r="F18" s="291">
        <f t="shared" si="8"/>
        <v>10104951.33488551</v>
      </c>
      <c r="G18" s="291">
        <f t="shared" si="9"/>
        <v>63868699.119145632</v>
      </c>
      <c r="H18" s="297">
        <f t="shared" si="5"/>
        <v>0.19119392300785715</v>
      </c>
    </row>
    <row r="19" spans="1:8" s="290" customFormat="1" ht="12">
      <c r="A19" s="290">
        <f t="shared" si="3"/>
        <v>4</v>
      </c>
      <c r="B19" s="291">
        <f t="shared" si="4"/>
        <v>13432437.856197717</v>
      </c>
      <c r="C19" s="291">
        <f t="shared" si="6"/>
        <v>12743452.633030102</v>
      </c>
      <c r="D19" s="295">
        <f>'Valuation output'!F38</f>
        <v>5.5</v>
      </c>
      <c r="E19" s="291">
        <f t="shared" si="7"/>
        <v>2316991.3878236548</v>
      </c>
      <c r="F19" s="291">
        <f t="shared" si="8"/>
        <v>11115446.468374062</v>
      </c>
      <c r="G19" s="291">
        <f t="shared" si="9"/>
        <v>66185690.506969288</v>
      </c>
      <c r="H19" s="297">
        <f t="shared" si="5"/>
        <v>0.20295078518193135</v>
      </c>
    </row>
    <row r="20" spans="1:8" s="290" customFormat="1" ht="12">
      <c r="A20" s="290">
        <f t="shared" si="3"/>
        <v>5</v>
      </c>
      <c r="B20" s="291">
        <f t="shared" si="4"/>
        <v>14775681.64181749</v>
      </c>
      <c r="C20" s="291">
        <f t="shared" si="6"/>
        <v>14017797.896333128</v>
      </c>
      <c r="D20" s="295">
        <f>'Valuation output'!G38</f>
        <v>5.5</v>
      </c>
      <c r="E20" s="291">
        <f t="shared" si="7"/>
        <v>2548690.5266060233</v>
      </c>
      <c r="F20" s="291">
        <f t="shared" si="8"/>
        <v>12226991.115211466</v>
      </c>
      <c r="G20" s="291">
        <f t="shared" si="9"/>
        <v>68734381.033575311</v>
      </c>
      <c r="H20" s="297">
        <f t="shared" si="5"/>
        <v>0.21496784316134129</v>
      </c>
    </row>
    <row r="21" spans="1:8" s="290" customFormat="1" ht="12">
      <c r="A21" s="290">
        <f t="shared" si="3"/>
        <v>6</v>
      </c>
      <c r="B21" s="291">
        <f t="shared" si="4"/>
        <v>16177897.555428358</v>
      </c>
      <c r="C21" s="291">
        <f t="shared" si="6"/>
        <v>16036360.793405086</v>
      </c>
      <c r="D21" s="295">
        <f>'Valuation output'!H38</f>
        <v>5.5</v>
      </c>
      <c r="E21" s="291">
        <f t="shared" si="7"/>
        <v>2915701.9624372884</v>
      </c>
      <c r="F21" s="291">
        <f t="shared" si="8"/>
        <v>13262195.592991069</v>
      </c>
      <c r="G21" s="291">
        <f t="shared" si="9"/>
        <v>71650082.996012598</v>
      </c>
      <c r="H21" s="297">
        <f t="shared" si="5"/>
        <v>0.22579035332490369</v>
      </c>
    </row>
    <row r="22" spans="1:8" s="290" customFormat="1" ht="12">
      <c r="A22" s="290">
        <f t="shared" si="3"/>
        <v>7</v>
      </c>
      <c r="B22" s="291">
        <f t="shared" si="4"/>
        <v>17776134.376745548</v>
      </c>
      <c r="C22" s="291">
        <f t="shared" si="6"/>
        <v>18385070.866531491</v>
      </c>
      <c r="D22" s="295">
        <f>'Valuation output'!I38</f>
        <v>5.5</v>
      </c>
      <c r="E22" s="291">
        <f t="shared" si="7"/>
        <v>3342740.1575511801</v>
      </c>
      <c r="F22" s="291">
        <f t="shared" si="8"/>
        <v>14433394.219194368</v>
      </c>
      <c r="G22" s="291">
        <f t="shared" si="9"/>
        <v>74992823.153563783</v>
      </c>
      <c r="H22" s="297">
        <f t="shared" si="5"/>
        <v>0.2370378074758584</v>
      </c>
    </row>
    <row r="23" spans="1:8" s="290" customFormat="1" ht="12">
      <c r="A23" s="290">
        <f t="shared" si="3"/>
        <v>8</v>
      </c>
      <c r="B23" s="291">
        <f t="shared" si="4"/>
        <v>19601399.987429038</v>
      </c>
      <c r="C23" s="291">
        <f t="shared" si="6"/>
        <v>21125127.354195297</v>
      </c>
      <c r="D23" s="295">
        <f>'Valuation output'!J38</f>
        <v>5.5</v>
      </c>
      <c r="E23" s="291">
        <f t="shared" si="7"/>
        <v>3840932.2462173267</v>
      </c>
      <c r="F23" s="291">
        <f t="shared" si="8"/>
        <v>15760467.74121171</v>
      </c>
      <c r="G23" s="291">
        <f t="shared" si="9"/>
        <v>78833755.399781108</v>
      </c>
      <c r="H23" s="297">
        <f t="shared" si="5"/>
        <v>0.24864222042989803</v>
      </c>
    </row>
    <row r="24" spans="1:8" s="290" customFormat="1" ht="12">
      <c r="A24" s="290">
        <f t="shared" si="3"/>
        <v>9</v>
      </c>
      <c r="B24" s="291">
        <f t="shared" si="4"/>
        <v>21690284.219475403</v>
      </c>
      <c r="C24" s="291">
        <f t="shared" si="6"/>
        <v>24330110.961360365</v>
      </c>
      <c r="D24" s="295">
        <f>'Valuation output'!K38</f>
        <v>5.5</v>
      </c>
      <c r="E24" s="291">
        <f t="shared" si="7"/>
        <v>4423656.5384291569</v>
      </c>
      <c r="F24" s="291">
        <f t="shared" si="8"/>
        <v>17266627.681046247</v>
      </c>
      <c r="G24" s="291">
        <f t="shared" si="9"/>
        <v>83257411.938210264</v>
      </c>
      <c r="H24" s="297">
        <f t="shared" si="5"/>
        <v>0.26052075982824102</v>
      </c>
    </row>
    <row r="25" spans="1:8" s="290" customFormat="1" ht="12">
      <c r="A25" s="290">
        <f>A12</f>
        <v>10</v>
      </c>
      <c r="B25" s="291">
        <f t="shared" si="4"/>
        <v>24086054.779337604</v>
      </c>
      <c r="C25" s="291">
        <f t="shared" si="6"/>
        <v>28088693.620218813</v>
      </c>
      <c r="D25" s="295">
        <f>'Valuation output'!L38</f>
        <v>5.5</v>
      </c>
      <c r="E25" s="291">
        <f t="shared" si="7"/>
        <v>5107035.2036761483</v>
      </c>
      <c r="F25" s="291">
        <f t="shared" si="8"/>
        <v>18979019.575661454</v>
      </c>
      <c r="G25" s="291">
        <f t="shared" si="9"/>
        <v>88364447.141886413</v>
      </c>
      <c r="H25" s="297">
        <f t="shared" si="5"/>
        <v>0.27257630821435153</v>
      </c>
    </row>
    <row r="26" spans="1:8" s="290" customFormat="1" ht="12.5" thickBot="1"/>
    <row r="27" spans="1:8" s="290" customFormat="1" ht="26.5" thickBot="1">
      <c r="A27" s="289" t="s">
        <v>118</v>
      </c>
      <c r="B27" s="289" t="s">
        <v>472</v>
      </c>
      <c r="C27" s="289" t="s">
        <v>574</v>
      </c>
      <c r="D27" s="289" t="s">
        <v>575</v>
      </c>
      <c r="E27" s="289" t="s">
        <v>576</v>
      </c>
      <c r="F27" s="289" t="s">
        <v>577</v>
      </c>
      <c r="G27" s="289" t="s">
        <v>578</v>
      </c>
      <c r="H27" s="289" t="s">
        <v>579</v>
      </c>
    </row>
    <row r="28" spans="1:8">
      <c r="A28">
        <f>A16</f>
        <v>1</v>
      </c>
      <c r="H28" s="285">
        <f>'Valuation output'!C12</f>
        <v>0.21138937643467773</v>
      </c>
    </row>
    <row r="29" spans="1:8">
      <c r="A29">
        <f t="shared" ref="A29:A37" si="10">A17</f>
        <v>2</v>
      </c>
      <c r="H29" s="285">
        <f>'Valuation output'!D12</f>
        <v>0.21138937643467773</v>
      </c>
    </row>
    <row r="30" spans="1:8">
      <c r="A30">
        <f t="shared" si="10"/>
        <v>3</v>
      </c>
      <c r="H30" s="285">
        <f>'Valuation output'!E12</f>
        <v>0.21138937643467773</v>
      </c>
    </row>
    <row r="31" spans="1:8">
      <c r="A31">
        <f t="shared" si="10"/>
        <v>4</v>
      </c>
      <c r="H31" s="285">
        <f>'Valuation output'!F12</f>
        <v>0.21138937643467773</v>
      </c>
    </row>
    <row r="32" spans="1:8">
      <c r="A32">
        <f t="shared" si="10"/>
        <v>5</v>
      </c>
      <c r="H32" s="285">
        <f>'Valuation output'!G12</f>
        <v>0.21138937643467773</v>
      </c>
    </row>
    <row r="33" spans="1:8">
      <c r="A33">
        <f t="shared" si="10"/>
        <v>6</v>
      </c>
      <c r="H33" s="285">
        <f>'Valuation output'!H12</f>
        <v>0.24911150114774219</v>
      </c>
    </row>
    <row r="34" spans="1:8">
      <c r="A34">
        <f t="shared" si="10"/>
        <v>7</v>
      </c>
      <c r="H34" s="285">
        <f>'Valuation output'!I12</f>
        <v>0.28683362586080663</v>
      </c>
    </row>
    <row r="35" spans="1:8">
      <c r="A35">
        <f t="shared" si="10"/>
        <v>8</v>
      </c>
      <c r="H35" s="285">
        <f>'Valuation output'!J12</f>
        <v>0.32455575057387109</v>
      </c>
    </row>
    <row r="36" spans="1:8">
      <c r="A36">
        <f t="shared" si="10"/>
        <v>9</v>
      </c>
      <c r="H36" s="285">
        <f>'Valuation output'!K12</f>
        <v>0.36227787528693556</v>
      </c>
    </row>
    <row r="37" spans="1:8">
      <c r="A37">
        <f t="shared" si="10"/>
        <v>10</v>
      </c>
      <c r="H37" s="285">
        <f>'Valuation output'!L12</f>
        <v>0.4</v>
      </c>
    </row>
    <row r="38" spans="1:8" ht="12" thickBot="1"/>
    <row r="39" spans="1:8" ht="26.5" thickBot="1">
      <c r="A39" s="289" t="s">
        <v>118</v>
      </c>
      <c r="B39" s="289" t="s">
        <v>579</v>
      </c>
      <c r="C39" s="289" t="s">
        <v>582</v>
      </c>
      <c r="D39" s="289" t="s">
        <v>16</v>
      </c>
      <c r="E39" s="289" t="s">
        <v>583</v>
      </c>
      <c r="F39" s="289" t="s">
        <v>128</v>
      </c>
    </row>
    <row r="40" spans="1:8">
      <c r="A40">
        <f>A28</f>
        <v>1</v>
      </c>
      <c r="B40" s="298">
        <f>H28</f>
        <v>0.21138937643467773</v>
      </c>
      <c r="C40" s="299">
        <f>(1+'Summary Sheet'!B40)</f>
        <v>1.2113893764346777</v>
      </c>
      <c r="D40" s="293">
        <f>F16</f>
        <v>-3574924.8292362043</v>
      </c>
      <c r="F40" s="293">
        <f>D40/C40</f>
        <v>-2951094.7501932103</v>
      </c>
    </row>
    <row r="41" spans="1:8">
      <c r="A41">
        <f t="shared" ref="A41:A49" si="11">A29</f>
        <v>2</v>
      </c>
      <c r="B41" s="298">
        <f t="shared" ref="B41:B49" si="12">H29</f>
        <v>0.21138937643467773</v>
      </c>
      <c r="C41" s="299">
        <f>C40*(1+B41)</f>
        <v>1.4674642213387972</v>
      </c>
      <c r="D41" s="293">
        <f t="shared" ref="D41:D49" si="13">F17</f>
        <v>10654108.427846283</v>
      </c>
      <c r="F41" s="293">
        <f t="shared" ref="F41:F48" si="14">D41/C41</f>
        <v>7260216.8236349402</v>
      </c>
    </row>
    <row r="42" spans="1:8">
      <c r="A42">
        <f t="shared" si="11"/>
        <v>3</v>
      </c>
      <c r="B42" s="298">
        <f t="shared" si="12"/>
        <v>0.21138937643467773</v>
      </c>
      <c r="C42" s="299">
        <f t="shared" ref="C42:C49" si="15">C41*(1+B42)</f>
        <v>1.7776705680278053</v>
      </c>
      <c r="D42" s="293">
        <f t="shared" si="13"/>
        <v>10104951.33488551</v>
      </c>
      <c r="F42" s="293">
        <f t="shared" si="14"/>
        <v>5684377.9250371512</v>
      </c>
    </row>
    <row r="43" spans="1:8">
      <c r="A43">
        <f t="shared" si="11"/>
        <v>4</v>
      </c>
      <c r="B43" s="298">
        <f t="shared" si="12"/>
        <v>0.21138937643467773</v>
      </c>
      <c r="C43" s="299">
        <f t="shared" si="15"/>
        <v>2.1534512409094826</v>
      </c>
      <c r="D43" s="293">
        <f t="shared" si="13"/>
        <v>11115446.468374062</v>
      </c>
      <c r="F43" s="293">
        <f t="shared" si="14"/>
        <v>5161689.4114953801</v>
      </c>
    </row>
    <row r="44" spans="1:8">
      <c r="A44">
        <f t="shared" si="11"/>
        <v>5</v>
      </c>
      <c r="B44" s="298">
        <f t="shared" si="12"/>
        <v>0.21138937643467773</v>
      </c>
      <c r="C44" s="299">
        <f t="shared" si="15"/>
        <v>2.608667955907821</v>
      </c>
      <c r="D44" s="293">
        <f t="shared" si="13"/>
        <v>12226991.115211466</v>
      </c>
      <c r="F44" s="293">
        <f t="shared" si="14"/>
        <v>4687063.0229198532</v>
      </c>
    </row>
    <row r="45" spans="1:8">
      <c r="A45">
        <f t="shared" si="11"/>
        <v>6</v>
      </c>
      <c r="B45" s="298">
        <f t="shared" si="12"/>
        <v>0.24911150114774219</v>
      </c>
      <c r="C45" s="299">
        <f t="shared" si="15"/>
        <v>3.2585171464000307</v>
      </c>
      <c r="D45" s="293">
        <f t="shared" si="13"/>
        <v>13262195.592991069</v>
      </c>
      <c r="F45" s="293">
        <f t="shared" si="14"/>
        <v>4070009.4543442801</v>
      </c>
    </row>
    <row r="46" spans="1:8">
      <c r="A46">
        <f t="shared" si="11"/>
        <v>7</v>
      </c>
      <c r="B46" s="298">
        <f t="shared" si="12"/>
        <v>0.28683362586080663</v>
      </c>
      <c r="C46" s="299">
        <f t="shared" si="15"/>
        <v>4.1931694344315602</v>
      </c>
      <c r="D46" s="293">
        <f t="shared" si="13"/>
        <v>14433394.219194368</v>
      </c>
      <c r="F46" s="293">
        <f t="shared" si="14"/>
        <v>3442120.4401321802</v>
      </c>
    </row>
    <row r="47" spans="1:8">
      <c r="A47">
        <f t="shared" si="11"/>
        <v>8</v>
      </c>
      <c r="B47" s="298">
        <f t="shared" si="12"/>
        <v>0.32455575057387109</v>
      </c>
      <c r="C47" s="299">
        <f t="shared" si="15"/>
        <v>5.5540866875069099</v>
      </c>
      <c r="D47" s="293">
        <f t="shared" si="13"/>
        <v>15760467.74121171</v>
      </c>
      <c r="F47" s="293">
        <f t="shared" si="14"/>
        <v>2837634.4533229079</v>
      </c>
    </row>
    <row r="48" spans="1:8">
      <c r="A48">
        <f t="shared" si="11"/>
        <v>9</v>
      </c>
      <c r="B48" s="298">
        <f t="shared" si="12"/>
        <v>0.36227787528693556</v>
      </c>
      <c r="C48" s="299">
        <f t="shared" si="15"/>
        <v>7.5662094118163674</v>
      </c>
      <c r="D48" s="293">
        <f t="shared" si="13"/>
        <v>17266627.681046247</v>
      </c>
      <c r="F48" s="293">
        <f t="shared" si="14"/>
        <v>2282071.0796188721</v>
      </c>
    </row>
    <row r="49" spans="1:6">
      <c r="A49">
        <f t="shared" si="11"/>
        <v>10</v>
      </c>
      <c r="B49" s="298">
        <f t="shared" si="12"/>
        <v>0.4</v>
      </c>
      <c r="C49" s="299">
        <f t="shared" si="15"/>
        <v>10.592693176542914</v>
      </c>
      <c r="D49" s="293">
        <f t="shared" si="13"/>
        <v>18979019.575661454</v>
      </c>
      <c r="E49" s="293">
        <f>'Valuation output'!B18</f>
        <v>-192688438.2347008</v>
      </c>
      <c r="F49" s="293">
        <f>(D49+E49)/C49</f>
        <v>-16398985.202716129</v>
      </c>
    </row>
    <row r="50" spans="1:6">
      <c r="A50" t="s">
        <v>44</v>
      </c>
      <c r="F50" s="293">
        <f>SUM(F40:F49)</f>
        <v>16075102.657596229</v>
      </c>
    </row>
  </sheetData>
  <pageMargins left="0.75" right="0.75" top="1" bottom="1" header="0.3" footer="0.3"/>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7"/>
  <sheetViews>
    <sheetView workbookViewId="0">
      <selection activeCell="D2" sqref="D2"/>
    </sheetView>
  </sheetViews>
  <sheetFormatPr defaultColWidth="11.19921875" defaultRowHeight="11.5"/>
  <cols>
    <col min="3" max="3" width="11.19921875" customWidth="1"/>
  </cols>
  <sheetData>
    <row r="1" spans="1:7" s="7" customFormat="1" ht="18">
      <c r="A1" s="6" t="s">
        <v>61</v>
      </c>
      <c r="B1" s="6"/>
    </row>
    <row r="2" spans="1:7" ht="13">
      <c r="A2" s="8" t="s">
        <v>62</v>
      </c>
      <c r="B2" s="8"/>
      <c r="D2" s="28">
        <f>'Input sheet'!B19</f>
        <v>361</v>
      </c>
    </row>
    <row r="3" spans="1:7" ht="13">
      <c r="A3" s="8" t="s">
        <v>63</v>
      </c>
      <c r="B3" s="8"/>
      <c r="D3" s="9">
        <f>'Input sheet'!B35</f>
        <v>1.29</v>
      </c>
    </row>
    <row r="4" spans="1:7" ht="13">
      <c r="A4" s="8" t="s">
        <v>64</v>
      </c>
      <c r="B4" s="8"/>
      <c r="D4" s="12">
        <f>'Input sheet'!B36</f>
        <v>0</v>
      </c>
    </row>
    <row r="5" spans="1:7" ht="13">
      <c r="A5" s="8" t="s">
        <v>65</v>
      </c>
      <c r="B5" s="8"/>
      <c r="D5" s="10">
        <f>'Input sheet'!B37</f>
        <v>4.6371597415718759E-2</v>
      </c>
      <c r="E5" s="8" t="s">
        <v>66</v>
      </c>
    </row>
    <row r="6" spans="1:7" ht="13">
      <c r="A6" s="8" t="s">
        <v>67</v>
      </c>
      <c r="B6" s="8"/>
      <c r="D6" s="11">
        <v>0</v>
      </c>
    </row>
    <row r="7" spans="1:7" ht="13">
      <c r="A7" s="8" t="s">
        <v>68</v>
      </c>
      <c r="B7" s="8"/>
      <c r="D7" s="11">
        <f>'Input sheet'!B30</f>
        <v>0.26600000000000001</v>
      </c>
    </row>
    <row r="8" spans="1:7" ht="13">
      <c r="A8" s="8" t="s">
        <v>69</v>
      </c>
      <c r="B8" s="8"/>
      <c r="D8" s="12">
        <f>'Input sheet'!B34</f>
        <v>0</v>
      </c>
    </row>
    <row r="9" spans="1:7" ht="13">
      <c r="A9" s="8" t="s">
        <v>70</v>
      </c>
      <c r="B9" s="8"/>
      <c r="D9" s="13">
        <f>'Input sheet'!B18</f>
        <v>607.20000000000005</v>
      </c>
    </row>
    <row r="10" spans="1:7" ht="13">
      <c r="A10" s="8"/>
      <c r="B10" s="8"/>
    </row>
    <row r="11" spans="1:7" s="16" customFormat="1" ht="13.5">
      <c r="A11" s="14" t="s">
        <v>71</v>
      </c>
      <c r="B11" s="15"/>
    </row>
    <row r="12" spans="1:7" s="8" customFormat="1" ht="13">
      <c r="A12" s="17" t="s">
        <v>72</v>
      </c>
    </row>
    <row r="13" spans="1:7" s="8" customFormat="1" ht="13">
      <c r="A13" s="8" t="s">
        <v>73</v>
      </c>
      <c r="C13" s="18">
        <f>D2</f>
        <v>361</v>
      </c>
      <c r="D13" s="8" t="s">
        <v>74</v>
      </c>
      <c r="F13" s="19">
        <f>D8</f>
        <v>0</v>
      </c>
      <c r="G13" s="20"/>
    </row>
    <row r="14" spans="1:7" s="8" customFormat="1" ht="13">
      <c r="A14" s="8" t="s">
        <v>75</v>
      </c>
      <c r="C14" s="18">
        <f>D3</f>
        <v>1.29</v>
      </c>
      <c r="D14" s="8" t="s">
        <v>76</v>
      </c>
      <c r="F14" s="21">
        <f>D9</f>
        <v>607.20000000000005</v>
      </c>
      <c r="G14" s="20"/>
    </row>
    <row r="15" spans="1:7" s="8" customFormat="1" ht="13">
      <c r="A15" s="8" t="s">
        <v>77</v>
      </c>
      <c r="C15" s="18" t="e">
        <f ca="1">(C13*F14+C26*F13)/(F14+F13)</f>
        <v>#NUM!</v>
      </c>
      <c r="D15" s="8" t="s">
        <v>78</v>
      </c>
      <c r="F15" s="22">
        <f>D7</f>
        <v>0.26600000000000001</v>
      </c>
    </row>
    <row r="16" spans="1:7" s="8" customFormat="1" ht="13">
      <c r="A16" s="8" t="s">
        <v>79</v>
      </c>
      <c r="C16" s="18">
        <f>C14</f>
        <v>1.29</v>
      </c>
      <c r="D16" s="8" t="s">
        <v>80</v>
      </c>
      <c r="F16" s="23">
        <f>D5^2</f>
        <v>2.1503250468854949E-3</v>
      </c>
    </row>
    <row r="17" spans="1:7" s="8" customFormat="1" ht="13">
      <c r="A17" s="8" t="s">
        <v>81</v>
      </c>
      <c r="C17" s="18">
        <f>D4</f>
        <v>0</v>
      </c>
      <c r="D17" s="8" t="s">
        <v>82</v>
      </c>
      <c r="F17" s="22">
        <f>D6</f>
        <v>0</v>
      </c>
    </row>
    <row r="18" spans="1:7" s="8" customFormat="1" ht="13">
      <c r="C18" s="17"/>
      <c r="D18" s="8" t="s">
        <v>83</v>
      </c>
      <c r="F18" s="24">
        <f>F15-F17</f>
        <v>0.26600000000000001</v>
      </c>
    </row>
    <row r="19" spans="1:7" s="8" customFormat="1" ht="13"/>
    <row r="20" spans="1:7" s="8" customFormat="1" ht="13">
      <c r="A20" s="8" t="s">
        <v>84</v>
      </c>
      <c r="B20" s="19" t="e">
        <f ca="1">(LN(C15/C16)+(F18+(F16/2))*C17)/(((F16)^(0.5))*(C17^0.5))</f>
        <v>#NUM!</v>
      </c>
    </row>
    <row r="21" spans="1:7" s="8" customFormat="1" ht="13">
      <c r="A21" s="8" t="s">
        <v>85</v>
      </c>
      <c r="B21" s="19" t="e">
        <f ca="1">NORMSDIST(B20)</f>
        <v>#NUM!</v>
      </c>
    </row>
    <row r="22" spans="1:7" s="8" customFormat="1" ht="13"/>
    <row r="23" spans="1:7" s="8" customFormat="1" ht="15.75" customHeight="1">
      <c r="A23" s="8" t="s">
        <v>86</v>
      </c>
      <c r="B23" s="19" t="e">
        <f ca="1">B20-((F16^0.5)*(C17^(0.5)))</f>
        <v>#NUM!</v>
      </c>
    </row>
    <row r="24" spans="1:7" s="8" customFormat="1" ht="13">
      <c r="A24" s="8" t="s">
        <v>87</v>
      </c>
      <c r="B24" s="19" t="e">
        <f ca="1">NORMSDIST(B23)</f>
        <v>#NUM!</v>
      </c>
    </row>
    <row r="25" spans="1:7" ht="13.5" thickBot="1">
      <c r="A25" s="8"/>
      <c r="B25" s="8"/>
    </row>
    <row r="26" spans="1:7" s="8" customFormat="1" ht="13.5" thickBot="1">
      <c r="A26" s="8" t="s">
        <v>88</v>
      </c>
      <c r="C26" s="25" t="e">
        <f ca="1">((EXP((0-F17)*C17))*C15*B21-C16*(EXP((0-F15)*C17))*B24)</f>
        <v>#NUM!</v>
      </c>
      <c r="G26" s="26"/>
    </row>
    <row r="27" spans="1:7" s="8" customFormat="1" ht="13.5" thickBot="1">
      <c r="A27" s="8" t="s">
        <v>89</v>
      </c>
      <c r="D27" s="27" t="e">
        <f ca="1">C26*D8</f>
        <v>#NUM!</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64"/>
  <sheetViews>
    <sheetView workbookViewId="0">
      <selection activeCell="B24" sqref="B24"/>
    </sheetView>
  </sheetViews>
  <sheetFormatPr defaultColWidth="11.19921875" defaultRowHeight="11.5"/>
  <cols>
    <col min="1" max="1" width="40.19921875" bestFit="1" customWidth="1"/>
    <col min="2" max="2" width="17.296875" bestFit="1" customWidth="1"/>
    <col min="3" max="3" width="15.59765625" customWidth="1"/>
    <col min="4" max="4" width="13.8984375" customWidth="1"/>
    <col min="5" max="5" width="17.19921875" customWidth="1"/>
    <col min="7" max="7" width="19.5" bestFit="1" customWidth="1"/>
    <col min="8" max="8" width="16.296875" customWidth="1"/>
    <col min="10" max="10" width="17.3984375" customWidth="1"/>
    <col min="11" max="11" width="18.19921875" bestFit="1" customWidth="1"/>
  </cols>
  <sheetData>
    <row r="1" spans="1:17">
      <c r="A1" s="439" t="s">
        <v>636</v>
      </c>
      <c r="B1" s="439"/>
      <c r="C1" s="439"/>
      <c r="D1" s="439"/>
      <c r="E1" s="439"/>
      <c r="F1" s="439"/>
      <c r="G1" s="439"/>
      <c r="H1" s="439"/>
      <c r="I1" s="439"/>
      <c r="J1" s="439"/>
      <c r="K1" s="439"/>
    </row>
    <row r="2" spans="1:17">
      <c r="A2" s="439"/>
      <c r="B2" s="439"/>
      <c r="C2" s="439"/>
      <c r="D2" s="439"/>
      <c r="E2" s="439"/>
      <c r="F2" s="439"/>
      <c r="G2" s="439"/>
      <c r="H2" s="439"/>
      <c r="I2" s="439"/>
      <c r="J2" s="439"/>
      <c r="K2" s="439"/>
    </row>
    <row r="3" spans="1:17" s="99" customFormat="1" ht="18">
      <c r="A3" s="99" t="s">
        <v>180</v>
      </c>
      <c r="B3" s="217"/>
      <c r="C3" s="211"/>
      <c r="G3" s="112" t="s">
        <v>511</v>
      </c>
    </row>
    <row r="4" spans="1:17" s="14" customFormat="1" ht="15" customHeight="1">
      <c r="A4" s="14" t="s">
        <v>6</v>
      </c>
      <c r="B4" s="216"/>
      <c r="C4" s="211"/>
      <c r="G4" s="144" t="s">
        <v>351</v>
      </c>
      <c r="H4" s="144" t="s">
        <v>11</v>
      </c>
      <c r="I4" s="144" t="s">
        <v>377</v>
      </c>
      <c r="J4" s="144" t="s">
        <v>379</v>
      </c>
      <c r="K4" s="144" t="s">
        <v>378</v>
      </c>
    </row>
    <row r="5" spans="1:17" s="8" customFormat="1" ht="15" customHeight="1">
      <c r="A5" s="17" t="s">
        <v>181</v>
      </c>
      <c r="G5" s="142" t="s">
        <v>342</v>
      </c>
      <c r="H5" s="142">
        <f>7647+366</f>
        <v>8013</v>
      </c>
      <c r="I5" s="106">
        <f>IF(H5=0,0,VLOOKUP(G5,'Country equity risk premiums'!$A$5:$D$181,4))</f>
        <v>0.1411</v>
      </c>
      <c r="J5" s="106">
        <f t="shared" ref="J5:J12" si="0">IF(H5&gt;0,H5/$H$18,)</f>
        <v>0.50731244064577397</v>
      </c>
      <c r="K5" s="106">
        <f t="shared" ref="K5:K12" si="1">IF(J5=0,0,I5*J5)</f>
        <v>7.1581785375118709E-2</v>
      </c>
      <c r="M5" s="438" t="s">
        <v>562</v>
      </c>
      <c r="N5" s="438"/>
      <c r="O5" s="438"/>
      <c r="P5" s="438"/>
      <c r="Q5" s="438"/>
    </row>
    <row r="6" spans="1:17" s="8" customFormat="1" ht="15" customHeight="1">
      <c r="A6" s="8" t="s">
        <v>182</v>
      </c>
      <c r="B6" s="103">
        <f>'Input sheet'!B18</f>
        <v>607.20000000000005</v>
      </c>
      <c r="G6" s="142"/>
      <c r="H6" s="142"/>
      <c r="I6" s="106">
        <f>IF(H6=0,0,VLOOKUP(G6,'Country equity risk premiums'!$A$5:$D$181,4))</f>
        <v>0</v>
      </c>
      <c r="J6" s="106">
        <f t="shared" si="0"/>
        <v>0</v>
      </c>
      <c r="K6" s="106">
        <f t="shared" si="1"/>
        <v>0</v>
      </c>
      <c r="M6" s="438"/>
      <c r="N6" s="438"/>
      <c r="O6" s="438"/>
      <c r="P6" s="438"/>
      <c r="Q6" s="438"/>
    </row>
    <row r="7" spans="1:17" s="8" customFormat="1" ht="15" customHeight="1">
      <c r="A7" s="8" t="s">
        <v>183</v>
      </c>
      <c r="B7" s="104">
        <f>'Input sheet'!B19</f>
        <v>361</v>
      </c>
      <c r="G7" s="142"/>
      <c r="H7" s="142"/>
      <c r="I7" s="106">
        <f>IF(H7=0,0,VLOOKUP(G7,'Country equity risk premiums'!$A$5:$D$181,4))</f>
        <v>0</v>
      </c>
      <c r="J7" s="106">
        <f t="shared" si="0"/>
        <v>0</v>
      </c>
      <c r="K7" s="106">
        <f t="shared" si="1"/>
        <v>0</v>
      </c>
      <c r="M7" s="438"/>
      <c r="N7" s="438"/>
      <c r="O7" s="438"/>
      <c r="P7" s="438"/>
      <c r="Q7" s="438"/>
    </row>
    <row r="8" spans="1:17" s="8" customFormat="1" ht="15" customHeight="1">
      <c r="G8" s="142"/>
      <c r="H8" s="142"/>
      <c r="I8" s="106">
        <f>IF(H8=0,0,VLOOKUP(G8,'Country equity risk premiums'!$A$5:$D$181,4))</f>
        <v>0</v>
      </c>
      <c r="J8" s="106">
        <f t="shared" si="0"/>
        <v>0</v>
      </c>
      <c r="K8" s="106">
        <f t="shared" si="1"/>
        <v>0</v>
      </c>
      <c r="M8" s="438"/>
      <c r="N8" s="438"/>
      <c r="O8" s="438"/>
      <c r="P8" s="438"/>
      <c r="Q8" s="438"/>
    </row>
    <row r="9" spans="1:17" s="8" customFormat="1" ht="15" customHeight="1">
      <c r="A9" s="8" t="s">
        <v>471</v>
      </c>
      <c r="B9" s="142" t="s">
        <v>447</v>
      </c>
      <c r="G9" s="142"/>
      <c r="H9" s="142"/>
      <c r="I9" s="106">
        <f>IF(H9=0,0,VLOOKUP(G9,'Country equity risk premiums'!$A$5:$D$181,4))</f>
        <v>0</v>
      </c>
      <c r="J9" s="106">
        <f t="shared" si="0"/>
        <v>0</v>
      </c>
      <c r="K9" s="106">
        <f t="shared" si="1"/>
        <v>0</v>
      </c>
      <c r="M9" s="438"/>
      <c r="N9" s="438"/>
      <c r="O9" s="438"/>
      <c r="P9" s="438"/>
      <c r="Q9" s="438"/>
    </row>
    <row r="10" spans="1:17" s="8" customFormat="1" ht="15" customHeight="1">
      <c r="A10" s="8" t="s">
        <v>473</v>
      </c>
      <c r="B10" s="212">
        <v>0.71199999999999997</v>
      </c>
      <c r="G10" s="142"/>
      <c r="H10" s="142"/>
      <c r="I10" s="106">
        <f>IF(H10=0,0,VLOOKUP(G10,'Country equity risk premiums'!$A$5:$D$181,4))</f>
        <v>0</v>
      </c>
      <c r="J10" s="106">
        <f t="shared" si="0"/>
        <v>0</v>
      </c>
      <c r="K10" s="106">
        <f t="shared" si="1"/>
        <v>0</v>
      </c>
      <c r="M10" s="438"/>
      <c r="N10" s="438"/>
      <c r="O10" s="438"/>
      <c r="P10" s="438"/>
      <c r="Q10" s="438"/>
    </row>
    <row r="11" spans="1:17" s="8" customFormat="1" ht="15" customHeight="1">
      <c r="A11" s="8" t="s">
        <v>208</v>
      </c>
      <c r="B11" s="361">
        <f>IF(B9="Single Business(US)",VLOOKUP('Input sheet'!B6,'Industry Average Beta (US)'!A2:G95,7),IF(B9="Multibusiness(US)",K48,IF(B9="Single Business(Global)",VLOOKUP('Input sheet'!B7,'Industry Average Beta (Global)'!A2:G95,7),'Cost of capital worksheet'!K64)))</f>
        <v>0.86566173990819117</v>
      </c>
      <c r="G11" s="142"/>
      <c r="H11" s="142"/>
      <c r="I11" s="106">
        <f>IF(H11=0,0,VLOOKUP(G11,'Country equity risk premiums'!$A$5:$D$181,4))</f>
        <v>0</v>
      </c>
      <c r="J11" s="106">
        <f t="shared" si="0"/>
        <v>0</v>
      </c>
      <c r="K11" s="106">
        <f t="shared" si="1"/>
        <v>0</v>
      </c>
      <c r="M11" s="438"/>
      <c r="N11" s="438"/>
      <c r="O11" s="438"/>
      <c r="P11" s="438"/>
      <c r="Q11" s="438"/>
    </row>
    <row r="12" spans="1:17" s="8" customFormat="1" ht="15" customHeight="1">
      <c r="A12" s="8" t="s">
        <v>184</v>
      </c>
      <c r="B12" s="108">
        <f>'Input sheet'!B30</f>
        <v>0.26600000000000001</v>
      </c>
      <c r="G12" s="142"/>
      <c r="H12" s="142"/>
      <c r="I12" s="106">
        <f>IF(H12=0,0,VLOOKUP(G12,'Country equity risk premiums'!$A$5:$D$181,4))</f>
        <v>0</v>
      </c>
      <c r="J12" s="106">
        <f t="shared" si="0"/>
        <v>0</v>
      </c>
      <c r="K12" s="106">
        <f t="shared" si="1"/>
        <v>0</v>
      </c>
      <c r="M12" s="438"/>
      <c r="N12" s="438"/>
      <c r="O12" s="438"/>
      <c r="P12" s="438"/>
      <c r="Q12" s="438"/>
    </row>
    <row r="13" spans="1:17" s="8" customFormat="1" ht="15" customHeight="1">
      <c r="A13" s="8" t="s">
        <v>437</v>
      </c>
      <c r="B13" s="205" t="s">
        <v>442</v>
      </c>
      <c r="G13" s="142"/>
      <c r="H13" s="142"/>
      <c r="I13" s="106">
        <f>IF(H13=0,0,VLOOKUP(G13,'Country equity risk premiums'!$A$5:$D$181,4))</f>
        <v>0</v>
      </c>
      <c r="J13" s="106">
        <f>IF(H13&gt;0,H13/$H$18,)</f>
        <v>0</v>
      </c>
      <c r="K13" s="106">
        <f>IF(J13=0,0,I13*J13)</f>
        <v>0</v>
      </c>
      <c r="M13" s="438"/>
      <c r="N13" s="438"/>
      <c r="O13" s="438"/>
      <c r="P13" s="438"/>
      <c r="Q13" s="438"/>
    </row>
    <row r="14" spans="1:17" s="8" customFormat="1" ht="15" customHeight="1">
      <c r="A14" s="8" t="s">
        <v>443</v>
      </c>
      <c r="B14" s="205">
        <v>4.5999999999999999E-2</v>
      </c>
      <c r="G14" s="142"/>
      <c r="H14" s="142"/>
      <c r="I14" s="106">
        <f>IF(H14=0,0,VLOOKUP(G14,'Country equity risk premiums'!$A$5:$D$181,4))</f>
        <v>0</v>
      </c>
      <c r="J14" s="106">
        <f>IF(H14&gt;0,H14/$H$18,)</f>
        <v>0</v>
      </c>
      <c r="K14" s="106">
        <f>IF(J14=0,0,I14*J14)</f>
        <v>0</v>
      </c>
      <c r="M14" s="438"/>
      <c r="N14" s="438"/>
      <c r="O14" s="438"/>
      <c r="P14" s="438"/>
      <c r="Q14" s="438"/>
    </row>
    <row r="15" spans="1:17" s="8" customFormat="1" ht="15" customHeight="1">
      <c r="A15" s="8" t="s">
        <v>444</v>
      </c>
      <c r="B15" s="206">
        <f>IF(B13="Will Input",B14,IF(B13="Country of Incorporation",VLOOKUP('Input sheet'!B5,'Country equity risk premiums'!A5:E181,4),IF(B13="Operating regions",'Cost of capital worksheet'!K32,'Cost of capital worksheet'!K18)))</f>
        <v>0.1411</v>
      </c>
      <c r="G15" s="142"/>
      <c r="H15" s="142"/>
      <c r="I15" s="106">
        <f>IF(H15=0,0,VLOOKUP(G15,'Country equity risk premiums'!$A$5:$D$181,4))</f>
        <v>0</v>
      </c>
      <c r="J15" s="106">
        <f>IF(H15&gt;0,H15/$H$18,)</f>
        <v>0</v>
      </c>
      <c r="K15" s="106">
        <f>IF(J15=0,0,I15*J15)</f>
        <v>0</v>
      </c>
      <c r="M15" s="438"/>
      <c r="N15" s="438"/>
      <c r="O15" s="438"/>
      <c r="P15" s="438"/>
      <c r="Q15" s="438"/>
    </row>
    <row r="16" spans="1:17" s="8" customFormat="1" ht="15" customHeight="1">
      <c r="G16" s="283" t="s">
        <v>642</v>
      </c>
      <c r="H16" s="142">
        <f>7782</f>
        <v>7782</v>
      </c>
      <c r="I16" s="302">
        <v>7.3899999999999993E-2</v>
      </c>
      <c r="J16" s="106">
        <f>IF(H16&gt;0,H16/$H$18,)</f>
        <v>0.49268755935422603</v>
      </c>
      <c r="K16" s="106">
        <f>IF(J16=0,0,I16*J16)</f>
        <v>3.6409610636277304E-2</v>
      </c>
      <c r="M16" s="438"/>
      <c r="N16" s="438"/>
      <c r="O16" s="438"/>
      <c r="P16" s="438"/>
      <c r="Q16" s="438"/>
    </row>
    <row r="17" spans="1:17" s="8" customFormat="1" ht="15" customHeight="1">
      <c r="A17" s="17" t="s">
        <v>185</v>
      </c>
      <c r="G17" s="283"/>
      <c r="H17" s="142"/>
      <c r="I17" s="283"/>
      <c r="J17" s="106">
        <f>IF(H17&gt;0,H17/$H$18,)</f>
        <v>0</v>
      </c>
      <c r="K17" s="106">
        <f>IF(J17=0,0,I17*J17)</f>
        <v>0</v>
      </c>
      <c r="M17" s="438"/>
      <c r="N17" s="438"/>
      <c r="O17" s="438"/>
      <c r="P17" s="438"/>
      <c r="Q17" s="438"/>
    </row>
    <row r="18" spans="1:17" s="8" customFormat="1" ht="15" customHeight="1">
      <c r="A18" s="8" t="s">
        <v>186</v>
      </c>
      <c r="B18" s="104">
        <f>'Input sheet'!B12</f>
        <v>19189422.149999999</v>
      </c>
      <c r="G18" s="143" t="s">
        <v>380</v>
      </c>
      <c r="H18" s="143">
        <f>SUM(H5:H17)</f>
        <v>15795</v>
      </c>
      <c r="I18" s="143"/>
      <c r="J18" s="106">
        <f>SUM(J5:J17)</f>
        <v>1</v>
      </c>
      <c r="K18" s="106">
        <f>SUM(K5:K17)</f>
        <v>0.10799139601139601</v>
      </c>
      <c r="M18" s="438"/>
      <c r="N18" s="438"/>
      <c r="O18" s="438"/>
      <c r="P18" s="438"/>
      <c r="Q18" s="438"/>
    </row>
    <row r="19" spans="1:17" s="8" customFormat="1" ht="15" customHeight="1">
      <c r="A19" s="8" t="s">
        <v>187</v>
      </c>
      <c r="B19" s="104">
        <f>'Input sheet'!B10</f>
        <v>1059735</v>
      </c>
      <c r="G19" s="112" t="s">
        <v>445</v>
      </c>
      <c r="M19" s="438"/>
      <c r="N19" s="438"/>
      <c r="O19" s="438"/>
      <c r="P19" s="438"/>
      <c r="Q19" s="438"/>
    </row>
    <row r="20" spans="1:17" s="8" customFormat="1" ht="15" customHeight="1">
      <c r="A20" s="8" t="s">
        <v>188</v>
      </c>
      <c r="B20" s="100">
        <v>3</v>
      </c>
      <c r="G20" s="19" t="s">
        <v>354</v>
      </c>
      <c r="H20" s="19" t="s">
        <v>11</v>
      </c>
      <c r="I20" s="19" t="s">
        <v>377</v>
      </c>
      <c r="J20" s="19" t="s">
        <v>379</v>
      </c>
      <c r="K20" s="19" t="s">
        <v>378</v>
      </c>
    </row>
    <row r="21" spans="1:17" s="8" customFormat="1" ht="15" customHeight="1">
      <c r="A21" s="8" t="s">
        <v>450</v>
      </c>
      <c r="B21" s="115" t="s">
        <v>449</v>
      </c>
      <c r="G21" s="19" t="str">
        <f>'Country equity risk premiums'!A185</f>
        <v>Africa</v>
      </c>
      <c r="H21" s="142"/>
      <c r="I21" s="24">
        <f>'Country equity risk premiums'!B185</f>
        <v>9.664194736704565E-2</v>
      </c>
      <c r="J21" s="106" t="e">
        <f t="shared" ref="J21:J29" si="2">H21/$H$32</f>
        <v>#DIV/0!</v>
      </c>
      <c r="K21" s="145" t="e">
        <f>I21*J21</f>
        <v>#DIV/0!</v>
      </c>
    </row>
    <row r="22" spans="1:17" s="8" customFormat="1" ht="15" customHeight="1">
      <c r="A22" s="8" t="s">
        <v>452</v>
      </c>
      <c r="B22" s="207">
        <v>0.04</v>
      </c>
      <c r="G22" s="19" t="str">
        <f>'Country equity risk premiums'!A186</f>
        <v>Asia</v>
      </c>
      <c r="H22" s="142"/>
      <c r="I22" s="24">
        <f>'Country equity risk premiums'!B186</f>
        <v>5.7467692442688456E-2</v>
      </c>
      <c r="J22" s="106" t="e">
        <f t="shared" si="2"/>
        <v>#DIV/0!</v>
      </c>
      <c r="K22" s="145" t="e">
        <f t="shared" ref="K22:K29" si="3">I22*J22</f>
        <v>#DIV/0!</v>
      </c>
    </row>
    <row r="23" spans="1:17" s="8" customFormat="1" ht="15" customHeight="1">
      <c r="A23" s="8" t="s">
        <v>451</v>
      </c>
      <c r="B23" s="115" t="s">
        <v>464</v>
      </c>
      <c r="G23" s="19" t="str">
        <f>'Country equity risk premiums'!A187</f>
        <v>Australia &amp; New Zealand</v>
      </c>
      <c r="H23" s="142"/>
      <c r="I23" s="24">
        <f>'Country equity risk premiums'!B187</f>
        <v>4.723268292122549E-2</v>
      </c>
      <c r="J23" s="106" t="e">
        <f t="shared" si="2"/>
        <v>#DIV/0!</v>
      </c>
      <c r="K23" s="145" t="e">
        <f t="shared" si="3"/>
        <v>#DIV/0!</v>
      </c>
    </row>
    <row r="24" spans="1:17" s="8" customFormat="1" ht="15" customHeight="1">
      <c r="A24" s="8" t="s">
        <v>468</v>
      </c>
      <c r="B24" s="115">
        <v>1</v>
      </c>
      <c r="G24" s="19" t="str">
        <f>'Country equity risk premiums'!A188</f>
        <v>Caribbean</v>
      </c>
      <c r="H24" s="142"/>
      <c r="I24" s="24">
        <f>'Country equity risk premiums'!B188</f>
        <v>0.10031257462365305</v>
      </c>
      <c r="J24" s="106" t="e">
        <f t="shared" si="2"/>
        <v>#DIV/0!</v>
      </c>
      <c r="K24" s="145" t="e">
        <f t="shared" si="3"/>
        <v>#DIV/0!</v>
      </c>
    </row>
    <row r="25" spans="1:17" s="8" customFormat="1" ht="15" customHeight="1">
      <c r="A25" s="8" t="s">
        <v>123</v>
      </c>
      <c r="B25" s="206">
        <f>IF(B21="Direct Input",B22,IF(B21="Synthetic Rating",'Synthetic rating'!D13,B12+VLOOKUP('Cost of capital worksheet'!B23,'Synthetic rating'!G39:H53,2)))</f>
        <v>0.27779999999999999</v>
      </c>
      <c r="G25" s="19" t="str">
        <f>'Country equity risk premiums'!A189</f>
        <v>Central and South America</v>
      </c>
      <c r="H25" s="142"/>
      <c r="I25" s="24">
        <f>'Country equity risk premiums'!B189</f>
        <v>8.7100431721070987E-2</v>
      </c>
      <c r="J25" s="106" t="e">
        <f t="shared" si="2"/>
        <v>#DIV/0!</v>
      </c>
      <c r="K25" s="145" t="e">
        <f t="shared" si="3"/>
        <v>#DIV/0!</v>
      </c>
    </row>
    <row r="26" spans="1:17" s="8" customFormat="1" ht="15" customHeight="1">
      <c r="A26" s="8" t="s">
        <v>189</v>
      </c>
      <c r="B26" s="209">
        <f>'Input sheet'!B21</f>
        <v>0.25</v>
      </c>
      <c r="G26" s="19" t="str">
        <f>'Country equity risk premiums'!A190</f>
        <v>Eastern Europe &amp; Russia</v>
      </c>
      <c r="H26" s="142"/>
      <c r="I26" s="24">
        <f>'Country equity risk premiums'!B190</f>
        <v>6.798054108360041E-2</v>
      </c>
      <c r="J26" s="106" t="e">
        <f t="shared" si="2"/>
        <v>#DIV/0!</v>
      </c>
      <c r="K26" s="145" t="e">
        <f t="shared" si="3"/>
        <v>#DIV/0!</v>
      </c>
    </row>
    <row r="27" spans="1:17" s="8" customFormat="1" ht="15" customHeight="1">
      <c r="G27" s="19" t="str">
        <f>'Country equity risk premiums'!A191</f>
        <v>Middle East</v>
      </c>
      <c r="H27" s="142"/>
      <c r="I27" s="24">
        <f>'Country equity risk premiums'!B191</f>
        <v>6.2501785433972112E-2</v>
      </c>
      <c r="J27" s="106" t="e">
        <f t="shared" si="2"/>
        <v>#DIV/0!</v>
      </c>
      <c r="K27" s="145" t="e">
        <f t="shared" si="3"/>
        <v>#DIV/0!</v>
      </c>
    </row>
    <row r="28" spans="1:17" s="8" customFormat="1" ht="15" customHeight="1">
      <c r="A28" s="8" t="s">
        <v>190</v>
      </c>
      <c r="B28" s="100">
        <v>0</v>
      </c>
      <c r="G28" s="19" t="str">
        <f>'Country equity risk premiums'!A192</f>
        <v>North America</v>
      </c>
      <c r="H28" s="142"/>
      <c r="I28" s="24">
        <f>'Country equity risk premiums'!B192</f>
        <v>4.7199999999999999E-2</v>
      </c>
      <c r="J28" s="106" t="e">
        <f t="shared" si="2"/>
        <v>#DIV/0!</v>
      </c>
      <c r="K28" s="145" t="e">
        <f t="shared" si="3"/>
        <v>#DIV/0!</v>
      </c>
    </row>
    <row r="29" spans="1:17" s="8" customFormat="1" ht="15" customHeight="1">
      <c r="A29" s="8" t="s">
        <v>191</v>
      </c>
      <c r="B29" s="100">
        <v>0</v>
      </c>
      <c r="G29" s="19" t="str">
        <f>'Country equity risk premiums'!A193</f>
        <v>Western Europe</v>
      </c>
      <c r="H29" s="142"/>
      <c r="I29" s="24">
        <f>'Country equity risk premiums'!B193</f>
        <v>5.5597475094507666E-2</v>
      </c>
      <c r="J29" s="106" t="e">
        <f t="shared" si="2"/>
        <v>#DIV/0!</v>
      </c>
      <c r="K29" s="145" t="e">
        <f t="shared" si="3"/>
        <v>#DIV/0!</v>
      </c>
    </row>
    <row r="30" spans="1:17" s="8" customFormat="1" ht="15" customHeight="1">
      <c r="A30" s="8" t="s">
        <v>192</v>
      </c>
      <c r="B30" s="100">
        <v>0</v>
      </c>
      <c r="G30" s="142"/>
      <c r="H30" s="142"/>
      <c r="I30" s="284"/>
      <c r="J30" s="106" t="e">
        <f>H30/$H$32</f>
        <v>#DIV/0!</v>
      </c>
      <c r="K30" s="145" t="e">
        <f>I30*J30</f>
        <v>#DIV/0!</v>
      </c>
    </row>
    <row r="31" spans="1:17" s="8" customFormat="1" ht="15" customHeight="1">
      <c r="A31" s="8" t="s">
        <v>193</v>
      </c>
      <c r="B31" s="100">
        <v>0</v>
      </c>
      <c r="G31" s="142"/>
      <c r="H31" s="142"/>
      <c r="I31" s="284"/>
      <c r="J31" s="106" t="e">
        <f>H31/$H$32</f>
        <v>#DIV/0!</v>
      </c>
      <c r="K31" s="145" t="e">
        <f>I31*J31</f>
        <v>#DIV/0!</v>
      </c>
    </row>
    <row r="32" spans="1:17" s="8" customFormat="1" ht="15" customHeight="1">
      <c r="G32" s="143" t="s">
        <v>380</v>
      </c>
      <c r="H32" s="143">
        <f>SUM(H21:H31)</f>
        <v>0</v>
      </c>
      <c r="I32" s="108"/>
      <c r="J32" s="106" t="e">
        <f>SUM(J21:J31)</f>
        <v>#DIV/0!</v>
      </c>
      <c r="K32" s="146" t="e">
        <f>SUM(K21:K31)</f>
        <v>#DIV/0!</v>
      </c>
    </row>
    <row r="33" spans="1:11" s="8" customFormat="1" ht="15" customHeight="1">
      <c r="A33" s="8" t="s">
        <v>194</v>
      </c>
      <c r="B33" s="104">
        <f>IF('Input sheet'!B14="Yes",'Operating lease converter'!F33,0)</f>
        <v>0</v>
      </c>
    </row>
    <row r="34" spans="1:11" s="8" customFormat="1" ht="15" customHeight="1">
      <c r="G34" s="99" t="s">
        <v>474</v>
      </c>
    </row>
    <row r="35" spans="1:11" s="8" customFormat="1" ht="15" customHeight="1">
      <c r="A35" s="17" t="s">
        <v>195</v>
      </c>
      <c r="G35" s="19" t="s">
        <v>390</v>
      </c>
      <c r="H35" s="19" t="s">
        <v>11</v>
      </c>
      <c r="I35" s="19" t="s">
        <v>167</v>
      </c>
      <c r="J35" s="19" t="s">
        <v>391</v>
      </c>
      <c r="K35" s="19" t="s">
        <v>209</v>
      </c>
    </row>
    <row r="36" spans="1:11" s="8" customFormat="1" ht="15" customHeight="1">
      <c r="A36" s="8" t="s">
        <v>196</v>
      </c>
      <c r="B36" s="100">
        <v>0</v>
      </c>
      <c r="G36" s="142"/>
      <c r="H36" s="152"/>
      <c r="I36" s="153">
        <f>IF(G36=0,,VLOOKUP(G36,'Industry Average Beta (US)'!$A$2:$S$95,15))</f>
        <v>0</v>
      </c>
      <c r="J36" s="154">
        <f>H36*I36</f>
        <v>0</v>
      </c>
      <c r="K36" s="153">
        <f>IF(I36=0,0,VLOOKUP(G36,'Industry Average Beta (US)'!$A$2:$S$95,7))</f>
        <v>0</v>
      </c>
    </row>
    <row r="37" spans="1:11" s="8" customFormat="1" ht="15" customHeight="1">
      <c r="A37" s="8" t="s">
        <v>197</v>
      </c>
      <c r="B37" s="100">
        <v>361</v>
      </c>
      <c r="G37" s="142"/>
      <c r="H37" s="152"/>
      <c r="I37" s="153">
        <f>IF(G37=0,,VLOOKUP(G37,'Industry Average Beta (US)'!$A$2:$S$95,15))</f>
        <v>0</v>
      </c>
      <c r="J37" s="154">
        <f>H37*I37</f>
        <v>0</v>
      </c>
      <c r="K37" s="153">
        <f>IF(I37=0,0,VLOOKUP(G37,'Industry Average Beta (US)'!$A$2:$S$95,7))</f>
        <v>0</v>
      </c>
    </row>
    <row r="38" spans="1:11" s="8" customFormat="1" ht="15" customHeight="1">
      <c r="A38" s="8" t="s">
        <v>198</v>
      </c>
      <c r="B38" s="100">
        <v>1.25</v>
      </c>
      <c r="G38" s="142"/>
      <c r="H38" s="152"/>
      <c r="I38" s="153">
        <f>IF(G38=0,,VLOOKUP(G38,'Industry Average Beta (US)'!$A$2:$S$95,15))</f>
        <v>0</v>
      </c>
      <c r="J38" s="154">
        <f t="shared" ref="J38:J47" si="4">H38*I38</f>
        <v>0</v>
      </c>
      <c r="K38" s="153">
        <f>IF(I38=0,0,VLOOKUP(G38,'Industry Average Beta (US)'!$A$2:$S$95,7))</f>
        <v>0</v>
      </c>
    </row>
    <row r="39" spans="1:11" s="8" customFormat="1" ht="15" customHeight="1">
      <c r="G39" s="142"/>
      <c r="H39" s="152"/>
      <c r="I39" s="153">
        <f>IF(G39=0,,VLOOKUP(G39,'Industry Average Beta (US)'!$A$2:$S$95,15))</f>
        <v>0</v>
      </c>
      <c r="J39" s="154">
        <f t="shared" si="4"/>
        <v>0</v>
      </c>
      <c r="K39" s="153">
        <f>IF(I39=0,0,VLOOKUP(G39,'Industry Average Beta (US)'!$A$2:$S$95,7))</f>
        <v>0</v>
      </c>
    </row>
    <row r="40" spans="1:11" s="101" customFormat="1" ht="15" customHeight="1">
      <c r="A40" s="14" t="s">
        <v>122</v>
      </c>
      <c r="B40" s="8"/>
      <c r="C40" s="8"/>
      <c r="D40" s="8"/>
      <c r="E40" s="8"/>
      <c r="F40" s="8"/>
      <c r="G40" s="142"/>
      <c r="H40" s="152"/>
      <c r="I40" s="153">
        <f>IF(G40=0,,VLOOKUP(G40,'Industry Average Beta (US)'!$A$2:$S$95,15))</f>
        <v>0</v>
      </c>
      <c r="J40" s="154">
        <f t="shared" si="4"/>
        <v>0</v>
      </c>
      <c r="K40" s="153">
        <f>IF(I40=0,0,VLOOKUP(G40,'Industry Average Beta (US)'!$A$2:$S$95,7))</f>
        <v>0</v>
      </c>
    </row>
    <row r="41" spans="1:11" s="8" customFormat="1" ht="15" customHeight="1">
      <c r="A41" s="19" t="s">
        <v>199</v>
      </c>
      <c r="B41" s="19"/>
      <c r="C41" s="105">
        <f>B19*(1-(1+B25)^(-B20))/B25+B18/(1+B25)^B20</f>
        <v>11183892.090044413</v>
      </c>
      <c r="G41" s="142"/>
      <c r="H41" s="152"/>
      <c r="I41" s="153">
        <f>IF(G41=0,,VLOOKUP(G41,'Industry Average Beta (US)'!$A$2:$S$95,15))</f>
        <v>0</v>
      </c>
      <c r="J41" s="154">
        <f t="shared" si="4"/>
        <v>0</v>
      </c>
      <c r="K41" s="153">
        <f>IF(I41=0,0,VLOOKUP(G41,'Industry Average Beta (US)'!$A$2:$S$95,7))</f>
        <v>0</v>
      </c>
    </row>
    <row r="42" spans="1:11" s="8" customFormat="1" ht="15" customHeight="1">
      <c r="A42" s="19" t="s">
        <v>200</v>
      </c>
      <c r="B42" s="19"/>
      <c r="C42" s="105">
        <f>B29*(1-(1+B25)^(-B30))/B25+B28/(1+B25)^B30</f>
        <v>0</v>
      </c>
      <c r="G42" s="142"/>
      <c r="H42" s="152"/>
      <c r="I42" s="153">
        <f>IF(G42=0,,VLOOKUP(G42,'Industry Average Beta (US)'!$A$2:$S$95,15))</f>
        <v>0</v>
      </c>
      <c r="J42" s="154">
        <f t="shared" si="4"/>
        <v>0</v>
      </c>
      <c r="K42" s="153">
        <f>IF(I42=0,0,VLOOKUP(G42,'Industry Average Beta (US)'!$A$2:$S$95,7))</f>
        <v>0</v>
      </c>
    </row>
    <row r="43" spans="1:11" s="8" customFormat="1" ht="15" customHeight="1">
      <c r="A43" s="19" t="s">
        <v>201</v>
      </c>
      <c r="B43" s="19"/>
      <c r="C43" s="105">
        <f>B33</f>
        <v>0</v>
      </c>
      <c r="G43" s="142"/>
      <c r="H43" s="152"/>
      <c r="I43" s="153">
        <f>IF(G43=0,,VLOOKUP(G43,'Industry Average Beta (US)'!$A$2:$S$95,15))</f>
        <v>0</v>
      </c>
      <c r="J43" s="154">
        <f t="shared" si="4"/>
        <v>0</v>
      </c>
      <c r="K43" s="153">
        <f>IF(I43=0,0,VLOOKUP(G43,'Industry Average Beta (US)'!$A$2:$S$95,7))</f>
        <v>0</v>
      </c>
    </row>
    <row r="44" spans="1:11" ht="13">
      <c r="A44" s="19" t="s">
        <v>202</v>
      </c>
      <c r="B44" s="19"/>
      <c r="C44" s="105">
        <f>B31-C42</f>
        <v>0</v>
      </c>
      <c r="D44" s="8"/>
      <c r="E44" s="8"/>
      <c r="F44" s="8"/>
      <c r="G44" s="142"/>
      <c r="H44" s="152"/>
      <c r="I44" s="153">
        <f>IF(G44=0,,VLOOKUP(G44,'Industry Average Beta (US)'!$A$2:$S$95,15))</f>
        <v>0</v>
      </c>
      <c r="J44" s="154">
        <f t="shared" si="4"/>
        <v>0</v>
      </c>
      <c r="K44" s="153">
        <f>IF(I44=0,0,VLOOKUP(G44,'Industry Average Beta (US)'!$A$2:$S$95,7))</f>
        <v>0</v>
      </c>
    </row>
    <row r="45" spans="1:11" ht="13">
      <c r="A45" s="19" t="s">
        <v>210</v>
      </c>
      <c r="B45" s="19"/>
      <c r="C45" s="111">
        <f>IF(B9="Direct Input",B10,B11*(1+(1-B26)*(C48/B48)))</f>
        <v>0.71199999999999997</v>
      </c>
      <c r="D45" s="8"/>
      <c r="E45" s="8"/>
      <c r="F45" s="8"/>
      <c r="G45" s="142"/>
      <c r="H45" s="152"/>
      <c r="I45" s="153">
        <f>IF(G45=0,,VLOOKUP(G45,'Industry Average Beta (US)'!$A$2:$S$95,15))</f>
        <v>0</v>
      </c>
      <c r="J45" s="154">
        <f t="shared" si="4"/>
        <v>0</v>
      </c>
      <c r="K45" s="153">
        <f>IF(I45=0,0,VLOOKUP(G45,'Industry Average Beta (US)'!$A$2:$S$95,7))</f>
        <v>0</v>
      </c>
    </row>
    <row r="46" spans="1:11" ht="13">
      <c r="A46" s="8"/>
      <c r="B46" s="8"/>
      <c r="C46" s="111"/>
      <c r="D46" s="8"/>
      <c r="E46" s="8"/>
      <c r="F46" s="8"/>
      <c r="G46" s="142"/>
      <c r="H46" s="152"/>
      <c r="I46" s="153">
        <f>IF(G46=0,,VLOOKUP(G46,'Industry Average Beta (US)'!$A$2:$S$95,15))</f>
        <v>0</v>
      </c>
      <c r="J46" s="154">
        <f t="shared" si="4"/>
        <v>0</v>
      </c>
      <c r="K46" s="153">
        <f>IF(I46=0,0,VLOOKUP(G46,'Industry Average Beta (US)'!$A$2:$S$95,7))</f>
        <v>0</v>
      </c>
    </row>
    <row r="47" spans="1:11" ht="13">
      <c r="A47" s="101"/>
      <c r="B47" s="102" t="s">
        <v>181</v>
      </c>
      <c r="C47" s="102" t="s">
        <v>203</v>
      </c>
      <c r="D47" s="102" t="s">
        <v>195</v>
      </c>
      <c r="E47" s="102" t="s">
        <v>204</v>
      </c>
      <c r="F47" s="101"/>
      <c r="G47" s="142"/>
      <c r="H47" s="152"/>
      <c r="I47" s="153">
        <f>IF(G47=0,,VLOOKUP(G47,'Industry Average Beta (US)'!$A$2:$S$95,15))</f>
        <v>0</v>
      </c>
      <c r="J47" s="154">
        <f t="shared" si="4"/>
        <v>0</v>
      </c>
      <c r="K47" s="153">
        <f>IF(I47=0,0,VLOOKUP(G47,'Industry Average Beta (US)'!$A$2:$S$95,7))</f>
        <v>0</v>
      </c>
    </row>
    <row r="48" spans="1:11" ht="13">
      <c r="A48" s="19" t="s">
        <v>205</v>
      </c>
      <c r="B48" s="105">
        <f>B6*B7</f>
        <v>219199.2</v>
      </c>
      <c r="C48" s="105">
        <f>C41+C42+C43</f>
        <v>11183892.090044413</v>
      </c>
      <c r="D48" s="105">
        <f>B36*B37</f>
        <v>0</v>
      </c>
      <c r="E48" s="104">
        <f>SUM(B48:D48)</f>
        <v>11403091.290044412</v>
      </c>
      <c r="F48" s="8"/>
      <c r="G48" s="155" t="s">
        <v>238</v>
      </c>
      <c r="H48" s="156">
        <f>SUM(H36:H47)</f>
        <v>0</v>
      </c>
      <c r="I48" s="157"/>
      <c r="J48" s="154">
        <f>SUM(J36:J47)</f>
        <v>0</v>
      </c>
      <c r="K48" s="157" t="e">
        <f>K36*(J36/J48)+K37*J37/J48+K38*J38/J48+K39*J39/J48+K40*J40/J48+K41*J41/J48+K42*J42/J48+K43*J43/J48+K44*J44/J48+K45*J45/J48+K46*J46/J48+K47*J47/J48</f>
        <v>#DIV/0!</v>
      </c>
    </row>
    <row r="49" spans="1:11" ht="13.5" thickBot="1">
      <c r="A49" s="19" t="s">
        <v>206</v>
      </c>
      <c r="B49" s="106">
        <f>B48/$E$48</f>
        <v>1.9222787437593713E-2</v>
      </c>
      <c r="C49" s="106">
        <f>C48/$E$48</f>
        <v>0.98077721256240635</v>
      </c>
      <c r="D49" s="106">
        <f>D48/$E$48</f>
        <v>0</v>
      </c>
      <c r="E49" s="107">
        <f>SUM(B49:D49)</f>
        <v>1</v>
      </c>
      <c r="F49" s="8"/>
    </row>
    <row r="50" spans="1:11" ht="18" thickBot="1">
      <c r="A50" s="19" t="s">
        <v>207</v>
      </c>
      <c r="B50" s="108">
        <f>B12+C45*B15</f>
        <v>0.36646319999999999</v>
      </c>
      <c r="C50" s="106">
        <f>B25*(1-B26)</f>
        <v>0.20834999999999998</v>
      </c>
      <c r="D50" s="109">
        <f>B38/B37</f>
        <v>3.4626038781163434E-3</v>
      </c>
      <c r="E50" s="110">
        <f>B49*B50+C49*C50+D49*D50</f>
        <v>0.21138937643467773</v>
      </c>
      <c r="F50" s="8"/>
      <c r="G50" s="213" t="s">
        <v>475</v>
      </c>
    </row>
    <row r="51" spans="1:11" ht="13">
      <c r="G51" s="19" t="s">
        <v>390</v>
      </c>
      <c r="H51" s="19" t="s">
        <v>11</v>
      </c>
      <c r="I51" s="19" t="s">
        <v>167</v>
      </c>
      <c r="J51" s="19" t="s">
        <v>391</v>
      </c>
      <c r="K51" s="19" t="s">
        <v>209</v>
      </c>
    </row>
    <row r="52" spans="1:11" ht="13">
      <c r="G52" s="142" t="s">
        <v>744</v>
      </c>
      <c r="H52" s="152">
        <v>147715566</v>
      </c>
      <c r="I52" s="153">
        <f>IF(G52=0,,VLOOKUP(G52,'Industry Average Beta (Global)'!$A$2:$O$95,15))</f>
        <v>0.98109573609362766</v>
      </c>
      <c r="J52" s="154">
        <f>H52*I52</f>
        <v>144923111.95725682</v>
      </c>
      <c r="K52" s="153">
        <f>IF(G52=0,,VLOOKUP(G52,'Industry Average Beta (Global)'!$A$2:$O$95,7))</f>
        <v>0.86566173990819117</v>
      </c>
    </row>
    <row r="53" spans="1:11" ht="13">
      <c r="G53" s="142"/>
      <c r="H53" s="152"/>
      <c r="I53" s="153">
        <f>IF(G53=0,,VLOOKUP(G53,'Industry Average Beta (Global)'!$A$2:$O$95,15))</f>
        <v>0</v>
      </c>
      <c r="J53" s="154">
        <f>H53*I53</f>
        <v>0</v>
      </c>
      <c r="K53" s="153">
        <f>IF(G53=0,,VLOOKUP(G53,'Industry Average Beta (Global)'!$A$2:$O$95,7))</f>
        <v>0</v>
      </c>
    </row>
    <row r="54" spans="1:11" ht="13">
      <c r="G54" s="142"/>
      <c r="H54" s="152"/>
      <c r="I54" s="153">
        <f>IF(G54=0,,VLOOKUP(G54,'Industry Average Beta (Global)'!$A$2:$O$95,15))</f>
        <v>0</v>
      </c>
      <c r="J54" s="154">
        <f t="shared" ref="J54:J63" si="5">H54*I54</f>
        <v>0</v>
      </c>
      <c r="K54" s="153">
        <f>IF(G54=0,,VLOOKUP(G54,'Industry Average Beta (Global)'!$A$2:$O$95,7))</f>
        <v>0</v>
      </c>
    </row>
    <row r="55" spans="1:11" ht="13">
      <c r="G55" s="142"/>
      <c r="H55" s="152"/>
      <c r="I55" s="153">
        <f>IF(G55=0,,VLOOKUP(G55,'Industry Average Beta (Global)'!$A$2:$O$95,15))</f>
        <v>0</v>
      </c>
      <c r="J55" s="154">
        <f t="shared" si="5"/>
        <v>0</v>
      </c>
      <c r="K55" s="153">
        <f>IF(G55=0,,VLOOKUP(G55,'Industry Average Beta (Global)'!$A$2:$O$95,7))</f>
        <v>0</v>
      </c>
    </row>
    <row r="56" spans="1:11" ht="13">
      <c r="G56" s="142"/>
      <c r="H56" s="152"/>
      <c r="I56" s="153">
        <f>IF(G56=0,,VLOOKUP(G56,'Industry Average Beta (Global)'!$A$2:$O$95,15))</f>
        <v>0</v>
      </c>
      <c r="J56" s="154">
        <f t="shared" si="5"/>
        <v>0</v>
      </c>
      <c r="K56" s="153">
        <f>IF(G56=0,,VLOOKUP(G56,'Industry Average Beta (Global)'!$A$2:$O$95,7))</f>
        <v>0</v>
      </c>
    </row>
    <row r="57" spans="1:11" ht="13">
      <c r="G57" s="142"/>
      <c r="H57" s="152"/>
      <c r="I57" s="153">
        <f>IF(G57=0,,VLOOKUP(G57,'Industry Average Beta (Global)'!$A$2:$O$95,15))</f>
        <v>0</v>
      </c>
      <c r="J57" s="154">
        <f t="shared" si="5"/>
        <v>0</v>
      </c>
      <c r="K57" s="153">
        <f>IF(G57=0,,VLOOKUP(G57,'Industry Average Beta (Global)'!$A$2:$O$95,7))</f>
        <v>0</v>
      </c>
    </row>
    <row r="58" spans="1:11" ht="13">
      <c r="G58" s="142"/>
      <c r="H58" s="152"/>
      <c r="I58" s="153">
        <f>IF(G58=0,,VLOOKUP(G58,'Industry Average Beta (Global)'!$A$2:$O$95,15))</f>
        <v>0</v>
      </c>
      <c r="J58" s="154">
        <f t="shared" si="5"/>
        <v>0</v>
      </c>
      <c r="K58" s="153">
        <f>IF(G58=0,,VLOOKUP(G58,'Industry Average Beta (Global)'!$A$2:$O$95,7))</f>
        <v>0</v>
      </c>
    </row>
    <row r="59" spans="1:11" ht="13">
      <c r="G59" s="142"/>
      <c r="H59" s="152"/>
      <c r="I59" s="153">
        <f>IF(G59=0,,VLOOKUP(G59,'Industry Average Beta (Global)'!$A$2:$O$95,15))</f>
        <v>0</v>
      </c>
      <c r="J59" s="154">
        <f t="shared" si="5"/>
        <v>0</v>
      </c>
      <c r="K59" s="153">
        <f>IF(G59=0,,VLOOKUP(G59,'Industry Average Beta (Global)'!$A$2:$O$95,7))</f>
        <v>0</v>
      </c>
    </row>
    <row r="60" spans="1:11" ht="13">
      <c r="G60" s="142"/>
      <c r="H60" s="152"/>
      <c r="I60" s="153">
        <f>IF(G60=0,,VLOOKUP(G60,'Industry Average Beta (Global)'!$A$2:$O$95,15))</f>
        <v>0</v>
      </c>
      <c r="J60" s="154">
        <f t="shared" si="5"/>
        <v>0</v>
      </c>
      <c r="K60" s="153">
        <f>IF(G60=0,,VLOOKUP(G60,'Industry Average Beta (Global)'!$A$2:$O$95,7))</f>
        <v>0</v>
      </c>
    </row>
    <row r="61" spans="1:11" ht="13">
      <c r="G61" s="142"/>
      <c r="H61" s="152"/>
      <c r="I61" s="153">
        <f>IF(G61=0,,VLOOKUP(G61,'Industry Average Beta (Global)'!$A$2:$O$95,15))</f>
        <v>0</v>
      </c>
      <c r="J61" s="154">
        <f t="shared" si="5"/>
        <v>0</v>
      </c>
      <c r="K61" s="153">
        <f>IF(G61=0,,VLOOKUP(G61,'Industry Average Beta (Global)'!$A$2:$O$95,7))</f>
        <v>0</v>
      </c>
    </row>
    <row r="62" spans="1:11" ht="13">
      <c r="G62" s="142"/>
      <c r="H62" s="152"/>
      <c r="I62" s="153">
        <f>IF(G62=0,,VLOOKUP(G62,'Industry Average Beta (Global)'!$A$2:$O$95,15))</f>
        <v>0</v>
      </c>
      <c r="J62" s="154">
        <f t="shared" si="5"/>
        <v>0</v>
      </c>
      <c r="K62" s="153">
        <f>IF(G62=0,,VLOOKUP(G62,'Industry Average Beta (Global)'!$A$2:$O$95,7))</f>
        <v>0</v>
      </c>
    </row>
    <row r="63" spans="1:11" ht="13">
      <c r="G63" s="142"/>
      <c r="H63" s="152"/>
      <c r="I63" s="153">
        <f>IF(G63=0,,VLOOKUP(G63,'Industry Average Beta (Global)'!$A$2:$O$95,15))</f>
        <v>0</v>
      </c>
      <c r="J63" s="154">
        <f t="shared" si="5"/>
        <v>0</v>
      </c>
      <c r="K63" s="153">
        <f>IF(G63=0,,VLOOKUP(G63,'Industry Average Beta (Global)'!$A$2:$O$95,7))</f>
        <v>0</v>
      </c>
    </row>
    <row r="64" spans="1:11" ht="13">
      <c r="G64" s="155" t="s">
        <v>238</v>
      </c>
      <c r="H64" s="156">
        <f>SUM(H52:H63)</f>
        <v>147715566</v>
      </c>
      <c r="I64" s="157"/>
      <c r="J64" s="154">
        <f>SUM(J52:J63)</f>
        <v>144923111.95725682</v>
      </c>
      <c r="K64" s="157">
        <f>K52*(J52/J64)+K53*J53/J64+K54*J54/J64+K55*J55/J64+K56*J56/J64+K57*J57/J64+K58*J58/J64+K59*J59/J64+K60*J60/J64+K61*J61/J64+K62*J62/J64+K63*J63/J64</f>
        <v>0.86566173990819117</v>
      </c>
    </row>
  </sheetData>
  <mergeCells count="2">
    <mergeCell ref="M5:Q19"/>
    <mergeCell ref="A1:K2"/>
  </mergeCells>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800-000000000000}">
          <x14:formula1>
            <xm:f>'Answer keys'!$F$2:$F$6</xm:f>
          </x14:formula1>
          <xm:sqref>B9</xm:sqref>
        </x14:dataValidation>
        <x14:dataValidation type="list" allowBlank="1" showInputMessage="1" showErrorMessage="1" xr:uid="{00000000-0002-0000-0800-000001000000}">
          <x14:formula1>
            <xm:f>'Answer keys'!$C$2:$C$5</xm:f>
          </x14:formula1>
          <xm:sqref>B13</xm:sqref>
        </x14:dataValidation>
        <x14:dataValidation type="list" allowBlank="1" showInputMessage="1" showErrorMessage="1" xr:uid="{00000000-0002-0000-0800-000002000000}">
          <x14:formula1>
            <xm:f>'Answer keys'!$D$2:$D$4</xm:f>
          </x14:formula1>
          <xm:sqref>B21</xm:sqref>
        </x14:dataValidation>
        <x14:dataValidation type="list" allowBlank="1" showInputMessage="1" showErrorMessage="1" xr:uid="{00000000-0002-0000-0800-000003000000}">
          <x14:formula1>
            <xm:f>'Answer keys'!$E$2:$E$3</xm:f>
          </x14:formula1>
          <xm:sqref>B24</xm:sqref>
        </x14:dataValidation>
        <x14:dataValidation type="list" allowBlank="1" showInputMessage="1" showErrorMessage="1" xr:uid="{00000000-0002-0000-0800-000005000000}">
          <x14:formula1>
            <xm:f>'Industry Average Beta (US)'!$A$2:$A$95</xm:f>
          </x14:formula1>
          <xm:sqref>G36:G47</xm:sqref>
        </x14:dataValidation>
        <x14:dataValidation type="list" allowBlank="1" showInputMessage="1" showErrorMessage="1" xr:uid="{00000000-0002-0000-0800-000007000000}">
          <x14:formula1>
            <xm:f>'Industry Average Beta (Global)'!$A$2:$A$95</xm:f>
          </x14:formula1>
          <xm:sqref>G52:G63</xm:sqref>
        </x14:dataValidation>
        <x14:dataValidation type="list" allowBlank="1" showInputMessage="1" showErrorMessage="1" xr:uid="{4AF2EE2E-6730-2641-9120-5D88C4C3C2F0}">
          <x14:formula1>
            <xm:f>'Answer keys'!$G$2:$G$16</xm:f>
          </x14:formula1>
          <xm:sqref>B23</xm:sqref>
        </x14:dataValidation>
        <x14:dataValidation type="list" allowBlank="1" showInputMessage="1" showErrorMessage="1" xr:uid="{D1CF3BBB-EEC3-F149-B56B-8213DBD42B6F}">
          <x14:formula1>
            <xm:f>'Country equity risk premiums'!$A$5:$A$181</xm:f>
          </x14:formula1>
          <xm:sqref>G5:G15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0"/>
  <sheetViews>
    <sheetView topLeftCell="A3" workbookViewId="0">
      <selection activeCell="F6" sqref="F6"/>
    </sheetView>
  </sheetViews>
  <sheetFormatPr defaultColWidth="11.19921875" defaultRowHeight="11.5"/>
  <sheetData>
    <row r="1" spans="1:10" s="6" customFormat="1" ht="17.5">
      <c r="A1" s="29" t="s">
        <v>401</v>
      </c>
      <c r="B1" s="29"/>
      <c r="C1" s="29"/>
      <c r="D1" s="29"/>
      <c r="E1" s="29"/>
      <c r="F1" s="29"/>
      <c r="G1" s="29"/>
      <c r="H1" s="29"/>
      <c r="I1" s="29"/>
      <c r="J1" s="29"/>
    </row>
    <row r="2" spans="1:10" s="8" customFormat="1" ht="13">
      <c r="A2" s="8" t="s">
        <v>402</v>
      </c>
    </row>
    <row r="3" spans="1:10" s="8" customFormat="1" ht="13">
      <c r="A3" s="8" t="s">
        <v>403</v>
      </c>
    </row>
    <row r="4" spans="1:10" s="8" customFormat="1" ht="13"/>
    <row r="5" spans="1:10" s="8" customFormat="1" ht="13">
      <c r="A5" s="17" t="s">
        <v>6</v>
      </c>
    </row>
    <row r="6" spans="1:10" s="8" customFormat="1" ht="13">
      <c r="A6" s="8" t="s">
        <v>404</v>
      </c>
      <c r="F6" s="115"/>
      <c r="G6" s="8" t="s">
        <v>405</v>
      </c>
    </row>
    <row r="7" spans="1:10" s="8" customFormat="1" ht="13">
      <c r="A7" s="8" t="s">
        <v>406</v>
      </c>
      <c r="F7" s="33"/>
      <c r="G7" s="8" t="s">
        <v>407</v>
      </c>
    </row>
    <row r="8" spans="1:10" s="8" customFormat="1" ht="13">
      <c r="A8" s="8" t="s">
        <v>408</v>
      </c>
    </row>
    <row r="9" spans="1:10" s="8" customFormat="1" ht="13">
      <c r="A9" s="8" t="s">
        <v>409</v>
      </c>
    </row>
    <row r="10" spans="1:10" s="163" customFormat="1" ht="13">
      <c r="A10" s="161" t="s">
        <v>118</v>
      </c>
      <c r="B10" s="161" t="s">
        <v>410</v>
      </c>
      <c r="C10" s="162"/>
      <c r="D10" s="162"/>
      <c r="E10" s="162"/>
      <c r="F10" s="162"/>
      <c r="G10" s="162"/>
      <c r="H10" s="162"/>
      <c r="I10" s="162"/>
    </row>
    <row r="11" spans="1:10" s="163" customFormat="1" ht="13">
      <c r="A11" s="164">
        <v>-1</v>
      </c>
      <c r="B11" s="165"/>
      <c r="C11" s="162" t="s">
        <v>411</v>
      </c>
      <c r="D11" s="162"/>
      <c r="E11" s="162"/>
      <c r="F11" s="162"/>
      <c r="G11" s="162"/>
      <c r="H11" s="162"/>
      <c r="I11" s="162"/>
    </row>
    <row r="12" spans="1:10" s="163" customFormat="1" ht="13">
      <c r="A12" s="164">
        <f>IF((0-A11)&lt;$F$6,IF(A11&gt;-1,,A11-1),)</f>
        <v>0</v>
      </c>
      <c r="B12" s="165"/>
      <c r="C12" s="162" t="s">
        <v>412</v>
      </c>
      <c r="D12" s="162"/>
      <c r="E12" s="162"/>
      <c r="F12" s="162"/>
      <c r="G12" s="162"/>
      <c r="H12" s="162"/>
      <c r="I12" s="162"/>
    </row>
    <row r="13" spans="1:10" s="163" customFormat="1" ht="13">
      <c r="A13" s="164">
        <f t="shared" ref="A13:A20" si="0">IF((0-A12)&lt;$F$6,IF(A12&gt;-1,,A12-1),)</f>
        <v>0</v>
      </c>
      <c r="B13" s="165"/>
      <c r="C13" s="162"/>
      <c r="D13" s="162"/>
      <c r="E13" s="162"/>
      <c r="F13" s="162"/>
      <c r="G13" s="162"/>
      <c r="H13" s="162"/>
      <c r="I13" s="162"/>
    </row>
    <row r="14" spans="1:10" s="163" customFormat="1" ht="13">
      <c r="A14" s="164">
        <f t="shared" si="0"/>
        <v>0</v>
      </c>
      <c r="B14" s="165"/>
      <c r="C14" s="162"/>
      <c r="D14" s="162"/>
      <c r="E14" s="162"/>
      <c r="F14" s="162"/>
      <c r="G14" s="162"/>
      <c r="H14" s="162"/>
      <c r="I14" s="162"/>
    </row>
    <row r="15" spans="1:10" s="163" customFormat="1" ht="13">
      <c r="A15" s="164">
        <f t="shared" si="0"/>
        <v>0</v>
      </c>
      <c r="B15" s="165"/>
      <c r="C15" s="162"/>
      <c r="D15" s="162"/>
      <c r="E15" s="162"/>
      <c r="F15" s="162"/>
      <c r="G15" s="162"/>
      <c r="H15" s="162"/>
      <c r="I15" s="162"/>
    </row>
    <row r="16" spans="1:10" s="163" customFormat="1" ht="13">
      <c r="A16" s="164">
        <f t="shared" si="0"/>
        <v>0</v>
      </c>
      <c r="B16" s="165"/>
      <c r="C16" s="162"/>
      <c r="D16" s="162"/>
      <c r="E16" s="162"/>
      <c r="F16" s="162"/>
      <c r="G16" s="162"/>
      <c r="H16" s="162"/>
      <c r="I16" s="162"/>
    </row>
    <row r="17" spans="1:9" s="163" customFormat="1" ht="13">
      <c r="A17" s="164">
        <f t="shared" si="0"/>
        <v>0</v>
      </c>
      <c r="B17" s="165"/>
      <c r="C17" s="162"/>
      <c r="D17" s="162"/>
      <c r="E17" s="162"/>
      <c r="F17" s="162"/>
      <c r="G17" s="162"/>
      <c r="H17" s="162"/>
      <c r="I17" s="162"/>
    </row>
    <row r="18" spans="1:9" s="163" customFormat="1" ht="13">
      <c r="A18" s="164">
        <f t="shared" si="0"/>
        <v>0</v>
      </c>
      <c r="B18" s="165"/>
      <c r="C18" s="162"/>
      <c r="D18" s="162"/>
      <c r="E18" s="162"/>
      <c r="F18" s="162"/>
      <c r="G18" s="162"/>
      <c r="H18" s="162"/>
      <c r="I18" s="162"/>
    </row>
    <row r="19" spans="1:9" s="163" customFormat="1" ht="13">
      <c r="A19" s="164">
        <f t="shared" si="0"/>
        <v>0</v>
      </c>
      <c r="B19" s="165"/>
      <c r="C19" s="162"/>
      <c r="D19" s="162"/>
      <c r="E19" s="162"/>
      <c r="F19" s="162"/>
      <c r="G19" s="162"/>
      <c r="H19" s="162"/>
      <c r="I19" s="162"/>
    </row>
    <row r="20" spans="1:9" s="163" customFormat="1" ht="13">
      <c r="A20" s="164">
        <f t="shared" si="0"/>
        <v>0</v>
      </c>
      <c r="B20" s="165"/>
      <c r="C20" s="162"/>
      <c r="D20" s="162"/>
      <c r="E20" s="162"/>
      <c r="F20" s="162"/>
      <c r="G20" s="162"/>
      <c r="H20" s="162"/>
      <c r="I20" s="162"/>
    </row>
    <row r="21" spans="1:9" s="163" customFormat="1" ht="13">
      <c r="A21" s="162"/>
      <c r="B21" s="162"/>
      <c r="C21" s="162"/>
      <c r="D21" s="162"/>
      <c r="E21" s="162"/>
      <c r="F21" s="162"/>
      <c r="G21" s="162"/>
      <c r="H21" s="162"/>
      <c r="I21" s="162"/>
    </row>
    <row r="22" spans="1:9" s="163" customFormat="1" ht="13">
      <c r="A22" s="166" t="s">
        <v>122</v>
      </c>
      <c r="B22" s="162"/>
      <c r="C22" s="162"/>
      <c r="D22" s="162"/>
      <c r="E22" s="162"/>
      <c r="F22" s="162"/>
      <c r="G22" s="162"/>
      <c r="H22" s="162"/>
      <c r="I22" s="162"/>
    </row>
    <row r="23" spans="1:9" s="163" customFormat="1" ht="13">
      <c r="A23" s="161" t="s">
        <v>118</v>
      </c>
      <c r="B23" s="161" t="s">
        <v>413</v>
      </c>
      <c r="C23" s="167" t="s">
        <v>414</v>
      </c>
      <c r="D23" s="168"/>
      <c r="E23" s="162" t="s">
        <v>415</v>
      </c>
      <c r="F23" s="162"/>
      <c r="G23" s="162"/>
      <c r="H23" s="162"/>
      <c r="I23" s="162"/>
    </row>
    <row r="24" spans="1:9" s="163" customFormat="1" ht="13">
      <c r="A24" s="161" t="s">
        <v>416</v>
      </c>
      <c r="B24" s="161">
        <f>F7</f>
        <v>0</v>
      </c>
      <c r="C24" s="161">
        <f>1</f>
        <v>1</v>
      </c>
      <c r="D24" s="161">
        <f>B24*C24</f>
        <v>0</v>
      </c>
      <c r="E24" s="162"/>
      <c r="F24" s="162"/>
      <c r="G24" s="162"/>
      <c r="H24" s="162"/>
      <c r="I24" s="162"/>
    </row>
    <row r="25" spans="1:9" s="163" customFormat="1" ht="13">
      <c r="A25" s="164">
        <f>A11</f>
        <v>-1</v>
      </c>
      <c r="B25" s="161">
        <f>B11</f>
        <v>0</v>
      </c>
      <c r="C25" s="161" t="e">
        <f>IF(A25&lt;0,($F$6+A25)/$F$6,0)</f>
        <v>#DIV/0!</v>
      </c>
      <c r="D25" s="161" t="e">
        <f>B25*C25</f>
        <v>#DIV/0!</v>
      </c>
      <c r="E25" s="169" t="e">
        <f t="shared" ref="E25:E34" si="1">IF(A25&lt;0,B25/$F$6,0)</f>
        <v>#DIV/0!</v>
      </c>
      <c r="F25" s="162"/>
      <c r="G25" s="162"/>
      <c r="H25" s="162"/>
      <c r="I25" s="162"/>
    </row>
    <row r="26" spans="1:9" s="163" customFormat="1" ht="13">
      <c r="A26" s="164">
        <f t="shared" ref="A26:B34" si="2">A12</f>
        <v>0</v>
      </c>
      <c r="B26" s="161">
        <f t="shared" si="2"/>
        <v>0</v>
      </c>
      <c r="C26" s="161">
        <f>IF(A26&lt;0,($F$6+A26)/$F$6,0)</f>
        <v>0</v>
      </c>
      <c r="D26" s="161">
        <f t="shared" ref="D26:D34" si="3">B26*C26</f>
        <v>0</v>
      </c>
      <c r="E26" s="169">
        <f t="shared" si="1"/>
        <v>0</v>
      </c>
      <c r="F26" s="162"/>
      <c r="G26" s="162"/>
      <c r="H26" s="162"/>
      <c r="I26" s="162"/>
    </row>
    <row r="27" spans="1:9" s="163" customFormat="1" ht="13">
      <c r="A27" s="164">
        <f t="shared" si="2"/>
        <v>0</v>
      </c>
      <c r="B27" s="161">
        <f t="shared" si="2"/>
        <v>0</v>
      </c>
      <c r="C27" s="161">
        <f>IF(A27&lt;0,($F$6+A27)/$F$6,0)</f>
        <v>0</v>
      </c>
      <c r="D27" s="161">
        <f t="shared" si="3"/>
        <v>0</v>
      </c>
      <c r="E27" s="169">
        <f t="shared" si="1"/>
        <v>0</v>
      </c>
      <c r="F27" s="162"/>
      <c r="G27" s="162"/>
      <c r="H27" s="162"/>
      <c r="I27" s="162"/>
    </row>
    <row r="28" spans="1:9" s="163" customFormat="1" ht="13">
      <c r="A28" s="164">
        <f t="shared" si="2"/>
        <v>0</v>
      </c>
      <c r="B28" s="161">
        <f t="shared" si="2"/>
        <v>0</v>
      </c>
      <c r="C28" s="161">
        <f t="shared" ref="C28:C34" si="4">IF(A28&lt;0,($F$6+A28)/$F$6,0)</f>
        <v>0</v>
      </c>
      <c r="D28" s="161">
        <f t="shared" si="3"/>
        <v>0</v>
      </c>
      <c r="E28" s="169">
        <f t="shared" si="1"/>
        <v>0</v>
      </c>
      <c r="F28" s="162"/>
      <c r="G28" s="162"/>
      <c r="H28" s="162"/>
      <c r="I28" s="162"/>
    </row>
    <row r="29" spans="1:9" s="163" customFormat="1" ht="13">
      <c r="A29" s="164">
        <f t="shared" si="2"/>
        <v>0</v>
      </c>
      <c r="B29" s="161">
        <f t="shared" si="2"/>
        <v>0</v>
      </c>
      <c r="C29" s="161">
        <f t="shared" si="4"/>
        <v>0</v>
      </c>
      <c r="D29" s="161">
        <f t="shared" si="3"/>
        <v>0</v>
      </c>
      <c r="E29" s="169">
        <f t="shared" si="1"/>
        <v>0</v>
      </c>
      <c r="F29" s="162"/>
      <c r="G29" s="162"/>
      <c r="H29" s="162"/>
      <c r="I29" s="162"/>
    </row>
    <row r="30" spans="1:9" s="163" customFormat="1" ht="13">
      <c r="A30" s="164">
        <f t="shared" si="2"/>
        <v>0</v>
      </c>
      <c r="B30" s="161">
        <f t="shared" si="2"/>
        <v>0</v>
      </c>
      <c r="C30" s="161">
        <f t="shared" si="4"/>
        <v>0</v>
      </c>
      <c r="D30" s="161">
        <f t="shared" si="3"/>
        <v>0</v>
      </c>
      <c r="E30" s="169">
        <f t="shared" si="1"/>
        <v>0</v>
      </c>
      <c r="F30" s="162"/>
      <c r="G30" s="162"/>
      <c r="H30" s="162"/>
      <c r="I30" s="162"/>
    </row>
    <row r="31" spans="1:9" s="163" customFormat="1" ht="13">
      <c r="A31" s="164">
        <f t="shared" si="2"/>
        <v>0</v>
      </c>
      <c r="B31" s="161">
        <f t="shared" si="2"/>
        <v>0</v>
      </c>
      <c r="C31" s="161">
        <f t="shared" si="4"/>
        <v>0</v>
      </c>
      <c r="D31" s="161">
        <f t="shared" si="3"/>
        <v>0</v>
      </c>
      <c r="E31" s="169">
        <f t="shared" si="1"/>
        <v>0</v>
      </c>
      <c r="F31" s="162"/>
      <c r="G31" s="162"/>
      <c r="H31" s="162"/>
      <c r="I31" s="162"/>
    </row>
    <row r="32" spans="1:9" s="163" customFormat="1" ht="13">
      <c r="A32" s="164">
        <f t="shared" si="2"/>
        <v>0</v>
      </c>
      <c r="B32" s="161">
        <f t="shared" si="2"/>
        <v>0</v>
      </c>
      <c r="C32" s="161">
        <f t="shared" si="4"/>
        <v>0</v>
      </c>
      <c r="D32" s="161">
        <f t="shared" si="3"/>
        <v>0</v>
      </c>
      <c r="E32" s="169">
        <f t="shared" si="1"/>
        <v>0</v>
      </c>
      <c r="F32" s="162"/>
      <c r="G32" s="162"/>
      <c r="H32" s="162"/>
      <c r="I32" s="162"/>
    </row>
    <row r="33" spans="1:9" s="163" customFormat="1" ht="13">
      <c r="A33" s="164">
        <f t="shared" si="2"/>
        <v>0</v>
      </c>
      <c r="B33" s="161">
        <f t="shared" si="2"/>
        <v>0</v>
      </c>
      <c r="C33" s="161">
        <f t="shared" si="4"/>
        <v>0</v>
      </c>
      <c r="D33" s="161">
        <f t="shared" si="3"/>
        <v>0</v>
      </c>
      <c r="E33" s="169">
        <f t="shared" si="1"/>
        <v>0</v>
      </c>
      <c r="F33" s="162"/>
      <c r="G33" s="162"/>
      <c r="H33" s="162"/>
      <c r="I33" s="162"/>
    </row>
    <row r="34" spans="1:9" s="163" customFormat="1" ht="16" customHeight="1" thickBot="1">
      <c r="A34" s="164">
        <f t="shared" si="2"/>
        <v>0</v>
      </c>
      <c r="B34" s="161">
        <f t="shared" si="2"/>
        <v>0</v>
      </c>
      <c r="C34" s="161">
        <f t="shared" si="4"/>
        <v>0</v>
      </c>
      <c r="D34" s="170">
        <f t="shared" si="3"/>
        <v>0</v>
      </c>
      <c r="E34" s="171">
        <f t="shared" si="1"/>
        <v>0</v>
      </c>
      <c r="F34" s="162"/>
      <c r="G34" s="162"/>
      <c r="H34" s="162"/>
      <c r="I34" s="162"/>
    </row>
    <row r="35" spans="1:9" s="8" customFormat="1" ht="13.5" thickBot="1">
      <c r="A35" s="8" t="s">
        <v>417</v>
      </c>
      <c r="D35" s="172" t="e">
        <f>SUM(D24:D34)</f>
        <v>#DIV/0!</v>
      </c>
      <c r="E35" s="25" t="e">
        <f>SUM(E25:E34)</f>
        <v>#DIV/0!</v>
      </c>
    </row>
    <row r="36" spans="1:9" ht="12" thickBot="1"/>
    <row r="37" spans="1:9" s="8" customFormat="1" ht="13.5" thickBot="1">
      <c r="A37" s="8" t="s">
        <v>418</v>
      </c>
      <c r="D37" s="172" t="e">
        <f>E35</f>
        <v>#DIV/0!</v>
      </c>
    </row>
    <row r="38" spans="1:9" s="8" customFormat="1" ht="13.5" thickBot="1"/>
    <row r="39" spans="1:9" s="8" customFormat="1" ht="13">
      <c r="A39" s="8" t="s">
        <v>419</v>
      </c>
      <c r="D39" s="173" t="e">
        <f>F7-D37</f>
        <v>#DIV/0!</v>
      </c>
      <c r="E39" s="8" t="s">
        <v>420</v>
      </c>
    </row>
    <row r="40" spans="1:9" ht="13">
      <c r="A40" t="s">
        <v>421</v>
      </c>
      <c r="D40" s="174" t="e">
        <f>D39*'Input sheet'!B21</f>
        <v>#DIV/0!</v>
      </c>
      <c r="E40" s="8"/>
    </row>
  </sheetData>
  <conditionalFormatting sqref="B11:B20">
    <cfRule type="cellIs" dxfId="0" priority="1" stopIfTrue="1" operator="equal">
      <formula>0</formula>
    </cfRule>
  </conditionalFormatting>
  <pageMargins left="0.75" right="0.75" top="1" bottom="1" header="0.5" footer="0.5"/>
  <headerFooter alignWithMargins="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4"/>
  <sheetViews>
    <sheetView zoomScale="125" zoomScaleNormal="125" workbookViewId="0">
      <selection activeCell="E4" sqref="E4"/>
    </sheetView>
  </sheetViews>
  <sheetFormatPr defaultColWidth="11.19921875" defaultRowHeight="11.5"/>
  <sheetData>
    <row r="1" spans="1:11" s="6" customFormat="1" ht="17.5">
      <c r="A1" s="29" t="s">
        <v>115</v>
      </c>
      <c r="B1" s="29"/>
      <c r="C1" s="29"/>
      <c r="D1" s="29"/>
      <c r="E1" s="29"/>
      <c r="F1" s="29"/>
      <c r="G1" s="29"/>
      <c r="H1" s="29"/>
      <c r="I1" s="29"/>
      <c r="J1" s="29"/>
      <c r="K1" s="29"/>
    </row>
    <row r="2" spans="1:11" s="6" customFormat="1" ht="17.5">
      <c r="A2" s="29" t="s">
        <v>159</v>
      </c>
      <c r="B2" s="29"/>
      <c r="C2" s="29"/>
      <c r="D2" s="29"/>
      <c r="E2" s="29"/>
      <c r="F2" s="29"/>
      <c r="G2" s="29"/>
      <c r="H2" s="29"/>
      <c r="I2" s="29"/>
      <c r="J2" s="29"/>
      <c r="K2" s="29"/>
    </row>
    <row r="3" spans="1:11" s="17" customFormat="1" ht="13">
      <c r="A3" s="17" t="s">
        <v>6</v>
      </c>
    </row>
    <row r="4" spans="1:11" s="8" customFormat="1" ht="13">
      <c r="A4" s="8" t="s">
        <v>116</v>
      </c>
      <c r="E4" s="33"/>
    </row>
    <row r="5" spans="1:11" s="15" customFormat="1" ht="13">
      <c r="A5" s="15" t="s">
        <v>117</v>
      </c>
    </row>
    <row r="6" spans="1:11" s="8" customFormat="1" ht="13">
      <c r="A6" s="30" t="s">
        <v>118</v>
      </c>
      <c r="B6" s="30" t="s">
        <v>119</v>
      </c>
      <c r="C6" s="8" t="s">
        <v>120</v>
      </c>
    </row>
    <row r="7" spans="1:11" s="8" customFormat="1" ht="13">
      <c r="A7" s="30">
        <v>1</v>
      </c>
      <c r="B7" s="288"/>
    </row>
    <row r="8" spans="1:11" s="8" customFormat="1" ht="13">
      <c r="A8" s="30">
        <v>2</v>
      </c>
      <c r="B8" s="288"/>
    </row>
    <row r="9" spans="1:11" s="8" customFormat="1" ht="13">
      <c r="A9" s="30">
        <v>3</v>
      </c>
      <c r="B9" s="288"/>
    </row>
    <row r="10" spans="1:11" s="8" customFormat="1" ht="13">
      <c r="A10" s="30">
        <v>4</v>
      </c>
      <c r="B10" s="288"/>
    </row>
    <row r="11" spans="1:11" s="8" customFormat="1" ht="13">
      <c r="A11" s="30">
        <v>5</v>
      </c>
      <c r="B11" s="288"/>
    </row>
    <row r="12" spans="1:11" s="8" customFormat="1" ht="13">
      <c r="A12" s="30" t="s">
        <v>121</v>
      </c>
      <c r="B12" s="287"/>
    </row>
    <row r="13" spans="1:11" s="8" customFormat="1" ht="13"/>
    <row r="14" spans="1:11" s="31" customFormat="1" ht="15.5" thickBot="1">
      <c r="A14" s="31" t="s">
        <v>122</v>
      </c>
    </row>
    <row r="15" spans="1:11" s="8" customFormat="1" ht="13.5" thickBot="1">
      <c r="A15" s="8" t="s">
        <v>123</v>
      </c>
      <c r="C15" s="70"/>
      <c r="D15" s="8" t="s">
        <v>234</v>
      </c>
    </row>
    <row r="16" spans="1:11" s="8" customFormat="1" ht="13"/>
    <row r="17" spans="1:7" s="8" customFormat="1" ht="13">
      <c r="D17" s="34"/>
    </row>
    <row r="18" spans="1:7" s="8" customFormat="1" ht="13">
      <c r="A18" s="8" t="s">
        <v>124</v>
      </c>
      <c r="D18" s="35">
        <f>IF(B12&gt;0,ROUND(B12/AVERAGE(B7:B11),0),0)</f>
        <v>0</v>
      </c>
      <c r="E18" s="8" t="s">
        <v>125</v>
      </c>
    </row>
    <row r="19" spans="1:7" s="17" customFormat="1" ht="13">
      <c r="E19" s="8" t="s">
        <v>126</v>
      </c>
    </row>
    <row r="20" spans="1:7" s="15" customFormat="1" ht="13">
      <c r="A20" s="15" t="s">
        <v>127</v>
      </c>
    </row>
    <row r="21" spans="1:7" s="8" customFormat="1" ht="13">
      <c r="A21" s="30" t="s">
        <v>118</v>
      </c>
      <c r="B21" s="30" t="s">
        <v>119</v>
      </c>
      <c r="C21" s="30" t="s">
        <v>128</v>
      </c>
    </row>
    <row r="22" spans="1:7" s="8" customFormat="1" ht="13">
      <c r="A22" s="19">
        <f>A7</f>
        <v>1</v>
      </c>
      <c r="B22" s="28">
        <f>B7</f>
        <v>0</v>
      </c>
      <c r="C22" s="9">
        <f>B22/(1+$C$15)^A22</f>
        <v>0</v>
      </c>
    </row>
    <row r="23" spans="1:7" s="8" customFormat="1" ht="13">
      <c r="A23" s="19">
        <f t="shared" ref="A23:B26" si="0">A8</f>
        <v>2</v>
      </c>
      <c r="B23" s="28">
        <f t="shared" si="0"/>
        <v>0</v>
      </c>
      <c r="C23" s="9">
        <f>B23/(1+$C$15)^A23</f>
        <v>0</v>
      </c>
    </row>
    <row r="24" spans="1:7" s="8" customFormat="1" ht="13">
      <c r="A24" s="19">
        <f t="shared" si="0"/>
        <v>3</v>
      </c>
      <c r="B24" s="28">
        <f t="shared" si="0"/>
        <v>0</v>
      </c>
      <c r="C24" s="9">
        <f>B24/(1+$C$15)^A24</f>
        <v>0</v>
      </c>
    </row>
    <row r="25" spans="1:7" s="8" customFormat="1" ht="13">
      <c r="A25" s="19">
        <f t="shared" si="0"/>
        <v>4</v>
      </c>
      <c r="B25" s="28">
        <f t="shared" si="0"/>
        <v>0</v>
      </c>
      <c r="C25" s="9">
        <f>B25/(1+$C$15)^A25</f>
        <v>0</v>
      </c>
    </row>
    <row r="26" spans="1:7" s="8" customFormat="1" ht="13">
      <c r="A26" s="19">
        <f t="shared" si="0"/>
        <v>5</v>
      </c>
      <c r="B26" s="28">
        <f t="shared" si="0"/>
        <v>0</v>
      </c>
      <c r="C26" s="9">
        <f>B26/(1+$C$15)^A26</f>
        <v>0</v>
      </c>
    </row>
    <row r="27" spans="1:7" s="8" customFormat="1" ht="13.5" thickBot="1">
      <c r="A27" s="36" t="str">
        <f>A12</f>
        <v>6 and beyond</v>
      </c>
      <c r="B27" s="37">
        <f>IF(B12&gt;0,IF(D18&gt;0,B12/D18,B12),0)</f>
        <v>0</v>
      </c>
      <c r="C27" s="38">
        <f>IF(D18&gt;0,(B27*(1-(1+C15)^(-D18))/C15)/(1+$C$15)^5,B27/(1+C15)^6)</f>
        <v>0</v>
      </c>
      <c r="D27" s="8" t="s">
        <v>129</v>
      </c>
    </row>
    <row r="28" spans="1:7" s="8" customFormat="1" ht="13.5" thickBot="1">
      <c r="A28" s="32" t="s">
        <v>130</v>
      </c>
      <c r="B28" s="39"/>
      <c r="C28" s="40">
        <f>SUM(C22:C27)</f>
        <v>0</v>
      </c>
    </row>
    <row r="29" spans="1:7" s="8" customFormat="1" ht="13"/>
    <row r="30" spans="1:7" s="8" customFormat="1" ht="13">
      <c r="A30" s="15" t="s">
        <v>131</v>
      </c>
    </row>
    <row r="31" spans="1:7" s="8" customFormat="1" ht="13.5" thickBot="1">
      <c r="A31" s="8" t="s">
        <v>132</v>
      </c>
      <c r="F31" s="38">
        <f>C28/(5+D18)</f>
        <v>0</v>
      </c>
      <c r="G31" s="8" t="s">
        <v>133</v>
      </c>
    </row>
    <row r="32" spans="1:7" s="8" customFormat="1" ht="13.5" thickBot="1">
      <c r="A32" s="8" t="s">
        <v>134</v>
      </c>
      <c r="F32" s="71">
        <f>E4-F31</f>
        <v>0</v>
      </c>
      <c r="G32" s="8" t="s">
        <v>136</v>
      </c>
    </row>
    <row r="33" spans="1:7" s="8" customFormat="1" ht="13.5" thickBot="1">
      <c r="A33" s="8" t="s">
        <v>135</v>
      </c>
      <c r="F33" s="41">
        <f>C28</f>
        <v>0</v>
      </c>
      <c r="G33" s="8" t="s">
        <v>137</v>
      </c>
    </row>
    <row r="34" spans="1:7" ht="13">
      <c r="A34" s="8" t="s">
        <v>492</v>
      </c>
      <c r="F34" s="214">
        <f>C28/(5+D18)</f>
        <v>0</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5"/>
  <sheetViews>
    <sheetView topLeftCell="A166" zoomScale="112" workbookViewId="0">
      <selection activeCell="C169" sqref="C169"/>
    </sheetView>
  </sheetViews>
  <sheetFormatPr defaultColWidth="11.19921875" defaultRowHeight="11.5"/>
  <cols>
    <col min="1" max="1" width="27.5" bestFit="1" customWidth="1"/>
    <col min="2" max="2" width="15" bestFit="1" customWidth="1"/>
    <col min="3" max="3" width="18.5" bestFit="1" customWidth="1"/>
    <col min="4" max="4" width="21" bestFit="1" customWidth="1"/>
    <col min="5" max="5" width="20" bestFit="1" customWidth="1"/>
    <col min="6" max="6" width="17.69921875" bestFit="1" customWidth="1"/>
  </cols>
  <sheetData>
    <row r="1" spans="1:6">
      <c r="A1" t="s">
        <v>634</v>
      </c>
      <c r="B1" s="302">
        <v>4.5999999999999999E-2</v>
      </c>
      <c r="C1" t="s">
        <v>885</v>
      </c>
    </row>
    <row r="4" spans="1:6" ht="15.5">
      <c r="A4" s="304" t="s">
        <v>351</v>
      </c>
      <c r="B4" s="47" t="s">
        <v>586</v>
      </c>
      <c r="C4" s="304" t="s">
        <v>352</v>
      </c>
      <c r="D4" s="43" t="s">
        <v>587</v>
      </c>
      <c r="E4" s="328" t="s">
        <v>353</v>
      </c>
      <c r="F4" s="328" t="s">
        <v>524</v>
      </c>
    </row>
    <row r="5" spans="1:6" ht="15.5">
      <c r="A5" s="44" t="s">
        <v>481</v>
      </c>
      <c r="B5" s="47" t="s">
        <v>588</v>
      </c>
      <c r="C5" s="305">
        <v>4.3848898169671765E-3</v>
      </c>
      <c r="D5" s="305">
        <f>$B$1+E5</f>
        <v>5.0805502866361638E-2</v>
      </c>
      <c r="E5" s="329">
        <v>4.8055028663616358E-3</v>
      </c>
      <c r="F5" s="329">
        <v>0.55000000000000004</v>
      </c>
    </row>
    <row r="6" spans="1:6" ht="15.5">
      <c r="A6" s="44" t="s">
        <v>247</v>
      </c>
      <c r="B6" s="47" t="s">
        <v>589</v>
      </c>
      <c r="C6" s="305">
        <v>3.9782909430302202E-2</v>
      </c>
      <c r="D6" s="305">
        <f t="shared" ref="D6:D69" si="0">$B$1+E6</f>
        <v>8.9599016914808288E-2</v>
      </c>
      <c r="E6" s="329">
        <v>4.3599016914808296E-2</v>
      </c>
      <c r="F6" s="329">
        <v>0.15</v>
      </c>
    </row>
    <row r="7" spans="1:6" ht="15.5">
      <c r="A7" s="306" t="s">
        <v>590</v>
      </c>
      <c r="B7" s="47" t="s">
        <v>677</v>
      </c>
      <c r="C7" s="330">
        <v>7.9565818860604418E-2</v>
      </c>
      <c r="D7" s="305">
        <f t="shared" si="0"/>
        <v>0.13319803382961659</v>
      </c>
      <c r="E7" s="331">
        <v>8.7198033829616606E-2</v>
      </c>
      <c r="F7" s="332">
        <v>0.26</v>
      </c>
    </row>
    <row r="8" spans="1:6" ht="15.5">
      <c r="A8" s="44" t="s">
        <v>499</v>
      </c>
      <c r="B8" s="47" t="s">
        <v>599</v>
      </c>
      <c r="C8" s="305">
        <v>6.6251698870904069E-2</v>
      </c>
      <c r="D8" s="305">
        <f t="shared" si="0"/>
        <v>0.1186067796717549</v>
      </c>
      <c r="E8" s="329">
        <v>7.2606779671754898E-2</v>
      </c>
      <c r="F8" s="329">
        <v>0.1</v>
      </c>
    </row>
    <row r="9" spans="1:6" ht="15.5">
      <c r="A9" s="44" t="s">
        <v>248</v>
      </c>
      <c r="B9" s="47" t="s">
        <v>599</v>
      </c>
      <c r="C9" s="305">
        <v>6.6251698870904069E-2</v>
      </c>
      <c r="D9" s="305">
        <f t="shared" si="0"/>
        <v>0.1186067796717549</v>
      </c>
      <c r="E9" s="329">
        <v>7.2606779671754898E-2</v>
      </c>
      <c r="F9" s="329">
        <v>0.3</v>
      </c>
    </row>
    <row r="10" spans="1:6" ht="15.5">
      <c r="A10" s="44" t="s">
        <v>249</v>
      </c>
      <c r="B10" s="47" t="s">
        <v>660</v>
      </c>
      <c r="C10" s="305">
        <v>0.10603460830120626</v>
      </c>
      <c r="D10" s="305">
        <f t="shared" si="0"/>
        <v>0.1622057965865632</v>
      </c>
      <c r="E10" s="329">
        <v>0.11620579658656319</v>
      </c>
      <c r="F10" s="329">
        <v>0.3</v>
      </c>
    </row>
    <row r="11" spans="1:6" ht="15.5">
      <c r="A11" s="44" t="s">
        <v>250</v>
      </c>
      <c r="B11" s="47" t="s">
        <v>598</v>
      </c>
      <c r="C11" s="305">
        <v>3.1810382490361881E-2</v>
      </c>
      <c r="D11" s="305">
        <f t="shared" si="0"/>
        <v>8.0861738975968961E-2</v>
      </c>
      <c r="E11" s="329">
        <v>3.4861738975968962E-2</v>
      </c>
      <c r="F11" s="329">
        <v>0.18</v>
      </c>
    </row>
    <row r="12" spans="1:6" ht="15.5">
      <c r="A12" s="44" t="s">
        <v>251</v>
      </c>
      <c r="B12" s="47" t="s">
        <v>593</v>
      </c>
      <c r="C12" s="305">
        <v>1.4111372683694367E-2</v>
      </c>
      <c r="D12" s="305">
        <f t="shared" si="0"/>
        <v>6.1464981951745629E-2</v>
      </c>
      <c r="E12" s="329">
        <v>1.5464981951745628E-2</v>
      </c>
      <c r="F12" s="329">
        <v>0.25</v>
      </c>
    </row>
    <row r="13" spans="1:6" ht="15.5">
      <c r="A13" s="44" t="s">
        <v>252</v>
      </c>
      <c r="B13" s="47" t="s">
        <v>594</v>
      </c>
      <c r="C13" s="305">
        <v>0</v>
      </c>
      <c r="D13" s="305">
        <f t="shared" si="0"/>
        <v>4.5999999999999999E-2</v>
      </c>
      <c r="E13" s="329">
        <v>0</v>
      </c>
      <c r="F13" s="329">
        <v>0.3</v>
      </c>
    </row>
    <row r="14" spans="1:6" ht="15.5">
      <c r="A14" s="44" t="s">
        <v>253</v>
      </c>
      <c r="B14" s="47" t="s">
        <v>595</v>
      </c>
      <c r="C14" s="305">
        <v>3.5079118535737406E-3</v>
      </c>
      <c r="D14" s="305">
        <f t="shared" si="0"/>
        <v>4.9844402293089306E-2</v>
      </c>
      <c r="E14" s="329">
        <v>3.8444022930893078E-3</v>
      </c>
      <c r="F14" s="329">
        <v>0.25</v>
      </c>
    </row>
    <row r="15" spans="1:6" ht="15.5">
      <c r="A15" s="44" t="s">
        <v>360</v>
      </c>
      <c r="B15" s="47" t="s">
        <v>596</v>
      </c>
      <c r="C15" s="305">
        <v>2.6548514710001261E-2</v>
      </c>
      <c r="D15" s="305">
        <f t="shared" si="0"/>
        <v>7.5095135536334984E-2</v>
      </c>
      <c r="E15" s="329">
        <v>2.9095135536334988E-2</v>
      </c>
      <c r="F15" s="329">
        <v>0.2</v>
      </c>
    </row>
    <row r="16" spans="1:6" ht="15.5">
      <c r="A16" s="44" t="s">
        <v>254</v>
      </c>
      <c r="B16" s="47" t="s">
        <v>596</v>
      </c>
      <c r="C16" s="305">
        <v>2.6548514710001261E-2</v>
      </c>
      <c r="D16" s="305">
        <f t="shared" si="0"/>
        <v>7.5095135536334984E-2</v>
      </c>
      <c r="E16" s="329">
        <v>2.9095135536334988E-2</v>
      </c>
      <c r="F16" s="329">
        <v>0</v>
      </c>
    </row>
    <row r="17" spans="1:6" ht="15.5">
      <c r="A17" s="44" t="s">
        <v>255</v>
      </c>
      <c r="B17" s="47" t="s">
        <v>592</v>
      </c>
      <c r="C17" s="305">
        <v>4.8632414333635951E-2</v>
      </c>
      <c r="D17" s="305">
        <f t="shared" si="0"/>
        <v>9.9297395426919954E-2</v>
      </c>
      <c r="E17" s="329">
        <v>5.3297395426919955E-2</v>
      </c>
      <c r="F17" s="329">
        <v>0</v>
      </c>
    </row>
    <row r="18" spans="1:6" ht="15.5">
      <c r="A18" s="44" t="s">
        <v>256</v>
      </c>
      <c r="B18" s="47" t="s">
        <v>598</v>
      </c>
      <c r="C18" s="305">
        <v>3.1810382490361881E-2</v>
      </c>
      <c r="D18" s="305">
        <f t="shared" si="0"/>
        <v>8.0861738975968961E-2</v>
      </c>
      <c r="E18" s="329">
        <v>3.4861738975968962E-2</v>
      </c>
      <c r="F18" s="329">
        <v>0.25</v>
      </c>
    </row>
    <row r="19" spans="1:6" ht="15.5">
      <c r="A19" s="44" t="s">
        <v>257</v>
      </c>
      <c r="B19" s="47" t="s">
        <v>599</v>
      </c>
      <c r="C19" s="305">
        <v>6.6251698870904069E-2</v>
      </c>
      <c r="D19" s="305">
        <f t="shared" si="0"/>
        <v>0.1186067796717549</v>
      </c>
      <c r="E19" s="329">
        <v>7.2606779671754898E-2</v>
      </c>
      <c r="F19" s="329">
        <v>5.5E-2</v>
      </c>
    </row>
    <row r="20" spans="1:6" ht="15.5">
      <c r="A20" s="44" t="s">
        <v>258</v>
      </c>
      <c r="B20" s="47" t="s">
        <v>601</v>
      </c>
      <c r="C20" s="305">
        <v>5.74819192369697E-2</v>
      </c>
      <c r="D20" s="305">
        <f t="shared" si="0"/>
        <v>0.10899577393903161</v>
      </c>
      <c r="E20" s="329">
        <v>6.2995773939031607E-2</v>
      </c>
      <c r="F20" s="329">
        <v>0.18</v>
      </c>
    </row>
    <row r="21" spans="1:6" ht="15.5">
      <c r="A21" s="44" t="s">
        <v>259</v>
      </c>
      <c r="B21" s="47" t="s">
        <v>600</v>
      </c>
      <c r="C21" s="305">
        <v>5.3415930497600151E-3</v>
      </c>
      <c r="D21" s="305">
        <f t="shared" si="0"/>
        <v>5.1853976219022352E-2</v>
      </c>
      <c r="E21" s="329">
        <v>5.8539762190223561E-3</v>
      </c>
      <c r="F21" s="329">
        <v>0.28999999999999998</v>
      </c>
    </row>
    <row r="22" spans="1:6" ht="15.5">
      <c r="A22" s="44" t="s">
        <v>363</v>
      </c>
      <c r="B22" s="47" t="s">
        <v>661</v>
      </c>
      <c r="C22" s="305">
        <v>8.8335598494538758E-2</v>
      </c>
      <c r="D22" s="305">
        <f t="shared" si="0"/>
        <v>0.14280903956233987</v>
      </c>
      <c r="E22" s="329">
        <v>9.6809039562339869E-2</v>
      </c>
      <c r="F22" s="329">
        <v>0.28249999999999997</v>
      </c>
    </row>
    <row r="23" spans="1:6" ht="15.5">
      <c r="A23" s="44" t="s">
        <v>602</v>
      </c>
      <c r="B23" s="47" t="s">
        <v>592</v>
      </c>
      <c r="C23" s="305">
        <v>4.8632414333635951E-2</v>
      </c>
      <c r="D23" s="305">
        <f t="shared" si="0"/>
        <v>9.9297395426919954E-2</v>
      </c>
      <c r="E23" s="329">
        <v>5.3297395426919955E-2</v>
      </c>
      <c r="F23" s="329">
        <v>0.3</v>
      </c>
    </row>
    <row r="24" spans="1:6" ht="15.5">
      <c r="A24" s="44" t="s">
        <v>260</v>
      </c>
      <c r="B24" s="47" t="s">
        <v>603</v>
      </c>
      <c r="C24" s="305">
        <v>7.4941753235439005E-3</v>
      </c>
      <c r="D24" s="305">
        <f t="shared" si="0"/>
        <v>5.4213041262508976E-2</v>
      </c>
      <c r="E24" s="329">
        <v>8.2130412625089771E-3</v>
      </c>
      <c r="F24" s="329">
        <v>0</v>
      </c>
    </row>
    <row r="25" spans="1:6" ht="15.5">
      <c r="A25" s="44" t="s">
        <v>261</v>
      </c>
      <c r="B25" s="47" t="s">
        <v>592</v>
      </c>
      <c r="C25" s="305">
        <v>4.8632414333635951E-2</v>
      </c>
      <c r="D25" s="305">
        <f t="shared" si="0"/>
        <v>9.9297395426919954E-2</v>
      </c>
      <c r="E25" s="329">
        <v>5.3297395426919955E-2</v>
      </c>
      <c r="F25" s="329">
        <v>0.25</v>
      </c>
    </row>
    <row r="26" spans="1:6" ht="15.5">
      <c r="A26" s="44" t="s">
        <v>262</v>
      </c>
      <c r="B26" s="47" t="s">
        <v>601</v>
      </c>
      <c r="C26" s="305">
        <v>5.74819192369697E-2</v>
      </c>
      <c r="D26" s="305">
        <f t="shared" si="0"/>
        <v>0.10899577393903161</v>
      </c>
      <c r="E26" s="329">
        <v>6.2995773939031607E-2</v>
      </c>
      <c r="F26" s="329">
        <v>0.1</v>
      </c>
    </row>
    <row r="27" spans="1:6" ht="15.5">
      <c r="A27" s="44" t="s">
        <v>263</v>
      </c>
      <c r="B27" s="47" t="s">
        <v>603</v>
      </c>
      <c r="C27" s="305">
        <v>7.4941753235439005E-3</v>
      </c>
      <c r="D27" s="305">
        <f t="shared" si="0"/>
        <v>5.4213041262508976E-2</v>
      </c>
      <c r="E27" s="329">
        <v>8.2130412625089771E-3</v>
      </c>
      <c r="F27" s="329">
        <v>0.22</v>
      </c>
    </row>
    <row r="28" spans="1:6" ht="15.5">
      <c r="A28" s="44" t="s">
        <v>264</v>
      </c>
      <c r="B28" s="47" t="s">
        <v>596</v>
      </c>
      <c r="C28" s="305">
        <v>2.6548514710001261E-2</v>
      </c>
      <c r="D28" s="305">
        <f t="shared" si="0"/>
        <v>7.5095135536334984E-2</v>
      </c>
      <c r="E28" s="329">
        <v>2.9095135536334988E-2</v>
      </c>
      <c r="F28" s="329">
        <v>0.34</v>
      </c>
    </row>
    <row r="29" spans="1:6" ht="15.5">
      <c r="A29" s="327" t="s">
        <v>669</v>
      </c>
      <c r="B29" s="47" t="s">
        <v>677</v>
      </c>
      <c r="C29" s="305">
        <v>3.0200000000000001E-2</v>
      </c>
      <c r="D29" s="305">
        <f t="shared" si="0"/>
        <v>7.9100000000000004E-2</v>
      </c>
      <c r="E29" s="329">
        <v>3.3099999999999997E-2</v>
      </c>
      <c r="F29" s="329">
        <v>0.16980000000000001</v>
      </c>
    </row>
    <row r="30" spans="1:6" ht="15.5">
      <c r="A30" s="306" t="s">
        <v>604</v>
      </c>
      <c r="B30" s="47" t="s">
        <v>677</v>
      </c>
      <c r="C30" s="330">
        <v>7.4941753235439014E-3</v>
      </c>
      <c r="D30" s="305">
        <f t="shared" si="0"/>
        <v>5.4213041262508976E-2</v>
      </c>
      <c r="E30" s="331">
        <v>8.2130412625089771E-3</v>
      </c>
      <c r="F30" s="332">
        <v>0</v>
      </c>
    </row>
    <row r="31" spans="1:6" ht="15.5">
      <c r="A31" s="44" t="s">
        <v>265</v>
      </c>
      <c r="B31" s="47" t="s">
        <v>593</v>
      </c>
      <c r="C31" s="305">
        <v>1.4111372683694367E-2</v>
      </c>
      <c r="D31" s="305">
        <f t="shared" si="0"/>
        <v>6.1464981951745629E-2</v>
      </c>
      <c r="E31" s="329">
        <v>1.5464981951745628E-2</v>
      </c>
      <c r="F31" s="329">
        <v>0.1</v>
      </c>
    </row>
    <row r="32" spans="1:6" ht="15.5">
      <c r="A32" s="44" t="s">
        <v>482</v>
      </c>
      <c r="B32" s="47" t="s">
        <v>592</v>
      </c>
      <c r="C32" s="305">
        <v>4.8632414333635951E-2</v>
      </c>
      <c r="D32" s="305">
        <f t="shared" si="0"/>
        <v>9.9297395426919954E-2</v>
      </c>
      <c r="E32" s="329">
        <v>5.3297395426919955E-2</v>
      </c>
      <c r="F32" s="329">
        <v>0.28000000000000003</v>
      </c>
    </row>
    <row r="33" spans="1:6" ht="15.5">
      <c r="A33" s="44" t="s">
        <v>266</v>
      </c>
      <c r="B33" s="47" t="s">
        <v>592</v>
      </c>
      <c r="C33" s="305">
        <v>4.8632414333635951E-2</v>
      </c>
      <c r="D33" s="305">
        <f t="shared" si="0"/>
        <v>9.9297395426919954E-2</v>
      </c>
      <c r="E33" s="329">
        <v>5.3297395426919955E-2</v>
      </c>
      <c r="F33" s="329">
        <v>0.2</v>
      </c>
    </row>
    <row r="34" spans="1:6" ht="15.5">
      <c r="A34" s="44" t="s">
        <v>483</v>
      </c>
      <c r="B34" s="47" t="s">
        <v>592</v>
      </c>
      <c r="C34" s="305">
        <v>4.8632414333635951E-2</v>
      </c>
      <c r="D34" s="305">
        <f t="shared" si="0"/>
        <v>9.9297395426919954E-2</v>
      </c>
      <c r="E34" s="329">
        <v>5.3297395426919955E-2</v>
      </c>
      <c r="F34" s="329">
        <v>0.33</v>
      </c>
    </row>
    <row r="35" spans="1:6" ht="15.5">
      <c r="A35" s="44" t="s">
        <v>267</v>
      </c>
      <c r="B35" s="47" t="s">
        <v>594</v>
      </c>
      <c r="C35" s="305">
        <v>0</v>
      </c>
      <c r="D35" s="305">
        <f t="shared" si="0"/>
        <v>4.5999999999999999E-2</v>
      </c>
      <c r="E35" s="329">
        <v>0</v>
      </c>
      <c r="F35" s="329">
        <v>0.26500000000000001</v>
      </c>
    </row>
    <row r="36" spans="1:6" ht="15.5">
      <c r="A36" s="44" t="s">
        <v>484</v>
      </c>
      <c r="B36" s="47" t="s">
        <v>592</v>
      </c>
      <c r="C36" s="305">
        <v>4.8632414333635951E-2</v>
      </c>
      <c r="D36" s="305">
        <f t="shared" si="0"/>
        <v>9.9297395426919954E-2</v>
      </c>
      <c r="E36" s="329">
        <v>5.3297395426919955E-2</v>
      </c>
      <c r="F36" s="329">
        <v>0</v>
      </c>
    </row>
    <row r="37" spans="1:6" ht="15.5">
      <c r="A37" s="44" t="s">
        <v>268</v>
      </c>
      <c r="B37" s="47" t="s">
        <v>600</v>
      </c>
      <c r="C37" s="305">
        <v>5.3415930497600151E-3</v>
      </c>
      <c r="D37" s="305">
        <f t="shared" si="0"/>
        <v>5.1853976219022352E-2</v>
      </c>
      <c r="E37" s="329">
        <v>5.8539762190223561E-3</v>
      </c>
      <c r="F37" s="329">
        <v>0</v>
      </c>
    </row>
    <row r="38" spans="1:6" ht="15.5">
      <c r="A38" s="44" t="s">
        <v>269</v>
      </c>
      <c r="B38" s="47" t="s">
        <v>605</v>
      </c>
      <c r="C38" s="305">
        <v>6.2185710131534505E-3</v>
      </c>
      <c r="D38" s="305">
        <f t="shared" si="0"/>
        <v>5.2815076792294684E-2</v>
      </c>
      <c r="E38" s="329">
        <v>6.8150767922946836E-3</v>
      </c>
      <c r="F38" s="329">
        <v>0.27</v>
      </c>
    </row>
    <row r="39" spans="1:6" ht="15.5">
      <c r="A39" s="44" t="s">
        <v>270</v>
      </c>
      <c r="B39" s="47" t="s">
        <v>605</v>
      </c>
      <c r="C39" s="305">
        <v>6.2185710131534505E-3</v>
      </c>
      <c r="D39" s="305">
        <f t="shared" si="0"/>
        <v>5.2815076792294684E-2</v>
      </c>
      <c r="E39" s="329">
        <v>6.8150767922946836E-3</v>
      </c>
      <c r="F39" s="329">
        <v>0.25</v>
      </c>
    </row>
    <row r="40" spans="1:6" ht="15.5">
      <c r="A40" s="44" t="s">
        <v>271</v>
      </c>
      <c r="B40" s="47" t="s">
        <v>591</v>
      </c>
      <c r="C40" s="305">
        <v>1.6822031843274077E-2</v>
      </c>
      <c r="D40" s="305">
        <f t="shared" si="0"/>
        <v>6.4435656450951007E-2</v>
      </c>
      <c r="E40" s="329">
        <v>1.8435656450951004E-2</v>
      </c>
      <c r="F40" s="329">
        <v>0.32</v>
      </c>
    </row>
    <row r="41" spans="1:6" ht="15.5">
      <c r="A41" s="44" t="s">
        <v>500</v>
      </c>
      <c r="B41" s="47" t="s">
        <v>599</v>
      </c>
      <c r="C41" s="305">
        <v>6.6251698870904069E-2</v>
      </c>
      <c r="D41" s="305">
        <f t="shared" si="0"/>
        <v>0.1186067796717549</v>
      </c>
      <c r="E41" s="329">
        <v>7.2606779671754898E-2</v>
      </c>
      <c r="F41" s="329">
        <v>0.35</v>
      </c>
    </row>
    <row r="42" spans="1:6" ht="15.5">
      <c r="A42" s="44" t="s">
        <v>501</v>
      </c>
      <c r="B42" s="47" t="s">
        <v>606</v>
      </c>
      <c r="C42" s="305">
        <v>7.9565818860604404E-2</v>
      </c>
      <c r="D42" s="305">
        <f t="shared" si="0"/>
        <v>0.13319803382961659</v>
      </c>
      <c r="E42" s="329">
        <v>8.7198033829616592E-2</v>
      </c>
      <c r="F42" s="329">
        <v>0.3</v>
      </c>
    </row>
    <row r="43" spans="1:6" ht="15.5">
      <c r="A43" s="44" t="s">
        <v>485</v>
      </c>
      <c r="B43" s="47" t="s">
        <v>589</v>
      </c>
      <c r="C43" s="305">
        <v>3.9782909430302202E-2</v>
      </c>
      <c r="D43" s="305">
        <f t="shared" si="0"/>
        <v>8.9599016914808288E-2</v>
      </c>
      <c r="E43" s="329">
        <v>4.3599016914808296E-2</v>
      </c>
      <c r="F43" s="329">
        <v>0.2843</v>
      </c>
    </row>
    <row r="44" spans="1:6" ht="15.5">
      <c r="A44" s="44" t="s">
        <v>272</v>
      </c>
      <c r="B44" s="47" t="s">
        <v>592</v>
      </c>
      <c r="C44" s="305">
        <v>4.8632414333635951E-2</v>
      </c>
      <c r="D44" s="305">
        <f t="shared" si="0"/>
        <v>9.9297395426919954E-2</v>
      </c>
      <c r="E44" s="329">
        <v>5.3297395426919955E-2</v>
      </c>
      <c r="F44" s="329">
        <v>0.3</v>
      </c>
    </row>
    <row r="45" spans="1:6" ht="15.5">
      <c r="A45" s="44" t="s">
        <v>273</v>
      </c>
      <c r="B45" s="47" t="s">
        <v>609</v>
      </c>
      <c r="C45" s="305">
        <v>2.208389962363469E-2</v>
      </c>
      <c r="D45" s="305">
        <f t="shared" si="0"/>
        <v>7.020225989058497E-2</v>
      </c>
      <c r="E45" s="329">
        <v>2.4202259890584967E-2</v>
      </c>
      <c r="F45" s="329">
        <v>0.18</v>
      </c>
    </row>
    <row r="46" spans="1:6" ht="15.5">
      <c r="A46" s="44" t="s">
        <v>365</v>
      </c>
      <c r="B46" s="47" t="s">
        <v>606</v>
      </c>
      <c r="C46" s="305">
        <v>7.9565818860604404E-2</v>
      </c>
      <c r="D46" s="305">
        <f t="shared" si="0"/>
        <v>0.13319803382961659</v>
      </c>
      <c r="E46" s="329">
        <v>8.7198033829616592E-2</v>
      </c>
      <c r="F46" s="329">
        <v>0.27360000000000001</v>
      </c>
    </row>
    <row r="47" spans="1:6" ht="15.5">
      <c r="A47" s="327" t="s">
        <v>670</v>
      </c>
      <c r="B47" s="47" t="s">
        <v>607</v>
      </c>
      <c r="C47" s="305">
        <v>1.0603460830120627E-2</v>
      </c>
      <c r="D47" s="305">
        <f t="shared" si="0"/>
        <v>5.7620579658656315E-2</v>
      </c>
      <c r="E47" s="329">
        <v>1.1620579658656319E-2</v>
      </c>
      <c r="F47" s="329">
        <v>0.22</v>
      </c>
    </row>
    <row r="48" spans="1:6" ht="15.5">
      <c r="A48" s="44" t="s">
        <v>274</v>
      </c>
      <c r="B48" s="47" t="s">
        <v>596</v>
      </c>
      <c r="C48" s="305">
        <v>2.6548514710001261E-2</v>
      </c>
      <c r="D48" s="305">
        <f t="shared" si="0"/>
        <v>7.5095135536334984E-2</v>
      </c>
      <c r="E48" s="329">
        <v>2.9095135536334988E-2</v>
      </c>
      <c r="F48" s="329">
        <v>0.125</v>
      </c>
    </row>
    <row r="49" spans="1:6" ht="15.5">
      <c r="A49" s="44" t="s">
        <v>275</v>
      </c>
      <c r="B49" s="47" t="s">
        <v>600</v>
      </c>
      <c r="C49" s="305">
        <v>5.3415930497600151E-3</v>
      </c>
      <c r="D49" s="305">
        <f t="shared" si="0"/>
        <v>5.1853976219022352E-2</v>
      </c>
      <c r="E49" s="329">
        <v>5.8539762190223561E-3</v>
      </c>
      <c r="F49" s="329">
        <v>0.19</v>
      </c>
    </row>
    <row r="50" spans="1:6" ht="15.5">
      <c r="A50" s="44" t="s">
        <v>276</v>
      </c>
      <c r="B50" s="47" t="s">
        <v>594</v>
      </c>
      <c r="C50" s="305">
        <v>0</v>
      </c>
      <c r="D50" s="305">
        <f t="shared" si="0"/>
        <v>4.5999999999999999E-2</v>
      </c>
      <c r="E50" s="329">
        <v>0</v>
      </c>
      <c r="F50" s="329">
        <v>0.22</v>
      </c>
    </row>
    <row r="51" spans="1:6" ht="15.5">
      <c r="A51" s="44" t="s">
        <v>277</v>
      </c>
      <c r="B51" s="47" t="s">
        <v>598</v>
      </c>
      <c r="C51" s="305">
        <v>3.1810382490361881E-2</v>
      </c>
      <c r="D51" s="305">
        <f t="shared" si="0"/>
        <v>8.0861738975968961E-2</v>
      </c>
      <c r="E51" s="329">
        <v>3.4861738975968962E-2</v>
      </c>
      <c r="F51" s="329">
        <v>0.27</v>
      </c>
    </row>
    <row r="52" spans="1:6" ht="15.5">
      <c r="A52" s="44" t="s">
        <v>278</v>
      </c>
      <c r="B52" s="47" t="s">
        <v>661</v>
      </c>
      <c r="C52" s="305">
        <v>8.8335598494538758E-2</v>
      </c>
      <c r="D52" s="305">
        <f t="shared" si="0"/>
        <v>0.14280903956233987</v>
      </c>
      <c r="E52" s="329">
        <v>9.6809039562339869E-2</v>
      </c>
      <c r="F52" s="329">
        <v>0.25</v>
      </c>
    </row>
    <row r="53" spans="1:6" ht="15.5">
      <c r="A53" s="44" t="s">
        <v>279</v>
      </c>
      <c r="B53" s="47" t="s">
        <v>592</v>
      </c>
      <c r="C53" s="305">
        <v>4.8632414333635951E-2</v>
      </c>
      <c r="D53" s="305">
        <f t="shared" si="0"/>
        <v>9.9297395426919954E-2</v>
      </c>
      <c r="E53" s="329">
        <v>5.3297395426919955E-2</v>
      </c>
      <c r="F53" s="329">
        <v>0.22500000000000001</v>
      </c>
    </row>
    <row r="54" spans="1:6" ht="15.5">
      <c r="A54" s="44" t="s">
        <v>366</v>
      </c>
      <c r="B54" s="47" t="s">
        <v>601</v>
      </c>
      <c r="C54" s="305">
        <v>5.74819192369697E-2</v>
      </c>
      <c r="D54" s="305">
        <f t="shared" si="0"/>
        <v>0.10899577393903161</v>
      </c>
      <c r="E54" s="329">
        <v>6.2995773939031607E-2</v>
      </c>
      <c r="F54" s="329">
        <v>0.3</v>
      </c>
    </row>
    <row r="55" spans="1:6" ht="15.5">
      <c r="A55" s="44" t="s">
        <v>280</v>
      </c>
      <c r="B55" s="47" t="s">
        <v>605</v>
      </c>
      <c r="C55" s="305">
        <v>6.2185710131534505E-3</v>
      </c>
      <c r="D55" s="305">
        <f t="shared" si="0"/>
        <v>5.2815076792294684E-2</v>
      </c>
      <c r="E55" s="329">
        <v>6.8150767922946836E-3</v>
      </c>
      <c r="F55" s="329">
        <v>0.2</v>
      </c>
    </row>
    <row r="56" spans="1:6" ht="15.5">
      <c r="A56" s="44" t="s">
        <v>502</v>
      </c>
      <c r="B56" s="47" t="s">
        <v>592</v>
      </c>
      <c r="C56" s="305">
        <v>4.8632414333635951E-2</v>
      </c>
      <c r="D56" s="305">
        <f t="shared" si="0"/>
        <v>9.9297395426919954E-2</v>
      </c>
      <c r="E56" s="329">
        <v>5.3297395426919955E-2</v>
      </c>
      <c r="F56" s="329">
        <v>0.3</v>
      </c>
    </row>
    <row r="57" spans="1:6" ht="15.5">
      <c r="A57" s="44" t="s">
        <v>281</v>
      </c>
      <c r="B57" s="47" t="s">
        <v>598</v>
      </c>
      <c r="C57" s="305">
        <v>3.1810382490361881E-2</v>
      </c>
      <c r="D57" s="305">
        <f t="shared" si="0"/>
        <v>8.0861738975968961E-2</v>
      </c>
      <c r="E57" s="329">
        <v>3.4861738975968962E-2</v>
      </c>
      <c r="F57" s="329">
        <v>0.2</v>
      </c>
    </row>
    <row r="58" spans="1:6" ht="15.5">
      <c r="A58" s="44" t="s">
        <v>282</v>
      </c>
      <c r="B58" s="47" t="s">
        <v>595</v>
      </c>
      <c r="C58" s="305">
        <v>3.5079118535737406E-3</v>
      </c>
      <c r="D58" s="305">
        <f t="shared" si="0"/>
        <v>4.9844402293089306E-2</v>
      </c>
      <c r="E58" s="329">
        <v>3.8444022930893078E-3</v>
      </c>
      <c r="F58" s="329">
        <v>0.2</v>
      </c>
    </row>
    <row r="59" spans="1:6" ht="15.5">
      <c r="A59" s="44" t="s">
        <v>283</v>
      </c>
      <c r="B59" s="47" t="s">
        <v>588</v>
      </c>
      <c r="C59" s="305">
        <v>4.3848898169671765E-3</v>
      </c>
      <c r="D59" s="305">
        <f t="shared" si="0"/>
        <v>5.0805502866361638E-2</v>
      </c>
      <c r="E59" s="329">
        <v>4.8055028663616358E-3</v>
      </c>
      <c r="F59" s="329">
        <v>0.28000000000000003</v>
      </c>
    </row>
    <row r="60" spans="1:6" ht="15.5">
      <c r="A60" s="44" t="s">
        <v>486</v>
      </c>
      <c r="B60" s="47" t="s">
        <v>599</v>
      </c>
      <c r="C60" s="305">
        <v>6.6251698870904069E-2</v>
      </c>
      <c r="D60" s="305">
        <f t="shared" si="0"/>
        <v>0.1186067796717549</v>
      </c>
      <c r="E60" s="329">
        <v>7.2606779671754898E-2</v>
      </c>
      <c r="F60" s="329">
        <v>0.3</v>
      </c>
    </row>
    <row r="61" spans="1:6" ht="15.5">
      <c r="A61" s="306" t="s">
        <v>608</v>
      </c>
      <c r="B61" s="47" t="s">
        <v>677</v>
      </c>
      <c r="C61" s="330">
        <v>5.7481919236969693E-2</v>
      </c>
      <c r="D61" s="305">
        <f t="shared" si="0"/>
        <v>0.10899577393903161</v>
      </c>
      <c r="E61" s="331">
        <v>6.2995773939031607E-2</v>
      </c>
      <c r="F61" s="332">
        <v>0.31</v>
      </c>
    </row>
    <row r="62" spans="1:6" ht="15.5">
      <c r="A62" s="44" t="s">
        <v>367</v>
      </c>
      <c r="B62" s="47" t="s">
        <v>596</v>
      </c>
      <c r="C62" s="305">
        <v>2.6548514710001261E-2</v>
      </c>
      <c r="D62" s="305">
        <f t="shared" si="0"/>
        <v>7.5095135536334984E-2</v>
      </c>
      <c r="E62" s="329">
        <v>2.9095135536334988E-2</v>
      </c>
      <c r="F62" s="329">
        <v>0.15</v>
      </c>
    </row>
    <row r="63" spans="1:6" ht="15.5">
      <c r="A63" s="44" t="s">
        <v>284</v>
      </c>
      <c r="B63" s="47" t="s">
        <v>594</v>
      </c>
      <c r="C63" s="305">
        <v>0</v>
      </c>
      <c r="D63" s="305">
        <f t="shared" si="0"/>
        <v>4.5999999999999999E-2</v>
      </c>
      <c r="E63" s="329">
        <v>0</v>
      </c>
      <c r="F63" s="329">
        <v>0.3</v>
      </c>
    </row>
    <row r="64" spans="1:6" ht="15.5">
      <c r="A64" s="44" t="s">
        <v>487</v>
      </c>
      <c r="B64" s="47" t="s">
        <v>601</v>
      </c>
      <c r="C64" s="305">
        <v>5.74819192369697E-2</v>
      </c>
      <c r="D64" s="305">
        <f t="shared" si="0"/>
        <v>0.10899577393903161</v>
      </c>
      <c r="E64" s="329">
        <v>6.2995773939031607E-2</v>
      </c>
      <c r="F64" s="329">
        <v>0.25</v>
      </c>
    </row>
    <row r="65" spans="1:6" ht="15.5">
      <c r="A65" s="44" t="s">
        <v>285</v>
      </c>
      <c r="B65" s="47" t="s">
        <v>598</v>
      </c>
      <c r="C65" s="305">
        <v>3.1810382490361881E-2</v>
      </c>
      <c r="D65" s="305">
        <f t="shared" si="0"/>
        <v>8.0861738975968961E-2</v>
      </c>
      <c r="E65" s="329">
        <v>3.4861738975968962E-2</v>
      </c>
      <c r="F65" s="329">
        <v>0.24</v>
      </c>
    </row>
    <row r="66" spans="1:6" ht="15.5">
      <c r="A66" s="44" t="s">
        <v>286</v>
      </c>
      <c r="B66" s="47" t="s">
        <v>609</v>
      </c>
      <c r="C66" s="305">
        <v>2.208389962363469E-2</v>
      </c>
      <c r="D66" s="305">
        <f t="shared" si="0"/>
        <v>7.020225989058497E-2</v>
      </c>
      <c r="E66" s="329">
        <v>2.4202259890584967E-2</v>
      </c>
      <c r="F66" s="329">
        <v>0.25</v>
      </c>
    </row>
    <row r="67" spans="1:6" ht="15.5">
      <c r="A67" s="44" t="s">
        <v>671</v>
      </c>
      <c r="B67" s="47" t="s">
        <v>594</v>
      </c>
      <c r="C67" s="305">
        <v>0</v>
      </c>
      <c r="D67" s="305">
        <f t="shared" si="0"/>
        <v>4.5999999999999999E-2</v>
      </c>
      <c r="E67" s="329">
        <v>0</v>
      </c>
      <c r="F67" s="329">
        <v>0</v>
      </c>
    </row>
    <row r="68" spans="1:6" ht="15.5">
      <c r="A68" s="306" t="s">
        <v>610</v>
      </c>
      <c r="B68" s="47" t="s">
        <v>677</v>
      </c>
      <c r="C68" s="330">
        <v>0.10603460830120626</v>
      </c>
      <c r="D68" s="305">
        <f t="shared" si="0"/>
        <v>0.1622057965865632</v>
      </c>
      <c r="E68" s="331">
        <v>0.11620579658656319</v>
      </c>
      <c r="F68" s="332">
        <v>0.28249999999999997</v>
      </c>
    </row>
    <row r="69" spans="1:6" ht="15.5">
      <c r="A69" s="306" t="s">
        <v>611</v>
      </c>
      <c r="B69" s="47" t="s">
        <v>677</v>
      </c>
      <c r="C69" s="330">
        <v>6.6251698870904083E-2</v>
      </c>
      <c r="D69" s="305">
        <f t="shared" si="0"/>
        <v>0.11860677967175491</v>
      </c>
      <c r="E69" s="331">
        <v>7.2606779671754912E-2</v>
      </c>
      <c r="F69" s="332">
        <v>0.28249999999999997</v>
      </c>
    </row>
    <row r="70" spans="1:6" ht="15.5">
      <c r="A70" s="306" t="s">
        <v>612</v>
      </c>
      <c r="B70" s="47" t="s">
        <v>677</v>
      </c>
      <c r="C70" s="330">
        <v>4.8632414333635958E-2</v>
      </c>
      <c r="D70" s="305">
        <f t="shared" ref="D70:D133" si="1">$B$1+E70</f>
        <v>9.9297395426919954E-2</v>
      </c>
      <c r="E70" s="331">
        <v>5.3297395426919962E-2</v>
      </c>
      <c r="F70" s="332">
        <v>0.27360000000000001</v>
      </c>
    </row>
    <row r="71" spans="1:6" ht="15.5">
      <c r="A71" s="306" t="s">
        <v>613</v>
      </c>
      <c r="B71" s="47" t="s">
        <v>677</v>
      </c>
      <c r="C71" s="330">
        <v>0.10603460830120626</v>
      </c>
      <c r="D71" s="305">
        <f t="shared" si="1"/>
        <v>0.1622057965865632</v>
      </c>
      <c r="E71" s="331">
        <v>0.11620579658656319</v>
      </c>
      <c r="F71" s="332">
        <v>0.27360000000000001</v>
      </c>
    </row>
    <row r="72" spans="1:6" ht="15.5">
      <c r="A72" s="44" t="s">
        <v>287</v>
      </c>
      <c r="B72" s="47" t="s">
        <v>589</v>
      </c>
      <c r="C72" s="305">
        <v>3.9782909430302202E-2</v>
      </c>
      <c r="D72" s="305">
        <f t="shared" si="1"/>
        <v>8.9599016914808288E-2</v>
      </c>
      <c r="E72" s="329">
        <v>4.3599016914808296E-2</v>
      </c>
      <c r="F72" s="329">
        <v>0.25</v>
      </c>
    </row>
    <row r="73" spans="1:6" ht="15.5">
      <c r="A73" s="44" t="s">
        <v>288</v>
      </c>
      <c r="B73" s="47" t="s">
        <v>600</v>
      </c>
      <c r="C73" s="305">
        <v>5.3415930497600151E-3</v>
      </c>
      <c r="D73" s="305">
        <f t="shared" si="1"/>
        <v>5.1853976219022352E-2</v>
      </c>
      <c r="E73" s="329">
        <v>5.8539762190223561E-3</v>
      </c>
      <c r="F73" s="329">
        <v>0.16500000000000001</v>
      </c>
    </row>
    <row r="74" spans="1:6" ht="15.5">
      <c r="A74" s="44" t="s">
        <v>289</v>
      </c>
      <c r="B74" s="47" t="s">
        <v>597</v>
      </c>
      <c r="C74" s="305">
        <v>1.9452965733454383E-2</v>
      </c>
      <c r="D74" s="305">
        <f t="shared" si="1"/>
        <v>6.7318958170767981E-2</v>
      </c>
      <c r="E74" s="329">
        <v>2.1318958170767986E-2</v>
      </c>
      <c r="F74" s="329">
        <v>0.09</v>
      </c>
    </row>
    <row r="75" spans="1:6" ht="15.5">
      <c r="A75" s="44" t="s">
        <v>290</v>
      </c>
      <c r="B75" s="47" t="s">
        <v>603</v>
      </c>
      <c r="C75" s="305">
        <v>7.4941753235439005E-3</v>
      </c>
      <c r="D75" s="305">
        <f t="shared" si="1"/>
        <v>5.4213041262508976E-2</v>
      </c>
      <c r="E75" s="329">
        <v>8.2130412625089771E-3</v>
      </c>
      <c r="F75" s="329">
        <v>0.2</v>
      </c>
    </row>
    <row r="76" spans="1:6" ht="15.5">
      <c r="A76" s="44" t="s">
        <v>291</v>
      </c>
      <c r="B76" s="47" t="s">
        <v>597</v>
      </c>
      <c r="C76" s="305">
        <v>1.9452965733454383E-2</v>
      </c>
      <c r="D76" s="305">
        <f t="shared" si="1"/>
        <v>6.7318958170767981E-2</v>
      </c>
      <c r="E76" s="329">
        <v>2.1318958170767986E-2</v>
      </c>
      <c r="F76" s="329">
        <v>0.3</v>
      </c>
    </row>
    <row r="77" spans="1:6" ht="15.5">
      <c r="A77" s="44" t="s">
        <v>292</v>
      </c>
      <c r="B77" s="47" t="s">
        <v>591</v>
      </c>
      <c r="C77" s="305">
        <v>1.6822031843274077E-2</v>
      </c>
      <c r="D77" s="305">
        <f t="shared" si="1"/>
        <v>6.4435656450951007E-2</v>
      </c>
      <c r="E77" s="329">
        <v>1.8435656450951004E-2</v>
      </c>
      <c r="F77" s="329">
        <v>0.15</v>
      </c>
    </row>
    <row r="78" spans="1:6" ht="15.5">
      <c r="A78" s="306" t="s">
        <v>614</v>
      </c>
      <c r="B78" s="47" t="s">
        <v>677</v>
      </c>
      <c r="C78" s="330">
        <v>7.9565818860604418E-2</v>
      </c>
      <c r="D78" s="305">
        <f t="shared" si="1"/>
        <v>0.13319803382961659</v>
      </c>
      <c r="E78" s="331">
        <v>8.7198033829616606E-2</v>
      </c>
      <c r="F78" s="332">
        <v>0.21129999999999999</v>
      </c>
    </row>
    <row r="79" spans="1:6" ht="15.5">
      <c r="A79" s="44" t="s">
        <v>561</v>
      </c>
      <c r="B79" s="47" t="s">
        <v>599</v>
      </c>
      <c r="C79" s="305">
        <v>6.6251698870904069E-2</v>
      </c>
      <c r="D79" s="305">
        <f t="shared" si="1"/>
        <v>0.1186067796717549</v>
      </c>
      <c r="E79" s="329">
        <v>7.2606779671754898E-2</v>
      </c>
      <c r="F79" s="329">
        <v>0.15</v>
      </c>
    </row>
    <row r="80" spans="1:6" ht="15.5">
      <c r="A80" s="44" t="s">
        <v>293</v>
      </c>
      <c r="B80" s="47" t="s">
        <v>603</v>
      </c>
      <c r="C80" s="305">
        <v>7.4941753235439005E-3</v>
      </c>
      <c r="D80" s="305">
        <f t="shared" si="1"/>
        <v>5.4213041262508976E-2</v>
      </c>
      <c r="E80" s="329">
        <v>8.2130412625089771E-3</v>
      </c>
      <c r="F80" s="329">
        <v>0.125</v>
      </c>
    </row>
    <row r="81" spans="1:6" ht="15.5">
      <c r="A81" s="44" t="s">
        <v>294</v>
      </c>
      <c r="B81" s="47" t="s">
        <v>600</v>
      </c>
      <c r="C81" s="305">
        <v>5.3415930497600151E-3</v>
      </c>
      <c r="D81" s="305">
        <f t="shared" si="1"/>
        <v>5.1853976219022352E-2</v>
      </c>
      <c r="E81" s="329">
        <v>5.8539762190223561E-3</v>
      </c>
      <c r="F81" s="329">
        <v>0</v>
      </c>
    </row>
    <row r="82" spans="1:6" ht="15.5">
      <c r="A82" s="44" t="s">
        <v>295</v>
      </c>
      <c r="B82" s="47" t="s">
        <v>605</v>
      </c>
      <c r="C82" s="305">
        <v>6.2185710131534505E-3</v>
      </c>
      <c r="D82" s="305">
        <f t="shared" si="1"/>
        <v>5.2815076792294684E-2</v>
      </c>
      <c r="E82" s="329">
        <v>6.8150767922946836E-3</v>
      </c>
      <c r="F82" s="329">
        <v>0.23</v>
      </c>
    </row>
    <row r="83" spans="1:6" ht="15.5">
      <c r="A83" s="44" t="s">
        <v>296</v>
      </c>
      <c r="B83" s="47" t="s">
        <v>597</v>
      </c>
      <c r="C83" s="305">
        <v>1.9452965733454383E-2</v>
      </c>
      <c r="D83" s="305">
        <f t="shared" si="1"/>
        <v>6.7318958170767981E-2</v>
      </c>
      <c r="E83" s="329">
        <v>2.1318958170767986E-2</v>
      </c>
      <c r="F83" s="329">
        <v>0.24</v>
      </c>
    </row>
    <row r="84" spans="1:6" ht="15.5">
      <c r="A84" s="327" t="s">
        <v>672</v>
      </c>
      <c r="B84" s="47" t="s">
        <v>598</v>
      </c>
      <c r="C84" s="305">
        <v>3.1810382490361881E-2</v>
      </c>
      <c r="D84" s="305">
        <f t="shared" si="1"/>
        <v>8.0861738975968961E-2</v>
      </c>
      <c r="E84" s="329">
        <v>3.4861738975968962E-2</v>
      </c>
      <c r="F84" s="329">
        <v>0.25</v>
      </c>
    </row>
    <row r="85" spans="1:6" ht="15.5">
      <c r="A85" s="44" t="s">
        <v>297</v>
      </c>
      <c r="B85" s="47" t="s">
        <v>592</v>
      </c>
      <c r="C85" s="305">
        <v>4.8632414333635951E-2</v>
      </c>
      <c r="D85" s="305">
        <f t="shared" si="1"/>
        <v>9.9297395426919954E-2</v>
      </c>
      <c r="E85" s="329">
        <v>5.3297395426919955E-2</v>
      </c>
      <c r="F85" s="329">
        <v>0.25</v>
      </c>
    </row>
    <row r="86" spans="1:6" ht="15.5">
      <c r="A86" s="44" t="s">
        <v>298</v>
      </c>
      <c r="B86" s="47" t="s">
        <v>605</v>
      </c>
      <c r="C86" s="305">
        <v>6.2185710131534505E-3</v>
      </c>
      <c r="D86" s="305">
        <f t="shared" si="1"/>
        <v>5.2815076792294684E-2</v>
      </c>
      <c r="E86" s="329">
        <v>6.8150767922946836E-3</v>
      </c>
      <c r="F86" s="329">
        <v>0.30620000000000003</v>
      </c>
    </row>
    <row r="87" spans="1:6" ht="15.5">
      <c r="A87" s="44" t="s">
        <v>673</v>
      </c>
      <c r="B87" s="47" t="s">
        <v>594</v>
      </c>
      <c r="C87" s="305">
        <v>0</v>
      </c>
      <c r="D87" s="305">
        <f t="shared" si="1"/>
        <v>4.5999999999999999E-2</v>
      </c>
      <c r="E87" s="329">
        <v>0</v>
      </c>
      <c r="F87" s="329">
        <v>0</v>
      </c>
    </row>
    <row r="88" spans="1:6" ht="15.5">
      <c r="A88" s="44" t="s">
        <v>299</v>
      </c>
      <c r="B88" s="47" t="s">
        <v>589</v>
      </c>
      <c r="C88" s="305">
        <v>3.9782909430302202E-2</v>
      </c>
      <c r="D88" s="305">
        <f t="shared" si="1"/>
        <v>8.9599016914808288E-2</v>
      </c>
      <c r="E88" s="329">
        <v>4.3599016914808296E-2</v>
      </c>
      <c r="F88" s="329">
        <v>0.2</v>
      </c>
    </row>
    <row r="89" spans="1:6" ht="15.5">
      <c r="A89" s="44" t="s">
        <v>300</v>
      </c>
      <c r="B89" s="47" t="s">
        <v>597</v>
      </c>
      <c r="C89" s="305">
        <v>1.9452965733454383E-2</v>
      </c>
      <c r="D89" s="305">
        <f t="shared" si="1"/>
        <v>6.7318958170767981E-2</v>
      </c>
      <c r="E89" s="329">
        <v>2.1318958170767986E-2</v>
      </c>
      <c r="F89" s="329">
        <v>0.2</v>
      </c>
    </row>
    <row r="90" spans="1:6" ht="15.5">
      <c r="A90" s="44" t="s">
        <v>429</v>
      </c>
      <c r="B90" s="47" t="s">
        <v>592</v>
      </c>
      <c r="C90" s="305">
        <v>4.8632414333635951E-2</v>
      </c>
      <c r="D90" s="305">
        <f t="shared" si="1"/>
        <v>9.9297395426919954E-2</v>
      </c>
      <c r="E90" s="329">
        <v>5.3297395426919955E-2</v>
      </c>
      <c r="F90" s="329">
        <v>0.3</v>
      </c>
    </row>
    <row r="91" spans="1:6" ht="15.5">
      <c r="A91" s="306" t="s">
        <v>615</v>
      </c>
      <c r="B91" s="47" t="s">
        <v>677</v>
      </c>
      <c r="C91" s="330">
        <v>0.10603460830120626</v>
      </c>
      <c r="D91" s="305">
        <f t="shared" si="1"/>
        <v>0.1622057965865632</v>
      </c>
      <c r="E91" s="331">
        <v>0.11620579658656319</v>
      </c>
      <c r="F91" s="332">
        <v>0.21129999999999999</v>
      </c>
    </row>
    <row r="92" spans="1:6" ht="15.5">
      <c r="A92" s="44" t="s">
        <v>301</v>
      </c>
      <c r="B92" s="47" t="s">
        <v>605</v>
      </c>
      <c r="C92" s="305">
        <v>6.2185710131534505E-3</v>
      </c>
      <c r="D92" s="305">
        <f t="shared" si="1"/>
        <v>5.2815076792294684E-2</v>
      </c>
      <c r="E92" s="329">
        <v>6.8150767922946836E-3</v>
      </c>
      <c r="F92" s="329">
        <v>0.15</v>
      </c>
    </row>
    <row r="93" spans="1:6" ht="15.5">
      <c r="A93" s="44" t="s">
        <v>488</v>
      </c>
      <c r="B93" s="47" t="s">
        <v>592</v>
      </c>
      <c r="C93" s="305">
        <v>4.8632414333635951E-2</v>
      </c>
      <c r="D93" s="305">
        <f t="shared" si="1"/>
        <v>9.9297395426919954E-2</v>
      </c>
      <c r="E93" s="329">
        <v>5.3297395426919955E-2</v>
      </c>
      <c r="F93" s="329">
        <v>0.1</v>
      </c>
    </row>
    <row r="94" spans="1:6" ht="15.5">
      <c r="A94" s="327" t="s">
        <v>648</v>
      </c>
      <c r="B94" s="47" t="s">
        <v>606</v>
      </c>
      <c r="C94" s="305">
        <v>1.0603460830120627E-2</v>
      </c>
      <c r="D94" s="305">
        <f t="shared" si="1"/>
        <v>5.7620579658656315E-2</v>
      </c>
      <c r="E94" s="329">
        <v>1.1620579658656319E-2</v>
      </c>
      <c r="F94" s="329">
        <v>0.21129999999999999</v>
      </c>
    </row>
    <row r="95" spans="1:6" ht="15.5">
      <c r="A95" s="44" t="s">
        <v>302</v>
      </c>
      <c r="B95" s="47" t="s">
        <v>607</v>
      </c>
      <c r="C95" s="305">
        <v>1.0603460830120627E-2</v>
      </c>
      <c r="D95" s="305">
        <f t="shared" si="1"/>
        <v>5.7620579658656315E-2</v>
      </c>
      <c r="E95" s="329">
        <v>1.1620579658656319E-2</v>
      </c>
      <c r="F95" s="329">
        <v>0.2</v>
      </c>
    </row>
    <row r="96" spans="1:6" ht="15.5">
      <c r="A96" s="44" t="s">
        <v>368</v>
      </c>
      <c r="B96" s="47" t="s">
        <v>640</v>
      </c>
      <c r="C96" s="305">
        <v>0.17499999999999999</v>
      </c>
      <c r="D96" s="305">
        <f t="shared" si="1"/>
        <v>0.23778657542527282</v>
      </c>
      <c r="E96" s="329">
        <v>0.19178657542527283</v>
      </c>
      <c r="F96" s="329">
        <v>0.17</v>
      </c>
    </row>
    <row r="97" spans="1:6" ht="15.5">
      <c r="A97" s="306" t="s">
        <v>616</v>
      </c>
      <c r="B97" s="47" t="s">
        <v>677</v>
      </c>
      <c r="C97" s="330">
        <v>0.10603460830120626</v>
      </c>
      <c r="D97" s="305">
        <f t="shared" si="1"/>
        <v>0.1622057965865632</v>
      </c>
      <c r="E97" s="331">
        <v>0.11620579658656319</v>
      </c>
      <c r="F97" s="332">
        <v>0.28249999999999997</v>
      </c>
    </row>
    <row r="98" spans="1:6" ht="15.5">
      <c r="A98" s="306" t="s">
        <v>617</v>
      </c>
      <c r="B98" s="47" t="s">
        <v>677</v>
      </c>
      <c r="C98" s="330">
        <v>7.9565818860604418E-2</v>
      </c>
      <c r="D98" s="305">
        <f t="shared" si="1"/>
        <v>0.13319803382961659</v>
      </c>
      <c r="E98" s="331">
        <v>8.7198033829616606E-2</v>
      </c>
      <c r="F98" s="332">
        <v>0.2</v>
      </c>
    </row>
    <row r="99" spans="1:6" ht="15.5">
      <c r="A99" s="44" t="s">
        <v>303</v>
      </c>
      <c r="B99" s="47" t="s">
        <v>594</v>
      </c>
      <c r="C99" s="305">
        <v>0</v>
      </c>
      <c r="D99" s="305">
        <f t="shared" si="1"/>
        <v>4.5999999999999999E-2</v>
      </c>
      <c r="E99" s="329">
        <v>0</v>
      </c>
      <c r="F99" s="329">
        <v>0.125</v>
      </c>
    </row>
    <row r="100" spans="1:6" ht="15.5">
      <c r="A100" s="44" t="s">
        <v>304</v>
      </c>
      <c r="B100" s="47" t="s">
        <v>607</v>
      </c>
      <c r="C100" s="305">
        <v>1.0603460830120627E-2</v>
      </c>
      <c r="D100" s="305">
        <f t="shared" si="1"/>
        <v>5.7620579658656315E-2</v>
      </c>
      <c r="E100" s="329">
        <v>1.1620579658656319E-2</v>
      </c>
      <c r="F100" s="329">
        <v>0.15</v>
      </c>
    </row>
    <row r="101" spans="1:6" ht="15.5">
      <c r="A101" s="44" t="s">
        <v>305</v>
      </c>
      <c r="B101" s="47" t="s">
        <v>594</v>
      </c>
      <c r="C101" s="305">
        <v>0</v>
      </c>
      <c r="D101" s="305">
        <f t="shared" si="1"/>
        <v>4.5999999999999999E-2</v>
      </c>
      <c r="E101" s="329">
        <v>0</v>
      </c>
      <c r="F101" s="329">
        <v>0.24940000000000001</v>
      </c>
    </row>
    <row r="102" spans="1:6" ht="15.5">
      <c r="A102" s="44" t="s">
        <v>637</v>
      </c>
      <c r="B102" s="47" t="s">
        <v>600</v>
      </c>
      <c r="C102" s="305">
        <v>5.3415930497600151E-3</v>
      </c>
      <c r="D102" s="305">
        <f t="shared" si="1"/>
        <v>5.1853976219022352E-2</v>
      </c>
      <c r="E102" s="329">
        <v>5.8539762190223561E-3</v>
      </c>
      <c r="F102" s="329">
        <v>0.12</v>
      </c>
    </row>
    <row r="103" spans="1:6" ht="15.5">
      <c r="A103" s="44" t="s">
        <v>306</v>
      </c>
      <c r="B103" s="47" t="s">
        <v>598</v>
      </c>
      <c r="C103" s="305">
        <v>3.1810382490361881E-2</v>
      </c>
      <c r="D103" s="305">
        <f t="shared" si="1"/>
        <v>8.0861738975968961E-2</v>
      </c>
      <c r="E103" s="329">
        <v>3.4861738975968962E-2</v>
      </c>
      <c r="F103" s="329">
        <v>0.1</v>
      </c>
    </row>
    <row r="104" spans="1:6" ht="15.5">
      <c r="A104" s="306" t="s">
        <v>618</v>
      </c>
      <c r="B104" s="47" t="s">
        <v>677</v>
      </c>
      <c r="C104" s="330">
        <v>5.7481919236969693E-2</v>
      </c>
      <c r="D104" s="305">
        <f t="shared" si="1"/>
        <v>0.10899577393903161</v>
      </c>
      <c r="E104" s="331">
        <v>6.2995773939031607E-2</v>
      </c>
      <c r="F104" s="332">
        <v>0.2</v>
      </c>
    </row>
    <row r="105" spans="1:6" ht="15.5">
      <c r="A105" s="306" t="s">
        <v>619</v>
      </c>
      <c r="B105" s="47" t="s">
        <v>677</v>
      </c>
      <c r="C105" s="330">
        <v>7.9565818860604418E-2</v>
      </c>
      <c r="D105" s="305">
        <f t="shared" si="1"/>
        <v>0.13319803382961659</v>
      </c>
      <c r="E105" s="331">
        <v>8.7198033829616606E-2</v>
      </c>
      <c r="F105" s="332">
        <v>0.3</v>
      </c>
    </row>
    <row r="106" spans="1:6" ht="15.5">
      <c r="A106" s="44" t="s">
        <v>307</v>
      </c>
      <c r="B106" s="47" t="s">
        <v>607</v>
      </c>
      <c r="C106" s="305">
        <v>1.0603460830120627E-2</v>
      </c>
      <c r="D106" s="305">
        <f t="shared" si="1"/>
        <v>5.7620579658656315E-2</v>
      </c>
      <c r="E106" s="329">
        <v>1.1620579658656319E-2</v>
      </c>
      <c r="F106" s="329">
        <v>0.24</v>
      </c>
    </row>
    <row r="107" spans="1:6" ht="15.5">
      <c r="A107" s="44" t="s">
        <v>620</v>
      </c>
      <c r="B107" s="47" t="s">
        <v>599</v>
      </c>
      <c r="C107" s="305">
        <v>6.6251698870904069E-2</v>
      </c>
      <c r="D107" s="305">
        <f t="shared" si="1"/>
        <v>0.1186067796717549</v>
      </c>
      <c r="E107" s="329">
        <v>7.2606779671754898E-2</v>
      </c>
      <c r="F107" s="329">
        <v>0.28249999999999997</v>
      </c>
    </row>
    <row r="108" spans="1:6" ht="15.5">
      <c r="A108" s="44" t="s">
        <v>308</v>
      </c>
      <c r="B108" s="47" t="s">
        <v>603</v>
      </c>
      <c r="C108" s="305">
        <v>7.4941753235439005E-3</v>
      </c>
      <c r="D108" s="305">
        <f t="shared" si="1"/>
        <v>5.4213041262508976E-2</v>
      </c>
      <c r="E108" s="329">
        <v>8.2130412625089771E-3</v>
      </c>
      <c r="F108" s="329">
        <v>0.35</v>
      </c>
    </row>
    <row r="109" spans="1:6" ht="15.5">
      <c r="A109" s="44" t="s">
        <v>309</v>
      </c>
      <c r="B109" s="47" t="s">
        <v>593</v>
      </c>
      <c r="C109" s="305">
        <v>1.4111372683694367E-2</v>
      </c>
      <c r="D109" s="305">
        <f t="shared" si="1"/>
        <v>6.1464981951745629E-2</v>
      </c>
      <c r="E109" s="329">
        <v>1.5464981951745628E-2</v>
      </c>
      <c r="F109" s="329">
        <v>0.15</v>
      </c>
    </row>
    <row r="110" spans="1:6" ht="15.5">
      <c r="A110" s="44" t="s">
        <v>310</v>
      </c>
      <c r="B110" s="47" t="s">
        <v>593</v>
      </c>
      <c r="C110" s="305">
        <v>1.4111372683694367E-2</v>
      </c>
      <c r="D110" s="305">
        <f t="shared" si="1"/>
        <v>6.1464981951745629E-2</v>
      </c>
      <c r="E110" s="329">
        <v>1.5464981951745628E-2</v>
      </c>
      <c r="F110" s="329">
        <v>0.3</v>
      </c>
    </row>
    <row r="111" spans="1:6" ht="15.5">
      <c r="A111" s="44" t="s">
        <v>369</v>
      </c>
      <c r="B111" s="47" t="s">
        <v>601</v>
      </c>
      <c r="C111" s="305">
        <v>5.74819192369697E-2</v>
      </c>
      <c r="D111" s="305">
        <f t="shared" si="1"/>
        <v>0.10899577393903161</v>
      </c>
      <c r="E111" s="329">
        <v>6.2995773939031607E-2</v>
      </c>
      <c r="F111" s="329">
        <v>0.12</v>
      </c>
    </row>
    <row r="112" spans="1:6" ht="15.5">
      <c r="A112" s="44" t="s">
        <v>370</v>
      </c>
      <c r="B112" s="47" t="s">
        <v>601</v>
      </c>
      <c r="C112" s="305">
        <v>5.74819192369697E-2</v>
      </c>
      <c r="D112" s="305">
        <f t="shared" si="1"/>
        <v>0.10899577393903161</v>
      </c>
      <c r="E112" s="329">
        <v>6.2995773939031607E-2</v>
      </c>
      <c r="F112" s="329">
        <v>0.25</v>
      </c>
    </row>
    <row r="113" spans="1:6" ht="15.5">
      <c r="A113" s="44" t="s">
        <v>311</v>
      </c>
      <c r="B113" s="47" t="s">
        <v>589</v>
      </c>
      <c r="C113" s="305">
        <v>3.9782909430302202E-2</v>
      </c>
      <c r="D113" s="305">
        <f t="shared" si="1"/>
        <v>8.9599016914808288E-2</v>
      </c>
      <c r="E113" s="329">
        <v>4.3599016914808296E-2</v>
      </c>
      <c r="F113" s="329">
        <v>0.09</v>
      </c>
    </row>
    <row r="114" spans="1:6" ht="15.5">
      <c r="A114" s="44" t="s">
        <v>489</v>
      </c>
      <c r="B114" s="47" t="s">
        <v>597</v>
      </c>
      <c r="C114" s="305">
        <v>1.9452965733454383E-2</v>
      </c>
      <c r="D114" s="305">
        <f t="shared" si="1"/>
        <v>6.7318958170767981E-2</v>
      </c>
      <c r="E114" s="329">
        <v>2.1318958170767986E-2</v>
      </c>
      <c r="F114" s="329">
        <v>0.21129999999999999</v>
      </c>
    </row>
    <row r="115" spans="1:6" ht="15.5">
      <c r="A115" s="44" t="s">
        <v>371</v>
      </c>
      <c r="B115" s="47" t="s">
        <v>609</v>
      </c>
      <c r="C115" s="305">
        <v>2.208389962363469E-2</v>
      </c>
      <c r="D115" s="305">
        <f t="shared" si="1"/>
        <v>7.020225989058497E-2</v>
      </c>
      <c r="E115" s="329">
        <v>2.4202259890584967E-2</v>
      </c>
      <c r="F115" s="329">
        <v>0.31</v>
      </c>
    </row>
    <row r="116" spans="1:6" ht="15.5">
      <c r="A116" s="44" t="s">
        <v>312</v>
      </c>
      <c r="B116" s="47" t="s">
        <v>606</v>
      </c>
      <c r="C116" s="305">
        <v>7.9565818860604404E-2</v>
      </c>
      <c r="D116" s="305">
        <f t="shared" si="1"/>
        <v>0.13319803382961659</v>
      </c>
      <c r="E116" s="329">
        <v>8.7198033829616592E-2</v>
      </c>
      <c r="F116" s="329">
        <v>0.32</v>
      </c>
    </row>
    <row r="117" spans="1:6" ht="15.5">
      <c r="A117" s="306" t="s">
        <v>621</v>
      </c>
      <c r="B117" s="47" t="s">
        <v>677</v>
      </c>
      <c r="C117" s="330">
        <v>5.7481919236969693E-2</v>
      </c>
      <c r="D117" s="305">
        <f t="shared" si="1"/>
        <v>0.10899577393903161</v>
      </c>
      <c r="E117" s="331">
        <v>6.2995773939031607E-2</v>
      </c>
      <c r="F117" s="332">
        <v>0.25</v>
      </c>
    </row>
    <row r="118" spans="1:6" ht="15.5">
      <c r="A118" s="44" t="s">
        <v>313</v>
      </c>
      <c r="B118" s="47" t="s">
        <v>598</v>
      </c>
      <c r="C118" s="305">
        <v>3.1810382490361881E-2</v>
      </c>
      <c r="D118" s="305">
        <f t="shared" si="1"/>
        <v>8.0861738975968961E-2</v>
      </c>
      <c r="E118" s="329">
        <v>3.4861738975968962E-2</v>
      </c>
      <c r="F118" s="329">
        <v>0.32</v>
      </c>
    </row>
    <row r="119" spans="1:6" ht="15.5">
      <c r="A119" s="44" t="s">
        <v>314</v>
      </c>
      <c r="B119" s="47" t="s">
        <v>594</v>
      </c>
      <c r="C119" s="305">
        <v>0</v>
      </c>
      <c r="D119" s="305">
        <f t="shared" si="1"/>
        <v>4.5999999999999999E-2</v>
      </c>
      <c r="E119" s="329">
        <v>0</v>
      </c>
      <c r="F119" s="329">
        <v>0.25</v>
      </c>
    </row>
    <row r="120" spans="1:6" ht="15.5">
      <c r="A120" s="44" t="s">
        <v>315</v>
      </c>
      <c r="B120" s="47" t="s">
        <v>594</v>
      </c>
      <c r="C120" s="305">
        <v>0</v>
      </c>
      <c r="D120" s="305">
        <f t="shared" si="1"/>
        <v>4.5999999999999999E-2</v>
      </c>
      <c r="E120" s="329">
        <v>0</v>
      </c>
      <c r="F120" s="329">
        <v>0.28000000000000003</v>
      </c>
    </row>
    <row r="121" spans="1:6" ht="15.5">
      <c r="A121" s="44" t="s">
        <v>372</v>
      </c>
      <c r="B121" s="47" t="s">
        <v>601</v>
      </c>
      <c r="C121" s="305">
        <v>5.74819192369697E-2</v>
      </c>
      <c r="D121" s="305">
        <f t="shared" si="1"/>
        <v>0.10899577393903161</v>
      </c>
      <c r="E121" s="329">
        <v>6.2995773939031607E-2</v>
      </c>
      <c r="F121" s="329">
        <v>0.3</v>
      </c>
    </row>
    <row r="122" spans="1:6" ht="15.5">
      <c r="A122" s="44" t="s">
        <v>622</v>
      </c>
      <c r="B122" s="47" t="s">
        <v>601</v>
      </c>
      <c r="C122" s="305">
        <v>5.74819192369697E-2</v>
      </c>
      <c r="D122" s="305">
        <f t="shared" si="1"/>
        <v>0.10899577393903161</v>
      </c>
      <c r="E122" s="329">
        <v>6.2995773939031607E-2</v>
      </c>
      <c r="F122" s="329">
        <v>0.28249999999999997</v>
      </c>
    </row>
    <row r="123" spans="1:6" ht="15.5">
      <c r="A123" s="44" t="s">
        <v>316</v>
      </c>
      <c r="B123" s="47" t="s">
        <v>592</v>
      </c>
      <c r="C123" s="305">
        <v>4.8632414333635951E-2</v>
      </c>
      <c r="D123" s="305">
        <f t="shared" si="1"/>
        <v>9.9297395426919954E-2</v>
      </c>
      <c r="E123" s="329">
        <v>5.3297395426919955E-2</v>
      </c>
      <c r="F123" s="329">
        <v>0.3</v>
      </c>
    </row>
    <row r="124" spans="1:6" ht="15.5">
      <c r="A124" s="44" t="s">
        <v>317</v>
      </c>
      <c r="B124" s="47" t="s">
        <v>594</v>
      </c>
      <c r="C124" s="305">
        <v>0</v>
      </c>
      <c r="D124" s="305">
        <f t="shared" si="1"/>
        <v>4.5999999999999999E-2</v>
      </c>
      <c r="E124" s="329">
        <v>0</v>
      </c>
      <c r="F124" s="329">
        <v>0.22</v>
      </c>
    </row>
    <row r="125" spans="1:6" ht="15.5">
      <c r="A125" s="44" t="s">
        <v>318</v>
      </c>
      <c r="B125" s="47" t="s">
        <v>598</v>
      </c>
      <c r="C125" s="305">
        <v>3.1810382490361881E-2</v>
      </c>
      <c r="D125" s="305">
        <f t="shared" si="1"/>
        <v>8.0861738975968961E-2</v>
      </c>
      <c r="E125" s="329">
        <v>3.4861738975968962E-2</v>
      </c>
      <c r="F125" s="329">
        <v>0.15</v>
      </c>
    </row>
    <row r="126" spans="1:6" ht="15.5">
      <c r="A126" s="44" t="s">
        <v>319</v>
      </c>
      <c r="B126" s="47" t="s">
        <v>601</v>
      </c>
      <c r="C126" s="305">
        <v>5.74819192369697E-2</v>
      </c>
      <c r="D126" s="305">
        <f t="shared" si="1"/>
        <v>0.10899577393903161</v>
      </c>
      <c r="E126" s="329">
        <v>6.2995773939031607E-2</v>
      </c>
      <c r="F126" s="329">
        <v>0.35</v>
      </c>
    </row>
    <row r="127" spans="1:6" ht="15.5">
      <c r="A127" s="44" t="s">
        <v>320</v>
      </c>
      <c r="B127" s="47" t="s">
        <v>593</v>
      </c>
      <c r="C127" s="305">
        <v>1.4111372683694367E-2</v>
      </c>
      <c r="D127" s="305">
        <f t="shared" si="1"/>
        <v>6.1464981951745629E-2</v>
      </c>
      <c r="E127" s="329">
        <v>1.5464981951745628E-2</v>
      </c>
      <c r="F127" s="329">
        <v>0.25</v>
      </c>
    </row>
    <row r="128" spans="1:6" ht="15.5">
      <c r="A128" s="44" t="s">
        <v>321</v>
      </c>
      <c r="B128" s="47" t="s">
        <v>592</v>
      </c>
      <c r="C128" s="305">
        <v>4.8632414333635951E-2</v>
      </c>
      <c r="D128" s="305">
        <f t="shared" si="1"/>
        <v>9.9297395426919954E-2</v>
      </c>
      <c r="E128" s="329">
        <v>5.3297395426919955E-2</v>
      </c>
      <c r="F128" s="329">
        <v>0.3</v>
      </c>
    </row>
    <row r="129" spans="1:6" ht="15.5">
      <c r="A129" s="44" t="s">
        <v>322</v>
      </c>
      <c r="B129" s="47" t="s">
        <v>609</v>
      </c>
      <c r="C129" s="305">
        <v>2.208389962363469E-2</v>
      </c>
      <c r="D129" s="305">
        <f t="shared" si="1"/>
        <v>7.020225989058497E-2</v>
      </c>
      <c r="E129" s="329">
        <v>2.4202259890584967E-2</v>
      </c>
      <c r="F129" s="329">
        <v>0.1</v>
      </c>
    </row>
    <row r="130" spans="1:6" ht="15.5">
      <c r="A130" s="44" t="s">
        <v>323</v>
      </c>
      <c r="B130" s="47" t="s">
        <v>607</v>
      </c>
      <c r="C130" s="305">
        <v>1.0603460830120627E-2</v>
      </c>
      <c r="D130" s="305">
        <f t="shared" si="1"/>
        <v>5.7620579658656315E-2</v>
      </c>
      <c r="E130" s="329">
        <v>1.1620579658656319E-2</v>
      </c>
      <c r="F130" s="329">
        <v>0.29499999999999998</v>
      </c>
    </row>
    <row r="131" spans="1:6" ht="15.5">
      <c r="A131" s="44" t="s">
        <v>324</v>
      </c>
      <c r="B131" s="47" t="s">
        <v>591</v>
      </c>
      <c r="C131" s="305">
        <v>1.6822031843274077E-2</v>
      </c>
      <c r="D131" s="305">
        <f t="shared" si="1"/>
        <v>6.4435656450951007E-2</v>
      </c>
      <c r="E131" s="329">
        <v>1.8435656450951004E-2</v>
      </c>
      <c r="F131" s="329">
        <v>0.3</v>
      </c>
    </row>
    <row r="132" spans="1:6" ht="15.5">
      <c r="A132" s="44" t="s">
        <v>325</v>
      </c>
      <c r="B132" s="47" t="s">
        <v>603</v>
      </c>
      <c r="C132" s="305">
        <v>7.4941753235439005E-3</v>
      </c>
      <c r="D132" s="305">
        <f t="shared" si="1"/>
        <v>5.4213041262508976E-2</v>
      </c>
      <c r="E132" s="329">
        <v>8.2130412625089771E-3</v>
      </c>
      <c r="F132" s="329">
        <v>0.19</v>
      </c>
    </row>
    <row r="133" spans="1:6" ht="15.5">
      <c r="A133" s="44" t="s">
        <v>326</v>
      </c>
      <c r="B133" s="47" t="s">
        <v>597</v>
      </c>
      <c r="C133" s="305">
        <v>1.9452965733454383E-2</v>
      </c>
      <c r="D133" s="305">
        <f t="shared" si="1"/>
        <v>6.7318958170767981E-2</v>
      </c>
      <c r="E133" s="329">
        <v>2.1318958170767986E-2</v>
      </c>
      <c r="F133" s="329">
        <v>0.21</v>
      </c>
    </row>
    <row r="134" spans="1:6" ht="15.5">
      <c r="A134" s="44" t="s">
        <v>327</v>
      </c>
      <c r="B134" s="47" t="s">
        <v>600</v>
      </c>
      <c r="C134" s="305">
        <v>5.3415930497600151E-3</v>
      </c>
      <c r="D134" s="305">
        <f t="shared" ref="D134:D181" si="2">$B$1+E134</f>
        <v>5.1853976219022352E-2</v>
      </c>
      <c r="E134" s="329">
        <v>5.8539762190223561E-3</v>
      </c>
      <c r="F134" s="329">
        <v>0.1</v>
      </c>
    </row>
    <row r="135" spans="1:6" ht="15.5">
      <c r="A135" s="44" t="s">
        <v>503</v>
      </c>
      <c r="B135" s="47" t="s">
        <v>594</v>
      </c>
      <c r="C135" s="305">
        <v>0</v>
      </c>
      <c r="D135" s="305">
        <f t="shared" si="2"/>
        <v>4.5999999999999999E-2</v>
      </c>
      <c r="E135" s="329">
        <v>0</v>
      </c>
      <c r="F135" s="329">
        <v>0</v>
      </c>
    </row>
    <row r="136" spans="1:6" ht="15.5">
      <c r="A136" s="44" t="s">
        <v>328</v>
      </c>
      <c r="B136" s="47" t="s">
        <v>597</v>
      </c>
      <c r="C136" s="305">
        <v>1.9452965733454383E-2</v>
      </c>
      <c r="D136" s="305">
        <f t="shared" si="2"/>
        <v>6.7318958170767981E-2</v>
      </c>
      <c r="E136" s="329">
        <v>2.1318958170767986E-2</v>
      </c>
      <c r="F136" s="329">
        <v>0.16</v>
      </c>
    </row>
    <row r="137" spans="1:6" ht="15.5">
      <c r="A137" s="44" t="s">
        <v>329</v>
      </c>
      <c r="B137" s="47" t="s">
        <v>597</v>
      </c>
      <c r="C137" s="305">
        <v>1.9452965733454383E-2</v>
      </c>
      <c r="D137" s="305">
        <f t="shared" si="2"/>
        <v>6.7318958170767981E-2</v>
      </c>
      <c r="E137" s="329">
        <v>2.1318958170767986E-2</v>
      </c>
      <c r="F137" s="329">
        <v>0.2</v>
      </c>
    </row>
    <row r="138" spans="1:6" ht="15.5">
      <c r="A138" s="44" t="s">
        <v>490</v>
      </c>
      <c r="B138" s="47" t="s">
        <v>592</v>
      </c>
      <c r="C138" s="305">
        <v>4.8632414333635951E-2</v>
      </c>
      <c r="D138" s="305">
        <f t="shared" si="2"/>
        <v>9.9297395426919954E-2</v>
      </c>
      <c r="E138" s="329">
        <v>5.3297395426919955E-2</v>
      </c>
      <c r="F138" s="329">
        <v>0.3</v>
      </c>
    </row>
    <row r="139" spans="1:6" ht="15.5">
      <c r="A139" s="327" t="s">
        <v>674</v>
      </c>
      <c r="B139" s="47" t="s">
        <v>677</v>
      </c>
      <c r="C139" s="305">
        <v>3.0200000000000001E-2</v>
      </c>
      <c r="D139" s="305">
        <f t="shared" si="2"/>
        <v>7.9100000000000004E-2</v>
      </c>
      <c r="E139" s="329">
        <v>3.3099999999999997E-2</v>
      </c>
      <c r="F139" s="329">
        <v>0.16980000000000001</v>
      </c>
    </row>
    <row r="140" spans="1:6" ht="15.5">
      <c r="A140" s="44" t="s">
        <v>330</v>
      </c>
      <c r="B140" s="47" t="s">
        <v>605</v>
      </c>
      <c r="C140" s="305">
        <v>6.2185710131534505E-3</v>
      </c>
      <c r="D140" s="305">
        <f t="shared" si="2"/>
        <v>5.2815076792294684E-2</v>
      </c>
      <c r="E140" s="329">
        <v>6.8150767922946836E-3</v>
      </c>
      <c r="F140" s="329">
        <v>0.2</v>
      </c>
    </row>
    <row r="141" spans="1:6" ht="15.5">
      <c r="A141" s="44" t="s">
        <v>373</v>
      </c>
      <c r="B141" s="47" t="s">
        <v>598</v>
      </c>
      <c r="C141" s="305">
        <v>3.1810382490361881E-2</v>
      </c>
      <c r="D141" s="305">
        <f t="shared" si="2"/>
        <v>8.0861738975968961E-2</v>
      </c>
      <c r="E141" s="329">
        <v>3.4861738975968962E-2</v>
      </c>
      <c r="F141" s="329">
        <v>0.3</v>
      </c>
    </row>
    <row r="142" spans="1:6" ht="15.5">
      <c r="A142" s="44" t="s">
        <v>331</v>
      </c>
      <c r="B142" s="47" t="s">
        <v>598</v>
      </c>
      <c r="C142" s="305">
        <v>3.1810382490361881E-2</v>
      </c>
      <c r="D142" s="305">
        <f t="shared" si="2"/>
        <v>8.0861738975968961E-2</v>
      </c>
      <c r="E142" s="329">
        <v>3.4861738975968962E-2</v>
      </c>
      <c r="F142" s="329">
        <v>0.15</v>
      </c>
    </row>
    <row r="143" spans="1:6" ht="15.5">
      <c r="A143" s="44" t="s">
        <v>504</v>
      </c>
      <c r="B143" s="47" t="s">
        <v>591</v>
      </c>
      <c r="C143" s="305">
        <v>1.6822031843274077E-2</v>
      </c>
      <c r="D143" s="305">
        <f t="shared" si="2"/>
        <v>6.4435656450951007E-2</v>
      </c>
      <c r="E143" s="329">
        <v>1.8435656450951004E-2</v>
      </c>
      <c r="F143" s="329">
        <v>0</v>
      </c>
    </row>
    <row r="144" spans="1:6" ht="15.5">
      <c r="A144" s="306" t="s">
        <v>623</v>
      </c>
      <c r="B144" s="47" t="s">
        <v>677</v>
      </c>
      <c r="C144" s="330">
        <v>7.9565818860604418E-2</v>
      </c>
      <c r="D144" s="305">
        <f t="shared" si="2"/>
        <v>0.13319803382961659</v>
      </c>
      <c r="E144" s="331">
        <v>8.7198033829616606E-2</v>
      </c>
      <c r="F144" s="332">
        <v>0.3</v>
      </c>
    </row>
    <row r="145" spans="1:6" ht="15.5">
      <c r="A145" s="44" t="s">
        <v>332</v>
      </c>
      <c r="B145" s="47" t="s">
        <v>594</v>
      </c>
      <c r="C145" s="305">
        <v>0</v>
      </c>
      <c r="D145" s="305">
        <f t="shared" si="2"/>
        <v>4.5999999999999999E-2</v>
      </c>
      <c r="E145" s="329">
        <v>0</v>
      </c>
      <c r="F145" s="329">
        <v>0.17</v>
      </c>
    </row>
    <row r="146" spans="1:6" ht="15.5">
      <c r="A146" s="44" t="s">
        <v>374</v>
      </c>
      <c r="B146" s="47" t="s">
        <v>603</v>
      </c>
      <c r="C146" s="305">
        <v>7.4941753235439005E-3</v>
      </c>
      <c r="D146" s="305">
        <f t="shared" si="2"/>
        <v>5.4213041262508976E-2</v>
      </c>
      <c r="E146" s="329">
        <v>8.2130412625089771E-3</v>
      </c>
      <c r="F146" s="329">
        <v>0.21</v>
      </c>
    </row>
    <row r="147" spans="1:6" ht="15.5">
      <c r="A147" s="44" t="s">
        <v>333</v>
      </c>
      <c r="B147" s="47" t="s">
        <v>607</v>
      </c>
      <c r="C147" s="305">
        <v>1.0603460830120627E-2</v>
      </c>
      <c r="D147" s="305">
        <f t="shared" si="2"/>
        <v>5.7620579658656315E-2</v>
      </c>
      <c r="E147" s="329">
        <v>1.1620579658656319E-2</v>
      </c>
      <c r="F147" s="329">
        <v>0.19</v>
      </c>
    </row>
    <row r="148" spans="1:6" ht="15.5">
      <c r="A148" s="44" t="s">
        <v>624</v>
      </c>
      <c r="B148" s="47" t="s">
        <v>601</v>
      </c>
      <c r="C148" s="305">
        <v>5.74819192369697E-2</v>
      </c>
      <c r="D148" s="305">
        <f t="shared" si="2"/>
        <v>0.10899577393903161</v>
      </c>
      <c r="E148" s="329">
        <v>6.2995773939031607E-2</v>
      </c>
      <c r="F148" s="329">
        <v>0.3</v>
      </c>
    </row>
    <row r="149" spans="1:6" ht="15.5">
      <c r="A149" s="306" t="s">
        <v>625</v>
      </c>
      <c r="B149" s="47" t="s">
        <v>677</v>
      </c>
      <c r="C149" s="330">
        <v>0.10603460830120626</v>
      </c>
      <c r="D149" s="305">
        <f t="shared" si="2"/>
        <v>0.1622057965865632</v>
      </c>
      <c r="E149" s="331">
        <v>0.11620579658656319</v>
      </c>
      <c r="F149" s="332">
        <v>0.28249999999999997</v>
      </c>
    </row>
    <row r="150" spans="1:6" ht="15.5">
      <c r="A150" s="44" t="s">
        <v>334</v>
      </c>
      <c r="B150" s="47" t="s">
        <v>596</v>
      </c>
      <c r="C150" s="305">
        <v>2.6548514710001261E-2</v>
      </c>
      <c r="D150" s="305">
        <f t="shared" si="2"/>
        <v>7.5095135536334984E-2</v>
      </c>
      <c r="E150" s="329">
        <v>2.9095135536334988E-2</v>
      </c>
      <c r="F150" s="329">
        <v>0.28000000000000003</v>
      </c>
    </row>
    <row r="151" spans="1:6" ht="15.5">
      <c r="A151" s="44" t="s">
        <v>675</v>
      </c>
      <c r="B151" s="47" t="s">
        <v>588</v>
      </c>
      <c r="C151" s="305">
        <v>4.3848898169671765E-3</v>
      </c>
      <c r="D151" s="305">
        <f t="shared" si="2"/>
        <v>5.0805502866361638E-2</v>
      </c>
      <c r="E151" s="329">
        <v>4.8055028663616358E-3</v>
      </c>
      <c r="F151" s="329">
        <v>0.25</v>
      </c>
    </row>
    <row r="152" spans="1:6" ht="15.5">
      <c r="A152" s="44" t="s">
        <v>335</v>
      </c>
      <c r="B152" s="47" t="s">
        <v>593</v>
      </c>
      <c r="C152" s="305">
        <v>1.4111372683694367E-2</v>
      </c>
      <c r="D152" s="305">
        <f t="shared" si="2"/>
        <v>6.1464981951745629E-2</v>
      </c>
      <c r="E152" s="329">
        <v>1.5464981951745628E-2</v>
      </c>
      <c r="F152" s="329">
        <v>0.25</v>
      </c>
    </row>
    <row r="153" spans="1:6" ht="15.5">
      <c r="A153" s="44" t="s">
        <v>336</v>
      </c>
      <c r="B153" s="47" t="s">
        <v>599</v>
      </c>
      <c r="C153" s="305">
        <v>6.6251698870904069E-2</v>
      </c>
      <c r="D153" s="305">
        <f t="shared" si="2"/>
        <v>0.1186067796717549</v>
      </c>
      <c r="E153" s="329">
        <v>7.2606779671754898E-2</v>
      </c>
      <c r="F153" s="329">
        <v>0.28000000000000003</v>
      </c>
    </row>
    <row r="154" spans="1:6" ht="15.5">
      <c r="A154" s="44" t="s">
        <v>430</v>
      </c>
      <c r="B154" s="47" t="s">
        <v>597</v>
      </c>
      <c r="C154" s="305">
        <v>1.9452965733454383E-2</v>
      </c>
      <c r="D154" s="305">
        <f t="shared" si="2"/>
        <v>6.7318958170767981E-2</v>
      </c>
      <c r="E154" s="329">
        <v>2.1318958170767986E-2</v>
      </c>
      <c r="F154" s="329">
        <v>0.27360000000000001</v>
      </c>
    </row>
    <row r="155" spans="1:6" ht="15.5">
      <c r="A155" s="44" t="s">
        <v>375</v>
      </c>
      <c r="B155" s="47" t="s">
        <v>601</v>
      </c>
      <c r="C155" s="305">
        <v>5.74819192369697E-2</v>
      </c>
      <c r="D155" s="305">
        <f t="shared" si="2"/>
        <v>0.10899577393903161</v>
      </c>
      <c r="E155" s="329">
        <v>6.2995773939031607E-2</v>
      </c>
      <c r="F155" s="329">
        <v>0.27360000000000001</v>
      </c>
    </row>
    <row r="156" spans="1:6" ht="15.5">
      <c r="A156" s="306" t="s">
        <v>626</v>
      </c>
      <c r="B156" s="47" t="s">
        <v>677</v>
      </c>
      <c r="C156" s="330">
        <v>0.17499999999999999</v>
      </c>
      <c r="D156" s="305">
        <f t="shared" si="2"/>
        <v>0.23778657542527282</v>
      </c>
      <c r="E156" s="331">
        <v>0.19178657542527283</v>
      </c>
      <c r="F156" s="332">
        <v>0.35</v>
      </c>
    </row>
    <row r="157" spans="1:6" ht="15.5">
      <c r="A157" s="44" t="s">
        <v>376</v>
      </c>
      <c r="B157" s="47" t="s">
        <v>661</v>
      </c>
      <c r="C157" s="305">
        <v>8.8335598494538758E-2</v>
      </c>
      <c r="D157" s="305">
        <f t="shared" si="2"/>
        <v>0.14280903956233987</v>
      </c>
      <c r="E157" s="329">
        <v>9.6809039562339869E-2</v>
      </c>
      <c r="F157" s="329">
        <v>0.36</v>
      </c>
    </row>
    <row r="158" spans="1:6" ht="15.5">
      <c r="A158" s="44" t="s">
        <v>627</v>
      </c>
      <c r="B158" s="47" t="s">
        <v>601</v>
      </c>
      <c r="C158" s="305">
        <v>5.74819192369697E-2</v>
      </c>
      <c r="D158" s="305">
        <f t="shared" si="2"/>
        <v>0.10899577393903161</v>
      </c>
      <c r="E158" s="329">
        <v>6.2995773939031607E-2</v>
      </c>
      <c r="F158" s="329">
        <v>0.27500000000000002</v>
      </c>
    </row>
    <row r="159" spans="1:6" ht="15.5">
      <c r="A159" s="44" t="s">
        <v>337</v>
      </c>
      <c r="B159" s="47" t="s">
        <v>594</v>
      </c>
      <c r="C159" s="305">
        <v>0</v>
      </c>
      <c r="D159" s="305">
        <f t="shared" si="2"/>
        <v>4.5999999999999999E-2</v>
      </c>
      <c r="E159" s="329">
        <v>0</v>
      </c>
      <c r="F159" s="329">
        <v>0.214</v>
      </c>
    </row>
    <row r="160" spans="1:6" ht="15.5">
      <c r="A160" s="44" t="s">
        <v>338</v>
      </c>
      <c r="B160" s="47" t="s">
        <v>594</v>
      </c>
      <c r="C160" s="305">
        <v>0</v>
      </c>
      <c r="D160" s="305">
        <f t="shared" si="2"/>
        <v>4.5999999999999999E-2</v>
      </c>
      <c r="E160" s="329">
        <v>0</v>
      </c>
      <c r="F160" s="329">
        <v>0.1484</v>
      </c>
    </row>
    <row r="161" spans="1:6" ht="15.5">
      <c r="A161" s="306" t="s">
        <v>628</v>
      </c>
      <c r="B161" s="47" t="s">
        <v>677</v>
      </c>
      <c r="C161" s="330">
        <v>0.17499999999999999</v>
      </c>
      <c r="D161" s="305">
        <f t="shared" si="2"/>
        <v>0.23778657542527282</v>
      </c>
      <c r="E161" s="331">
        <v>0.19178657542527283</v>
      </c>
      <c r="F161" s="332">
        <v>0.28000000000000003</v>
      </c>
    </row>
    <row r="162" spans="1:6" ht="15.5">
      <c r="A162" s="44" t="s">
        <v>339</v>
      </c>
      <c r="B162" s="47" t="s">
        <v>600</v>
      </c>
      <c r="C162" s="305">
        <v>5.3415930497600151E-3</v>
      </c>
      <c r="D162" s="305">
        <f t="shared" si="2"/>
        <v>5.1853976219022352E-2</v>
      </c>
      <c r="E162" s="329">
        <v>5.8539762190223561E-3</v>
      </c>
      <c r="F162" s="329">
        <v>0.2</v>
      </c>
    </row>
    <row r="163" spans="1:6" ht="15.5">
      <c r="A163" s="44" t="s">
        <v>629</v>
      </c>
      <c r="B163" s="47" t="s">
        <v>601</v>
      </c>
      <c r="C163" s="305">
        <v>5.74819192369697E-2</v>
      </c>
      <c r="D163" s="305">
        <f t="shared" si="2"/>
        <v>0.10899577393903161</v>
      </c>
      <c r="E163" s="307">
        <v>6.2995773939031607E-2</v>
      </c>
      <c r="F163" s="307">
        <v>0.19120000000000001</v>
      </c>
    </row>
    <row r="164" spans="1:6" ht="15.5">
      <c r="A164" s="44" t="s">
        <v>630</v>
      </c>
      <c r="B164" s="47" t="s">
        <v>592</v>
      </c>
      <c r="C164" s="305">
        <v>4.8632414333635951E-2</v>
      </c>
      <c r="D164" s="305">
        <f t="shared" si="2"/>
        <v>9.9297395426919954E-2</v>
      </c>
      <c r="E164" s="307">
        <v>5.3297395426919955E-2</v>
      </c>
      <c r="F164" s="307">
        <v>0.3</v>
      </c>
    </row>
    <row r="165" spans="1:6" ht="15.5">
      <c r="A165" s="44" t="s">
        <v>340</v>
      </c>
      <c r="B165" s="47" t="s">
        <v>593</v>
      </c>
      <c r="C165" s="305">
        <v>1.4111372683694367E-2</v>
      </c>
      <c r="D165" s="305">
        <f t="shared" si="2"/>
        <v>6.1464981951745629E-2</v>
      </c>
      <c r="E165" s="307">
        <v>1.5464981951745628E-2</v>
      </c>
      <c r="F165" s="307">
        <v>0.2</v>
      </c>
    </row>
    <row r="166" spans="1:6" ht="15.5">
      <c r="A166" s="44" t="s">
        <v>631</v>
      </c>
      <c r="B166" s="47" t="s">
        <v>601</v>
      </c>
      <c r="C166" s="305">
        <v>5.74819192369697E-2</v>
      </c>
      <c r="D166" s="305">
        <f t="shared" si="2"/>
        <v>0.10899577393903161</v>
      </c>
      <c r="E166" s="307">
        <v>6.2995773939031607E-2</v>
      </c>
      <c r="F166" s="307">
        <v>0.28249999999999997</v>
      </c>
    </row>
    <row r="167" spans="1:6" ht="15.5">
      <c r="A167" s="44" t="s">
        <v>638</v>
      </c>
      <c r="B167" s="47" t="s">
        <v>609</v>
      </c>
      <c r="C167" s="305">
        <v>2.208389962363469E-2</v>
      </c>
      <c r="D167" s="305">
        <f t="shared" si="2"/>
        <v>7.020225989058497E-2</v>
      </c>
      <c r="E167" s="307">
        <v>2.4202259890584967E-2</v>
      </c>
      <c r="F167" s="307">
        <v>0.3</v>
      </c>
    </row>
    <row r="168" spans="1:6" ht="15.5">
      <c r="A168" s="44" t="s">
        <v>341</v>
      </c>
      <c r="B168" s="47" t="s">
        <v>592</v>
      </c>
      <c r="C168" s="305">
        <v>4.8632414333635951E-2</v>
      </c>
      <c r="D168" s="305">
        <f t="shared" si="2"/>
        <v>9.9297395426919954E-2</v>
      </c>
      <c r="E168" s="307">
        <v>5.3297395426919955E-2</v>
      </c>
      <c r="F168" s="307">
        <v>0.25</v>
      </c>
    </row>
    <row r="169" spans="1:6" s="347" customFormat="1" ht="15.5">
      <c r="A169" s="343" t="s">
        <v>342</v>
      </c>
      <c r="B169" s="344" t="s">
        <v>601</v>
      </c>
      <c r="C169" s="345">
        <v>7.0800000000000002E-2</v>
      </c>
      <c r="D169" s="345">
        <f t="shared" si="2"/>
        <v>0.1411</v>
      </c>
      <c r="E169" s="346">
        <v>9.5100000000000004E-2</v>
      </c>
      <c r="F169" s="346">
        <v>0.25</v>
      </c>
    </row>
    <row r="170" spans="1:6" ht="15.5">
      <c r="A170" s="44" t="s">
        <v>639</v>
      </c>
      <c r="B170" s="47" t="s">
        <v>593</v>
      </c>
      <c r="C170" s="305">
        <v>1.4111372683694367E-2</v>
      </c>
      <c r="D170" s="305">
        <f t="shared" si="2"/>
        <v>6.1464981951745629E-2</v>
      </c>
      <c r="E170" s="307">
        <v>1.5464981951745628E-2</v>
      </c>
      <c r="F170" s="307">
        <v>0</v>
      </c>
    </row>
    <row r="171" spans="1:6" ht="15.5">
      <c r="A171" s="44" t="s">
        <v>431</v>
      </c>
      <c r="B171" s="47" t="s">
        <v>592</v>
      </c>
      <c r="C171" s="305">
        <v>4.8632414333635951E-2</v>
      </c>
      <c r="D171" s="305">
        <f t="shared" si="2"/>
        <v>9.9297395426919954E-2</v>
      </c>
      <c r="E171" s="307">
        <v>5.3297395426919955E-2</v>
      </c>
      <c r="F171" s="307">
        <v>0.3</v>
      </c>
    </row>
    <row r="172" spans="1:6" ht="15.5">
      <c r="A172" s="44" t="s">
        <v>343</v>
      </c>
      <c r="B172" s="47" t="s">
        <v>601</v>
      </c>
      <c r="C172" s="305">
        <v>5.74819192369697E-2</v>
      </c>
      <c r="D172" s="305">
        <f t="shared" si="2"/>
        <v>0.10899577393903161</v>
      </c>
      <c r="E172" s="307">
        <v>6.2995773939031607E-2</v>
      </c>
      <c r="F172" s="307">
        <v>0.18</v>
      </c>
    </row>
    <row r="173" spans="1:6" ht="15.5">
      <c r="A173" s="44" t="s">
        <v>344</v>
      </c>
      <c r="B173" s="47" t="s">
        <v>588</v>
      </c>
      <c r="C173" s="305">
        <v>4.3848898169671765E-3</v>
      </c>
      <c r="D173" s="305">
        <f t="shared" si="2"/>
        <v>5.0805502866361638E-2</v>
      </c>
      <c r="E173" s="307">
        <v>4.8055028663616358E-3</v>
      </c>
      <c r="F173" s="307">
        <v>0.55000000000000004</v>
      </c>
    </row>
    <row r="174" spans="1:6" ht="15.5">
      <c r="A174" s="44" t="s">
        <v>345</v>
      </c>
      <c r="B174" s="47" t="s">
        <v>600</v>
      </c>
      <c r="C174" s="305">
        <v>5.3415930497600151E-3</v>
      </c>
      <c r="D174" s="305">
        <f t="shared" si="2"/>
        <v>5.1853976219022352E-2</v>
      </c>
      <c r="E174" s="307">
        <v>5.8539762190223561E-3</v>
      </c>
      <c r="F174" s="307">
        <v>0.19</v>
      </c>
    </row>
    <row r="175" spans="1:6" s="347" customFormat="1" ht="15.5">
      <c r="A175" s="343" t="s">
        <v>346</v>
      </c>
      <c r="B175" s="344" t="s">
        <v>594</v>
      </c>
      <c r="C175" s="345">
        <v>0</v>
      </c>
      <c r="D175" s="345">
        <f t="shared" si="2"/>
        <v>4.5999999999999999E-2</v>
      </c>
      <c r="E175" s="346">
        <v>0</v>
      </c>
      <c r="F175" s="346">
        <v>0.25</v>
      </c>
    </row>
    <row r="176" spans="1:6" ht="15.5">
      <c r="A176" s="44" t="s">
        <v>347</v>
      </c>
      <c r="B176" s="47" t="s">
        <v>589</v>
      </c>
      <c r="C176" s="305">
        <v>3.9782909430302202E-2</v>
      </c>
      <c r="D176" s="305">
        <f t="shared" si="2"/>
        <v>8.9599016914808288E-2</v>
      </c>
      <c r="E176" s="307">
        <v>4.3599016914808296E-2</v>
      </c>
      <c r="F176" s="307">
        <v>0.25</v>
      </c>
    </row>
    <row r="177" spans="1:6" ht="15.5">
      <c r="A177" s="44" t="s">
        <v>348</v>
      </c>
      <c r="B177" s="47" t="s">
        <v>640</v>
      </c>
      <c r="C177" s="305">
        <v>0.17499999999999999</v>
      </c>
      <c r="D177" s="305">
        <f t="shared" si="2"/>
        <v>0.23778657542527282</v>
      </c>
      <c r="E177" s="307">
        <v>0.19178657542527283</v>
      </c>
      <c r="F177" s="307">
        <v>0.34</v>
      </c>
    </row>
    <row r="178" spans="1:6" ht="15.5">
      <c r="A178" s="44" t="s">
        <v>349</v>
      </c>
      <c r="B178" s="47" t="s">
        <v>598</v>
      </c>
      <c r="C178" s="305">
        <v>3.1810382490361881E-2</v>
      </c>
      <c r="D178" s="305">
        <f t="shared" si="2"/>
        <v>8.0861738975968961E-2</v>
      </c>
      <c r="E178" s="307">
        <v>3.4861738975968962E-2</v>
      </c>
      <c r="F178" s="307">
        <v>0.2</v>
      </c>
    </row>
    <row r="179" spans="1:6" ht="15.5">
      <c r="A179" s="306" t="s">
        <v>676</v>
      </c>
      <c r="B179" s="47" t="s">
        <v>677</v>
      </c>
      <c r="C179" s="330">
        <v>0.17499999999999999</v>
      </c>
      <c r="D179" s="305">
        <f t="shared" si="2"/>
        <v>0.23778657542527282</v>
      </c>
      <c r="E179" s="3">
        <v>0.19178657542527283</v>
      </c>
      <c r="F179" s="159">
        <v>0.28249999999999997</v>
      </c>
    </row>
    <row r="180" spans="1:6" ht="15.5">
      <c r="A180" s="44" t="s">
        <v>350</v>
      </c>
      <c r="B180" s="47" t="s">
        <v>660</v>
      </c>
      <c r="C180" s="305">
        <v>0.10603460830120626</v>
      </c>
      <c r="D180" s="305">
        <f t="shared" si="2"/>
        <v>0.1622057965865632</v>
      </c>
      <c r="E180" s="307">
        <v>0.11620579658656319</v>
      </c>
      <c r="F180" s="307">
        <v>0.35</v>
      </c>
    </row>
    <row r="181" spans="1:6" ht="15.5">
      <c r="A181" s="306" t="s">
        <v>632</v>
      </c>
      <c r="B181" s="47" t="s">
        <v>677</v>
      </c>
      <c r="C181" s="330">
        <v>0.10603460830120626</v>
      </c>
      <c r="D181" s="305">
        <f t="shared" si="2"/>
        <v>0.1622057965865632</v>
      </c>
      <c r="E181" s="3">
        <v>0.11620579658656319</v>
      </c>
      <c r="F181" s="159">
        <v>0.24</v>
      </c>
    </row>
    <row r="184" spans="1:6" ht="12">
      <c r="A184" s="224"/>
      <c r="B184" s="300" t="s">
        <v>377</v>
      </c>
      <c r="C184" s="300" t="s">
        <v>633</v>
      </c>
      <c r="D184" s="300" t="s">
        <v>140</v>
      </c>
      <c r="E184" s="300" t="s">
        <v>635</v>
      </c>
    </row>
    <row r="185" spans="1:6">
      <c r="A185" s="1" t="s">
        <v>357</v>
      </c>
      <c r="B185" s="3">
        <v>9.664194736704565E-2</v>
      </c>
      <c r="C185" s="3">
        <v>4.511442352024405E-2</v>
      </c>
      <c r="D185" s="3">
        <v>0.28314194441745216</v>
      </c>
      <c r="E185" s="3">
        <v>4.9441947367045644E-2</v>
      </c>
    </row>
    <row r="186" spans="1:6">
      <c r="A186" s="1" t="s">
        <v>428</v>
      </c>
      <c r="B186" s="3">
        <v>5.7467692442688456E-2</v>
      </c>
      <c r="C186" s="3">
        <v>9.3690084935751893E-3</v>
      </c>
      <c r="D186" s="3">
        <v>0.25695788342043535</v>
      </c>
      <c r="E186" s="3">
        <v>1.0267692442688476E-2</v>
      </c>
    </row>
    <row r="187" spans="1:6">
      <c r="A187" s="1" t="s">
        <v>359</v>
      </c>
      <c r="B187" s="3">
        <v>4.723268292122549E-2</v>
      </c>
      <c r="C187" s="3">
        <v>2.9822270937258018E-5</v>
      </c>
      <c r="D187" s="3">
        <v>0.29740327336331829</v>
      </c>
      <c r="E187" s="3">
        <v>3.2682921225493468E-5</v>
      </c>
    </row>
    <row r="188" spans="1:6">
      <c r="A188" s="1" t="s">
        <v>361</v>
      </c>
      <c r="B188" s="3">
        <v>0.10031257462365305</v>
      </c>
      <c r="C188" s="3">
        <v>4.8463770410045445E-2</v>
      </c>
      <c r="D188" s="3">
        <v>0.24251846496106783</v>
      </c>
      <c r="E188" s="3">
        <v>5.3112574623653069E-2</v>
      </c>
    </row>
    <row r="189" spans="1:6">
      <c r="A189" s="1" t="s">
        <v>358</v>
      </c>
      <c r="B189" s="3">
        <v>8.7100431721070987E-2</v>
      </c>
      <c r="C189" s="3">
        <v>3.6408051688206385E-2</v>
      </c>
      <c r="D189" s="3">
        <v>0.31039417648322876</v>
      </c>
      <c r="E189" s="3">
        <v>3.9900431721070995E-2</v>
      </c>
    </row>
    <row r="190" spans="1:6">
      <c r="A190" s="1" t="s">
        <v>356</v>
      </c>
      <c r="B190" s="3">
        <v>6.798054108360041E-2</v>
      </c>
      <c r="C190" s="3">
        <v>1.8961674880351699E-2</v>
      </c>
      <c r="D190" s="3">
        <v>0.18307506646458122</v>
      </c>
      <c r="E190" s="3">
        <v>2.0780541083600421E-2</v>
      </c>
    </row>
    <row r="191" spans="1:6">
      <c r="A191" s="1" t="s">
        <v>362</v>
      </c>
      <c r="B191" s="3">
        <v>6.2501785433972112E-2</v>
      </c>
      <c r="C191" s="3">
        <v>1.396246032866099E-2</v>
      </c>
      <c r="D191" s="3">
        <v>0.32955932717078351</v>
      </c>
      <c r="E191" s="3">
        <v>1.530178543397212E-2</v>
      </c>
    </row>
    <row r="192" spans="1:6">
      <c r="A192" s="1" t="s">
        <v>364</v>
      </c>
      <c r="B192" s="3">
        <v>4.7199999999999999E-2</v>
      </c>
      <c r="C192" s="3">
        <v>0</v>
      </c>
      <c r="D192" s="3">
        <v>0.26962433148138532</v>
      </c>
      <c r="E192" s="3">
        <v>0</v>
      </c>
    </row>
    <row r="193" spans="1:5">
      <c r="A193" s="1" t="s">
        <v>355</v>
      </c>
      <c r="B193" s="3">
        <v>5.5597475094507666E-2</v>
      </c>
      <c r="C193" s="3">
        <v>7.6624661464453608E-3</v>
      </c>
      <c r="D193" s="3">
        <v>0.24406533498320665</v>
      </c>
      <c r="E193" s="3">
        <v>8.3974750945076757E-3</v>
      </c>
    </row>
    <row r="194" spans="1:5">
      <c r="A194" s="1"/>
      <c r="C194" s="3"/>
    </row>
    <row r="195" spans="1:5">
      <c r="A195" s="1" t="s">
        <v>491</v>
      </c>
      <c r="B195" s="3">
        <v>5.7630323227580695E-2</v>
      </c>
      <c r="C195" s="3">
        <v>9.5173911705472153E-3</v>
      </c>
      <c r="D195" s="3">
        <v>0.26133898609467893</v>
      </c>
      <c r="E195" s="3">
        <v>1.0430323227580708E-2</v>
      </c>
    </row>
  </sheetData>
  <pageMargins left="0.75" right="0.75" top="1" bottom="1" header="0.5" footer="0.5"/>
  <pageSetup orientation="portrait" horizontalDpi="4294967292" verticalDpi="4294967292"/>
  <headerFooter alignWithMargins="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53"/>
  <sheetViews>
    <sheetView workbookViewId="0">
      <selection activeCell="C4" sqref="C4"/>
    </sheetView>
  </sheetViews>
  <sheetFormatPr defaultColWidth="11.19921875" defaultRowHeight="11.5"/>
  <cols>
    <col min="6" max="6" width="14.8984375" customWidth="1"/>
  </cols>
  <sheetData>
    <row r="1" spans="1:12" ht="17.5">
      <c r="A1" s="6" t="s">
        <v>211</v>
      </c>
    </row>
    <row r="2" spans="1:12" ht="17.5">
      <c r="A2" s="6" t="s">
        <v>212</v>
      </c>
    </row>
    <row r="3" spans="1:12" s="113" customFormat="1" ht="16" thickBot="1">
      <c r="A3" s="112" t="s">
        <v>213</v>
      </c>
    </row>
    <row r="4" spans="1:12" s="114" customFormat="1" ht="13.5" thickBot="1">
      <c r="A4" s="8" t="s">
        <v>214</v>
      </c>
      <c r="B4" s="8"/>
      <c r="C4" s="210">
        <f>'Cost of capital worksheet'!B24</f>
        <v>1</v>
      </c>
      <c r="D4" s="8"/>
      <c r="E4" s="8"/>
      <c r="F4" s="8"/>
      <c r="G4" s="8"/>
      <c r="H4" s="8"/>
      <c r="I4" s="8"/>
      <c r="J4" s="8"/>
    </row>
    <row r="5" spans="1:12" s="114" customFormat="1" ht="13.5" thickBot="1">
      <c r="A5" s="8" t="s">
        <v>215</v>
      </c>
      <c r="B5" s="8"/>
      <c r="C5" s="8"/>
      <c r="D5" s="8"/>
      <c r="E5" s="8"/>
      <c r="F5" s="104">
        <f>IF('Input sheet'!B14="Yes",'Input sheet'!B9+'Operating lease converter'!F32,'Input sheet'!B9)</f>
        <v>8023579</v>
      </c>
      <c r="G5" s="8" t="s">
        <v>216</v>
      </c>
      <c r="H5" s="8"/>
      <c r="I5" s="8"/>
      <c r="J5" s="8"/>
    </row>
    <row r="6" spans="1:12" s="114" customFormat="1" ht="13.5" thickBot="1">
      <c r="A6" s="8" t="s">
        <v>217</v>
      </c>
      <c r="B6" s="8"/>
      <c r="C6" s="8"/>
      <c r="D6" s="8"/>
      <c r="E6" s="8"/>
      <c r="F6" s="182">
        <f>IF('Input sheet'!B14="Yes",'Cost of capital worksheet'!B19+'Operating lease converter'!C28*'Operating lease converter'!C15,'Cost of capital worksheet'!B19)</f>
        <v>1059735</v>
      </c>
      <c r="G6" s="8" t="s">
        <v>218</v>
      </c>
      <c r="H6" s="8"/>
      <c r="I6" s="8"/>
      <c r="J6" s="8"/>
    </row>
    <row r="7" spans="1:12" s="114" customFormat="1" ht="13.5" thickBot="1">
      <c r="A7" s="8" t="s">
        <v>233</v>
      </c>
      <c r="B7" s="8"/>
      <c r="C7" s="8"/>
      <c r="D7" s="8"/>
      <c r="E7" s="8"/>
      <c r="F7" s="122">
        <f>'Input sheet'!B30</f>
        <v>0.26600000000000001</v>
      </c>
      <c r="G7" s="8"/>
      <c r="H7" s="8"/>
      <c r="I7" s="8"/>
      <c r="J7" s="8"/>
    </row>
    <row r="8" spans="1:12" s="114" customFormat="1" ht="13.5" thickBot="1">
      <c r="A8" s="17" t="s">
        <v>122</v>
      </c>
      <c r="B8" s="8"/>
      <c r="C8" s="8"/>
      <c r="D8" s="8"/>
      <c r="E8" s="8"/>
      <c r="F8" s="8"/>
      <c r="G8" s="8"/>
      <c r="H8" s="8"/>
      <c r="I8" s="8"/>
      <c r="J8" s="8"/>
    </row>
    <row r="9" spans="1:12" s="114" customFormat="1" ht="13.5" thickBot="1">
      <c r="A9" s="8" t="s">
        <v>219</v>
      </c>
      <c r="B9" s="8"/>
      <c r="C9" s="8"/>
      <c r="D9" s="123">
        <f>IF(F6=0,1000000,IF(F5&lt;0,-100000,F5/F6))</f>
        <v>7.5713069776878186</v>
      </c>
      <c r="E9" s="8"/>
      <c r="F9" s="8"/>
      <c r="G9" s="8"/>
      <c r="H9" s="8"/>
      <c r="I9" s="8"/>
      <c r="J9" s="8"/>
    </row>
    <row r="10" spans="1:12" s="114" customFormat="1" ht="13.5" thickBot="1">
      <c r="A10" s="8" t="s">
        <v>220</v>
      </c>
      <c r="D10" s="124" t="str">
        <f>IF(C4=1,VLOOKUP(D9,A19:D33,3),(IF(C4=2,VLOOKUP(D9,A38:D52,3),VLOOKUP(D9,F19:I33,3))))</f>
        <v>Aa2/AA</v>
      </c>
      <c r="F10" s="16" t="s">
        <v>221</v>
      </c>
    </row>
    <row r="11" spans="1:12" s="114" customFormat="1" ht="13.5" thickBot="1">
      <c r="A11" s="8" t="s">
        <v>469</v>
      </c>
      <c r="D11" s="125">
        <f>IF(C4=1,VLOOKUP(D9,A19:D33,4),(IF(C4=2,VLOOKUP(D9,A38:D52,4),VLOOKUP(D9,F19:I33,4))))</f>
        <v>8.5000000000000006E-3</v>
      </c>
      <c r="F11" s="16" t="s">
        <v>222</v>
      </c>
    </row>
    <row r="12" spans="1:12" s="114" customFormat="1" ht="13.5" thickBot="1">
      <c r="A12" s="8" t="s">
        <v>470</v>
      </c>
      <c r="D12" s="125">
        <f>VLOOKUP('Input sheet'!B5,'Country equity risk premiums'!A5:C181,3)</f>
        <v>7.0800000000000002E-2</v>
      </c>
      <c r="F12" s="16"/>
    </row>
    <row r="13" spans="1:12" s="8" customFormat="1" ht="13.5" thickBot="1">
      <c r="A13" s="8" t="s">
        <v>223</v>
      </c>
      <c r="D13" s="126">
        <f>F7+D11+D12</f>
        <v>0.34530000000000005</v>
      </c>
    </row>
    <row r="14" spans="1:12" s="8" customFormat="1" ht="13">
      <c r="D14" s="116"/>
    </row>
    <row r="15" spans="1:12" s="15" customFormat="1" ht="13.5">
      <c r="A15" s="15" t="s">
        <v>224</v>
      </c>
      <c r="D15" s="117"/>
    </row>
    <row r="16" spans="1:12" s="114" customFormat="1" ht="13">
      <c r="A16" s="17" t="s">
        <v>225</v>
      </c>
      <c r="F16"/>
      <c r="G16"/>
      <c r="H16"/>
      <c r="I16"/>
      <c r="K16"/>
      <c r="L16"/>
    </row>
    <row r="17" spans="1:12" s="114" customFormat="1" ht="13">
      <c r="A17" s="118" t="s">
        <v>226</v>
      </c>
      <c r="B17" s="118"/>
      <c r="C17" s="119"/>
      <c r="D17" s="119"/>
      <c r="F17"/>
      <c r="G17"/>
      <c r="H17"/>
      <c r="I17"/>
      <c r="J17"/>
      <c r="K17"/>
      <c r="L17"/>
    </row>
    <row r="18" spans="1:12" s="114" customFormat="1" ht="13">
      <c r="A18" s="102" t="s">
        <v>227</v>
      </c>
      <c r="B18" s="102" t="s">
        <v>228</v>
      </c>
      <c r="C18" s="102" t="s">
        <v>229</v>
      </c>
      <c r="D18" s="102" t="s">
        <v>230</v>
      </c>
      <c r="F18"/>
      <c r="G18"/>
      <c r="H18"/>
      <c r="I18"/>
      <c r="J18"/>
      <c r="K18"/>
      <c r="L18"/>
    </row>
    <row r="19" spans="1:12" s="114" customFormat="1" ht="13">
      <c r="A19" s="30">
        <v>-100000</v>
      </c>
      <c r="B19" s="30">
        <v>0.19999900000000001</v>
      </c>
      <c r="C19" s="208" t="s">
        <v>453</v>
      </c>
      <c r="D19" s="326">
        <v>0.1744</v>
      </c>
      <c r="F19"/>
      <c r="G19"/>
      <c r="H19"/>
      <c r="I19"/>
      <c r="J19"/>
      <c r="K19"/>
      <c r="L19"/>
    </row>
    <row r="20" spans="1:12" s="114" customFormat="1" ht="13">
      <c r="A20" s="30">
        <v>0.2</v>
      </c>
      <c r="B20" s="30">
        <v>0.64999899999999999</v>
      </c>
      <c r="C20" s="208" t="s">
        <v>456</v>
      </c>
      <c r="D20" s="326">
        <v>0.13089999999999999</v>
      </c>
      <c r="F20" s="208"/>
      <c r="G20"/>
      <c r="H20"/>
      <c r="I20"/>
      <c r="J20"/>
      <c r="K20"/>
      <c r="L20"/>
    </row>
    <row r="21" spans="1:12" s="114" customFormat="1" ht="13">
      <c r="A21" s="30">
        <v>0.65</v>
      </c>
      <c r="B21" s="30">
        <v>0.79999900000000002</v>
      </c>
      <c r="C21" s="208" t="s">
        <v>455</v>
      </c>
      <c r="D21" s="326">
        <v>9.9699999999999997E-2</v>
      </c>
      <c r="F21"/>
      <c r="G21"/>
      <c r="H21"/>
      <c r="I21"/>
      <c r="J21"/>
      <c r="K21"/>
      <c r="L21"/>
    </row>
    <row r="22" spans="1:12" s="114" customFormat="1" ht="13">
      <c r="A22" s="30">
        <v>0.8</v>
      </c>
      <c r="B22" s="30">
        <v>1.2499990000000001</v>
      </c>
      <c r="C22" s="208" t="s">
        <v>454</v>
      </c>
      <c r="D22" s="326">
        <v>9.4600000000000004E-2</v>
      </c>
      <c r="F22"/>
      <c r="G22"/>
      <c r="H22"/>
      <c r="I22"/>
      <c r="J22"/>
      <c r="K22"/>
      <c r="L22"/>
    </row>
    <row r="23" spans="1:12" s="114" customFormat="1" ht="13">
      <c r="A23" s="30">
        <v>1.25</v>
      </c>
      <c r="B23" s="30">
        <v>1.4999990000000001</v>
      </c>
      <c r="C23" s="208" t="s">
        <v>457</v>
      </c>
      <c r="D23" s="326">
        <v>5.9400000000000001E-2</v>
      </c>
      <c r="F23"/>
      <c r="G23"/>
      <c r="H23"/>
      <c r="I23"/>
      <c r="J23"/>
      <c r="K23"/>
      <c r="L23"/>
    </row>
    <row r="24" spans="1:12" s="114" customFormat="1" ht="13">
      <c r="A24" s="30">
        <v>1.5</v>
      </c>
      <c r="B24" s="30">
        <v>1.7499990000000001</v>
      </c>
      <c r="C24" s="208" t="s">
        <v>458</v>
      </c>
      <c r="D24" s="326">
        <v>4.8599999999999997E-2</v>
      </c>
      <c r="F24"/>
      <c r="G24"/>
      <c r="H24"/>
      <c r="I24"/>
      <c r="J24"/>
      <c r="K24"/>
      <c r="L24"/>
    </row>
    <row r="25" spans="1:12" s="114" customFormat="1" ht="13">
      <c r="A25" s="30">
        <v>1.75</v>
      </c>
      <c r="B25" s="30">
        <v>1.9999990000000001</v>
      </c>
      <c r="C25" s="208" t="s">
        <v>459</v>
      </c>
      <c r="D25" s="326">
        <v>4.0500000000000001E-2</v>
      </c>
      <c r="F25"/>
      <c r="G25"/>
      <c r="H25"/>
      <c r="I25"/>
      <c r="J25"/>
      <c r="K25"/>
      <c r="L25"/>
    </row>
    <row r="26" spans="1:12" s="114" customFormat="1" ht="13">
      <c r="A26" s="30">
        <v>2</v>
      </c>
      <c r="B26" s="30">
        <v>2.2499999000000002</v>
      </c>
      <c r="C26" s="208" t="s">
        <v>460</v>
      </c>
      <c r="D26" s="326">
        <v>2.7699999999999999E-2</v>
      </c>
      <c r="F26"/>
      <c r="G26"/>
      <c r="H26"/>
      <c r="I26"/>
      <c r="J26"/>
      <c r="K26"/>
      <c r="L26"/>
    </row>
    <row r="27" spans="1:12" s="114" customFormat="1" ht="13">
      <c r="A27" s="30">
        <v>2.25</v>
      </c>
      <c r="B27" s="30">
        <v>2.4999899999999999</v>
      </c>
      <c r="C27" s="208" t="s">
        <v>461</v>
      </c>
      <c r="D27" s="326">
        <v>2.3099999999999999E-2</v>
      </c>
      <c r="F27"/>
      <c r="G27"/>
      <c r="H27"/>
      <c r="I27"/>
      <c r="J27"/>
      <c r="K27"/>
      <c r="L27"/>
    </row>
    <row r="28" spans="1:12" s="114" customFormat="1" ht="13">
      <c r="A28" s="30">
        <v>2.5</v>
      </c>
      <c r="B28" s="30">
        <v>2.9999989999999999</v>
      </c>
      <c r="C28" s="208" t="s">
        <v>462</v>
      </c>
      <c r="D28" s="326">
        <v>1.7100000000000001E-2</v>
      </c>
      <c r="F28"/>
      <c r="G28"/>
      <c r="H28"/>
      <c r="I28"/>
      <c r="J28"/>
      <c r="K28"/>
      <c r="L28"/>
    </row>
    <row r="29" spans="1:12" s="114" customFormat="1" ht="13">
      <c r="A29" s="30">
        <v>3</v>
      </c>
      <c r="B29" s="30">
        <v>4.2499989999999999</v>
      </c>
      <c r="C29" s="208" t="s">
        <v>463</v>
      </c>
      <c r="D29" s="326">
        <v>1.3299999999999999E-2</v>
      </c>
      <c r="F29"/>
      <c r="G29"/>
      <c r="H29"/>
      <c r="I29"/>
      <c r="J29"/>
      <c r="K29"/>
      <c r="L29"/>
    </row>
    <row r="30" spans="1:12" s="114" customFormat="1" ht="13">
      <c r="A30" s="30">
        <v>4.25</v>
      </c>
      <c r="B30" s="30">
        <v>5.4999989999999999</v>
      </c>
      <c r="C30" s="208" t="s">
        <v>464</v>
      </c>
      <c r="D30" s="326">
        <v>1.18E-2</v>
      </c>
      <c r="F30"/>
      <c r="G30"/>
      <c r="H30"/>
      <c r="I30"/>
      <c r="J30"/>
      <c r="K30"/>
      <c r="L30"/>
    </row>
    <row r="31" spans="1:12" s="114" customFormat="1" ht="13">
      <c r="A31" s="30">
        <v>5.5</v>
      </c>
      <c r="B31" s="30">
        <v>6.4999989999999999</v>
      </c>
      <c r="C31" s="208" t="s">
        <v>465</v>
      </c>
      <c r="D31" s="326">
        <v>1.0699999999999999E-2</v>
      </c>
      <c r="F31"/>
      <c r="G31"/>
      <c r="H31"/>
      <c r="I31"/>
      <c r="J31"/>
      <c r="K31"/>
      <c r="L31"/>
    </row>
    <row r="32" spans="1:12" s="114" customFormat="1" ht="13">
      <c r="A32" s="30">
        <v>6.5</v>
      </c>
      <c r="B32" s="30">
        <v>8.4999990000000007</v>
      </c>
      <c r="C32" s="208" t="s">
        <v>466</v>
      </c>
      <c r="D32" s="326">
        <v>8.5000000000000006E-3</v>
      </c>
      <c r="F32"/>
      <c r="G32"/>
      <c r="H32"/>
      <c r="I32"/>
      <c r="J32"/>
    </row>
    <row r="33" spans="1:9" s="114" customFormat="1" ht="13">
      <c r="A33" s="120">
        <v>8.5</v>
      </c>
      <c r="B33" s="30">
        <v>100000</v>
      </c>
      <c r="C33" s="208" t="s">
        <v>467</v>
      </c>
      <c r="D33" s="326">
        <v>6.8999999999999999E-3</v>
      </c>
      <c r="F33"/>
      <c r="G33"/>
      <c r="H33"/>
      <c r="I33"/>
    </row>
    <row r="34" spans="1:9" s="114" customFormat="1" ht="12.5"/>
    <row r="35" spans="1:9" s="114" customFormat="1" ht="13">
      <c r="A35" s="17" t="s">
        <v>232</v>
      </c>
    </row>
    <row r="36" spans="1:9" s="114" customFormat="1" ht="13">
      <c r="A36" s="118" t="s">
        <v>226</v>
      </c>
      <c r="B36" s="121"/>
      <c r="C36" s="30"/>
      <c r="D36" s="30"/>
    </row>
    <row r="37" spans="1:9" s="114" customFormat="1" ht="13">
      <c r="A37" s="30" t="s">
        <v>231</v>
      </c>
      <c r="B37" s="30" t="s">
        <v>228</v>
      </c>
      <c r="C37" s="30" t="s">
        <v>229</v>
      </c>
      <c r="D37" s="30" t="s">
        <v>230</v>
      </c>
    </row>
    <row r="38" spans="1:9" s="114" customFormat="1" ht="13">
      <c r="A38" s="30">
        <v>-100000</v>
      </c>
      <c r="B38" s="30">
        <v>0.49999900000000003</v>
      </c>
      <c r="C38" s="208" t="s">
        <v>453</v>
      </c>
      <c r="D38" s="326">
        <v>0.1744</v>
      </c>
      <c r="G38" s="30" t="s">
        <v>229</v>
      </c>
      <c r="H38" s="30" t="s">
        <v>668</v>
      </c>
    </row>
    <row r="39" spans="1:9" s="114" customFormat="1" ht="13">
      <c r="A39" s="30">
        <v>0.5</v>
      </c>
      <c r="B39" s="30">
        <v>0.79999900000000002</v>
      </c>
      <c r="C39" s="208" t="s">
        <v>456</v>
      </c>
      <c r="D39" s="326">
        <v>0.13089999999999999</v>
      </c>
      <c r="G39" s="208" t="s">
        <v>465</v>
      </c>
      <c r="H39" s="326">
        <v>1.0699999999999999E-2</v>
      </c>
    </row>
    <row r="40" spans="1:9" s="114" customFormat="1" ht="13">
      <c r="A40" s="30">
        <v>0.8</v>
      </c>
      <c r="B40" s="30">
        <v>1.2499990000000001</v>
      </c>
      <c r="C40" s="208" t="s">
        <v>455</v>
      </c>
      <c r="D40" s="326">
        <v>9.9699999999999997E-2</v>
      </c>
      <c r="G40" s="208" t="s">
        <v>464</v>
      </c>
      <c r="H40" s="326">
        <v>1.18E-2</v>
      </c>
    </row>
    <row r="41" spans="1:9" s="114" customFormat="1" ht="13">
      <c r="A41" s="30">
        <v>1.25</v>
      </c>
      <c r="B41" s="30">
        <v>1.4999990000000001</v>
      </c>
      <c r="C41" s="208" t="s">
        <v>454</v>
      </c>
      <c r="D41" s="326">
        <v>9.4600000000000004E-2</v>
      </c>
      <c r="G41" s="208" t="s">
        <v>463</v>
      </c>
      <c r="H41" s="326">
        <v>1.3299999999999999E-2</v>
      </c>
    </row>
    <row r="42" spans="1:9" s="114" customFormat="1" ht="13">
      <c r="A42" s="30">
        <v>1.5</v>
      </c>
      <c r="B42" s="30">
        <v>1.9999990000000001</v>
      </c>
      <c r="C42" s="208" t="s">
        <v>457</v>
      </c>
      <c r="D42" s="326">
        <v>5.9400000000000001E-2</v>
      </c>
      <c r="G42" s="208" t="s">
        <v>466</v>
      </c>
      <c r="H42" s="326">
        <v>8.5000000000000006E-3</v>
      </c>
    </row>
    <row r="43" spans="1:9" s="114" customFormat="1" ht="13">
      <c r="A43" s="30">
        <v>2</v>
      </c>
      <c r="B43" s="30">
        <v>2.4999989999999999</v>
      </c>
      <c r="C43" s="208" t="s">
        <v>458</v>
      </c>
      <c r="D43" s="326">
        <v>4.8599999999999997E-2</v>
      </c>
      <c r="G43" s="208" t="s">
        <v>467</v>
      </c>
      <c r="H43" s="326">
        <v>6.8999999999999999E-3</v>
      </c>
    </row>
    <row r="44" spans="1:9" s="114" customFormat="1" ht="13">
      <c r="A44" s="30">
        <v>2.5</v>
      </c>
      <c r="B44" s="30">
        <v>2.9999989999999999</v>
      </c>
      <c r="C44" s="208" t="s">
        <v>459</v>
      </c>
      <c r="D44" s="326">
        <v>4.0500000000000001E-2</v>
      </c>
      <c r="G44" s="208" t="s">
        <v>459</v>
      </c>
      <c r="H44" s="326">
        <v>4.0500000000000001E-2</v>
      </c>
    </row>
    <row r="45" spans="1:9" s="114" customFormat="1" ht="13">
      <c r="A45" s="30">
        <v>3</v>
      </c>
      <c r="B45" s="30">
        <v>3.4999989999999999</v>
      </c>
      <c r="C45" s="208" t="s">
        <v>460</v>
      </c>
      <c r="D45" s="326">
        <v>2.7699999999999999E-2</v>
      </c>
      <c r="G45" s="208" t="s">
        <v>458</v>
      </c>
      <c r="H45" s="326">
        <v>4.8599999999999997E-2</v>
      </c>
    </row>
    <row r="46" spans="1:9" s="114" customFormat="1" ht="13">
      <c r="A46" s="30">
        <v>3.5</v>
      </c>
      <c r="B46" s="30">
        <v>3.9999999000000002</v>
      </c>
      <c r="C46" s="208" t="s">
        <v>461</v>
      </c>
      <c r="D46" s="326">
        <v>2.3099999999999999E-2</v>
      </c>
      <c r="G46" s="208" t="s">
        <v>457</v>
      </c>
      <c r="H46" s="326">
        <v>5.9400000000000001E-2</v>
      </c>
    </row>
    <row r="47" spans="1:9" s="114" customFormat="1" ht="13">
      <c r="A47" s="30">
        <v>4</v>
      </c>
      <c r="B47" s="30">
        <v>4.4999989999999999</v>
      </c>
      <c r="C47" s="208" t="s">
        <v>462</v>
      </c>
      <c r="D47" s="326">
        <v>1.7100000000000001E-2</v>
      </c>
      <c r="G47" s="208" t="s">
        <v>461</v>
      </c>
      <c r="H47" s="326">
        <v>2.3099999999999999E-2</v>
      </c>
    </row>
    <row r="48" spans="1:9" s="114" customFormat="1" ht="13">
      <c r="A48" s="30">
        <v>4.5</v>
      </c>
      <c r="B48" s="30">
        <v>5.9999989999999999</v>
      </c>
      <c r="C48" s="208" t="s">
        <v>463</v>
      </c>
      <c r="D48" s="326">
        <v>1.3299999999999999E-2</v>
      </c>
      <c r="G48" s="208" t="s">
        <v>460</v>
      </c>
      <c r="H48" s="326">
        <v>2.7699999999999999E-2</v>
      </c>
    </row>
    <row r="49" spans="1:10" s="114" customFormat="1" ht="13">
      <c r="A49" s="30">
        <v>6</v>
      </c>
      <c r="B49" s="30">
        <v>7.4999989999999999</v>
      </c>
      <c r="C49" s="208" t="s">
        <v>464</v>
      </c>
      <c r="D49" s="326">
        <v>1.18E-2</v>
      </c>
      <c r="G49" s="208" t="s">
        <v>462</v>
      </c>
      <c r="H49" s="326">
        <v>1.7100000000000001E-2</v>
      </c>
    </row>
    <row r="50" spans="1:10" s="114" customFormat="1" ht="13">
      <c r="A50" s="30">
        <v>7.5</v>
      </c>
      <c r="B50" s="30">
        <v>9.4999990000000007</v>
      </c>
      <c r="C50" s="208" t="s">
        <v>465</v>
      </c>
      <c r="D50" s="326">
        <v>1.0699999999999999E-2</v>
      </c>
      <c r="G50" s="208" t="s">
        <v>456</v>
      </c>
      <c r="H50" s="326">
        <v>0.13089999999999999</v>
      </c>
    </row>
    <row r="51" spans="1:10" ht="13">
      <c r="A51" s="30">
        <v>9.5</v>
      </c>
      <c r="B51" s="30">
        <v>12.499999000000001</v>
      </c>
      <c r="C51" s="208" t="s">
        <v>466</v>
      </c>
      <c r="D51" s="326">
        <v>8.5000000000000006E-3</v>
      </c>
      <c r="F51" s="114"/>
      <c r="G51" s="208" t="s">
        <v>455</v>
      </c>
      <c r="H51" s="326">
        <v>9.9699999999999997E-2</v>
      </c>
      <c r="I51" s="114"/>
      <c r="J51" s="114"/>
    </row>
    <row r="52" spans="1:10" ht="13">
      <c r="A52" s="30">
        <v>12.5</v>
      </c>
      <c r="B52" s="30">
        <v>100000</v>
      </c>
      <c r="C52" s="208" t="s">
        <v>467</v>
      </c>
      <c r="D52" s="326">
        <v>6.8999999999999999E-3</v>
      </c>
      <c r="G52" s="208" t="s">
        <v>454</v>
      </c>
      <c r="H52" s="326">
        <v>9.4600000000000004E-2</v>
      </c>
    </row>
    <row r="53" spans="1:10" ht="13">
      <c r="G53" s="208" t="s">
        <v>453</v>
      </c>
      <c r="H53" s="326">
        <v>0.1744</v>
      </c>
    </row>
  </sheetData>
  <sortState xmlns:xlrd2="http://schemas.microsoft.com/office/spreadsheetml/2017/richdata2" ref="G39:H53">
    <sortCondition ref="G39:G53"/>
  </sortState>
  <pageMargins left="0.75" right="0.75" top="1" bottom="1" header="0.5" footer="0.5"/>
  <pageSetup orientation="portrait" horizontalDpi="4294967292" verticalDpi="4294967292"/>
  <headerFooter alignWithMargins="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97"/>
  <sheetViews>
    <sheetView workbookViewId="0">
      <pane xSplit="1" ySplit="1" topLeftCell="F2" activePane="bottomRight" state="frozen"/>
      <selection pane="topRight" activeCell="B1" sqref="B1"/>
      <selection pane="bottomLeft" activeCell="A2" sqref="A2"/>
      <selection pane="bottomRight" activeCell="S2" sqref="S2:S97"/>
    </sheetView>
  </sheetViews>
  <sheetFormatPr defaultColWidth="11.5" defaultRowHeight="11.5"/>
  <cols>
    <col min="1" max="1" width="20.296875" bestFit="1" customWidth="1"/>
    <col min="2" max="2" width="11.5" bestFit="1" customWidth="1"/>
    <col min="3" max="3" width="9.5" bestFit="1" customWidth="1"/>
    <col min="4" max="4" width="11.796875" bestFit="1" customWidth="1"/>
    <col min="5" max="5" width="12.5" customWidth="1"/>
    <col min="6" max="6" width="10.5" bestFit="1" customWidth="1"/>
    <col min="7" max="7" width="11.5" bestFit="1" customWidth="1"/>
    <col min="8" max="8" width="22.5" bestFit="1" customWidth="1"/>
    <col min="9" max="23" width="10.796875"/>
  </cols>
  <sheetData>
    <row r="1" spans="1:27" s="301" customFormat="1" ht="72">
      <c r="A1" s="308" t="s">
        <v>97</v>
      </c>
      <c r="B1" s="215" t="s">
        <v>172</v>
      </c>
      <c r="C1" s="309" t="s">
        <v>160</v>
      </c>
      <c r="D1" s="309" t="s">
        <v>641</v>
      </c>
      <c r="E1" s="309" t="s">
        <v>179</v>
      </c>
      <c r="F1" s="215" t="s">
        <v>161</v>
      </c>
      <c r="G1" s="215" t="s">
        <v>209</v>
      </c>
      <c r="H1" s="215" t="s">
        <v>162</v>
      </c>
      <c r="I1" s="215" t="s">
        <v>163</v>
      </c>
      <c r="J1" s="215" t="s">
        <v>164</v>
      </c>
      <c r="K1" s="215" t="s">
        <v>165</v>
      </c>
      <c r="L1" s="215" t="s">
        <v>166</v>
      </c>
      <c r="M1" s="215" t="s">
        <v>145</v>
      </c>
      <c r="N1" s="310" t="s">
        <v>100</v>
      </c>
      <c r="O1" s="215" t="s">
        <v>167</v>
      </c>
      <c r="P1" s="215" t="s">
        <v>168</v>
      </c>
      <c r="Q1" s="215" t="s">
        <v>169</v>
      </c>
      <c r="R1" s="215" t="s">
        <v>170</v>
      </c>
      <c r="S1" s="215" t="s">
        <v>171</v>
      </c>
      <c r="T1" s="215" t="s">
        <v>493</v>
      </c>
      <c r="U1" s="215" t="s">
        <v>494</v>
      </c>
      <c r="V1" s="215" t="s">
        <v>495</v>
      </c>
      <c r="W1" s="215" t="s">
        <v>496</v>
      </c>
      <c r="X1" s="308" t="s">
        <v>480</v>
      </c>
      <c r="Y1" s="308" t="s">
        <v>497</v>
      </c>
      <c r="Z1" s="308" t="s">
        <v>498</v>
      </c>
      <c r="AA1" s="215" t="s">
        <v>649</v>
      </c>
    </row>
    <row r="2" spans="1:27" ht="12.5">
      <c r="A2" s="311" t="s">
        <v>98</v>
      </c>
      <c r="B2" s="127">
        <v>61</v>
      </c>
      <c r="C2" s="312">
        <v>8.3145999999999984E-2</v>
      </c>
      <c r="D2" s="312">
        <v>9.9789829114715373E-2</v>
      </c>
      <c r="E2" s="312">
        <v>0.51511899517002169</v>
      </c>
      <c r="F2" s="312">
        <v>0.21473754602683312</v>
      </c>
      <c r="G2" s="313">
        <v>0.77440940100409716</v>
      </c>
      <c r="H2" s="313">
        <v>1.0763167747709843</v>
      </c>
      <c r="I2" s="312">
        <v>6.0102151769190454E-2</v>
      </c>
      <c r="J2" s="312">
        <v>0.57736350263470748</v>
      </c>
      <c r="K2" s="312">
        <v>2.9980000000000003E-2</v>
      </c>
      <c r="L2" s="312">
        <v>0.43662351234955638</v>
      </c>
      <c r="M2" s="312">
        <v>4.3415819381135402E-2</v>
      </c>
      <c r="N2" s="313">
        <v>5.1689336631467704</v>
      </c>
      <c r="O2" s="313">
        <v>1.8279748463952663</v>
      </c>
      <c r="P2" s="313">
        <v>8.8603141590353722</v>
      </c>
      <c r="Q2" s="313">
        <v>16.081323674363535</v>
      </c>
      <c r="R2" s="313">
        <v>5.7295817594235814</v>
      </c>
      <c r="S2" s="313">
        <v>45.375202628511474</v>
      </c>
      <c r="T2" s="312">
        <v>-5.7458589075799257E-3</v>
      </c>
      <c r="U2" s="312">
        <v>1.7499969307145761E-2</v>
      </c>
      <c r="V2" s="312">
        <v>-1.911835966362643E-2</v>
      </c>
      <c r="W2" s="312">
        <v>-0.31670613154939664</v>
      </c>
      <c r="X2" s="312">
        <v>2.933270644878155E-2</v>
      </c>
      <c r="Y2" s="312">
        <v>9.1284744623045526</v>
      </c>
      <c r="Z2" s="312">
        <v>9.1284744623045526</v>
      </c>
      <c r="AA2" s="314">
        <v>0.10312282984536096</v>
      </c>
    </row>
    <row r="3" spans="1:27" ht="12.5">
      <c r="A3" s="311" t="s">
        <v>505</v>
      </c>
      <c r="B3" s="127">
        <v>72</v>
      </c>
      <c r="C3" s="312">
        <v>5.2835581395348837E-2</v>
      </c>
      <c r="D3" s="312">
        <v>7.5558241055426426E-2</v>
      </c>
      <c r="E3" s="312">
        <v>0.19114875013013879</v>
      </c>
      <c r="F3" s="312">
        <v>0.2462174246147118</v>
      </c>
      <c r="G3" s="313">
        <v>0.91241124694588971</v>
      </c>
      <c r="H3" s="313">
        <v>1.0654116800938749</v>
      </c>
      <c r="I3" s="312">
        <v>5.9587431300430899E-2</v>
      </c>
      <c r="J3" s="312">
        <v>0.34892933167879187</v>
      </c>
      <c r="K3" s="312">
        <v>2.58E-2</v>
      </c>
      <c r="L3" s="312">
        <v>0.24839853323369193</v>
      </c>
      <c r="M3" s="312">
        <v>4.9464338741163828E-2</v>
      </c>
      <c r="N3" s="313">
        <v>2.6059878759822079</v>
      </c>
      <c r="O3" s="313">
        <v>2.0117675852403769</v>
      </c>
      <c r="P3" s="313">
        <v>12.152653123863544</v>
      </c>
      <c r="Q3" s="313">
        <v>20.31000758159399</v>
      </c>
      <c r="R3" s="313">
        <v>4.4369249163522966</v>
      </c>
      <c r="S3" s="313">
        <v>107.38396177092393</v>
      </c>
      <c r="T3" s="312">
        <v>0.43564008525480985</v>
      </c>
      <c r="U3" s="312">
        <v>2.7682925662515925E-2</v>
      </c>
      <c r="V3" s="312">
        <v>-1.3339522457738126E-2</v>
      </c>
      <c r="W3" s="312">
        <v>0.36932242726066256</v>
      </c>
      <c r="X3" s="312">
        <v>8.5431888037559259E-2</v>
      </c>
      <c r="Y3" s="312">
        <v>1.2055159190772029</v>
      </c>
      <c r="Z3" s="312">
        <v>1.2055159190772029</v>
      </c>
      <c r="AA3" s="314">
        <v>7.8922121292331296E-2</v>
      </c>
    </row>
    <row r="4" spans="1:27" ht="12.5">
      <c r="A4" s="311" t="s">
        <v>678</v>
      </c>
      <c r="B4" s="127">
        <v>17</v>
      </c>
      <c r="C4" s="312">
        <v>-6.8229166666666674E-2</v>
      </c>
      <c r="D4" s="312">
        <v>-0.18990613897691269</v>
      </c>
      <c r="E4" s="312">
        <v>-0.16065422687831812</v>
      </c>
      <c r="F4" s="312">
        <v>0.88757788161993767</v>
      </c>
      <c r="G4" s="313">
        <v>0.91962216692893717</v>
      </c>
      <c r="H4" s="313">
        <v>1.6081637004838845</v>
      </c>
      <c r="I4" s="312">
        <v>8.5205326662839351E-2</v>
      </c>
      <c r="J4" s="312">
        <v>0.46150789583439999</v>
      </c>
      <c r="K4" s="312">
        <v>2.9980000000000003E-2</v>
      </c>
      <c r="L4" s="312">
        <v>0.6173848737990707</v>
      </c>
      <c r="M4" s="312">
        <v>4.611256173113587E-2</v>
      </c>
      <c r="N4" s="313">
        <v>0.8832377145018504</v>
      </c>
      <c r="O4" s="313">
        <v>1.9728015748703169</v>
      </c>
      <c r="P4" s="313">
        <v>34.425447646964919</v>
      </c>
      <c r="Q4" s="313" t="s">
        <v>99</v>
      </c>
      <c r="R4" s="313">
        <v>3.2241497108473678</v>
      </c>
      <c r="S4" s="313">
        <v>13.467519539284243</v>
      </c>
      <c r="T4" s="312">
        <v>1.7044401390725925E-2</v>
      </c>
      <c r="U4" s="312">
        <v>0.11832919205455525</v>
      </c>
      <c r="V4" s="312">
        <v>1.7990003600578661E-2</v>
      </c>
      <c r="W4" s="312" t="s">
        <v>99</v>
      </c>
      <c r="X4" s="312">
        <v>-0.4702685391404543</v>
      </c>
      <c r="Y4" s="312">
        <v>8.6425339366515846E-4</v>
      </c>
      <c r="Z4" s="312">
        <v>8.6425339366513754E-4</v>
      </c>
      <c r="AA4" s="314">
        <v>-0.19351804720218629</v>
      </c>
    </row>
    <row r="5" spans="1:27" ht="12.5">
      <c r="A5" s="311" t="s">
        <v>679</v>
      </c>
      <c r="B5" s="127">
        <v>51</v>
      </c>
      <c r="C5" s="312">
        <v>-3.5553103448275863E-2</v>
      </c>
      <c r="D5" s="312">
        <v>5.4872250559461794E-2</v>
      </c>
      <c r="E5" s="312">
        <v>7.5422560682575066E-2</v>
      </c>
      <c r="F5" s="312">
        <v>0.31409907935116183</v>
      </c>
      <c r="G5" s="313">
        <v>0.94136329045620115</v>
      </c>
      <c r="H5" s="313">
        <v>1.0982186127658942</v>
      </c>
      <c r="I5" s="312">
        <v>6.1135918522550209E-2</v>
      </c>
      <c r="J5" s="312">
        <v>0.4784359487657423</v>
      </c>
      <c r="K5" s="312">
        <v>2.9980000000000003E-2</v>
      </c>
      <c r="L5" s="312">
        <v>0.2825836395818197</v>
      </c>
      <c r="M5" s="312">
        <v>5.0044364142974342E-2</v>
      </c>
      <c r="N5" s="313">
        <v>1.3391307059586217</v>
      </c>
      <c r="O5" s="313">
        <v>2.0258437620692398</v>
      </c>
      <c r="P5" s="313">
        <v>14.688666444402248</v>
      </c>
      <c r="Q5" s="313">
        <v>33.976254544925858</v>
      </c>
      <c r="R5" s="313">
        <v>4.1116941014117891</v>
      </c>
      <c r="S5" s="313">
        <v>22.761750232250616</v>
      </c>
      <c r="T5" s="312">
        <v>0.24962264547366317</v>
      </c>
      <c r="U5" s="312">
        <v>2.5172142610807156E-2</v>
      </c>
      <c r="V5" s="312">
        <v>1.5531388063582379E-3</v>
      </c>
      <c r="W5" s="312">
        <v>-1.4672262647921706</v>
      </c>
      <c r="X5" s="312">
        <v>-8.1880966319079887E-2</v>
      </c>
      <c r="Y5" s="312">
        <v>3.2452691540632338E-3</v>
      </c>
      <c r="Z5" s="312">
        <v>3.2452691540632017E-3</v>
      </c>
      <c r="AA5" s="314">
        <v>5.913857501245369E-2</v>
      </c>
    </row>
    <row r="6" spans="1:27" ht="12.5">
      <c r="A6" s="311" t="s">
        <v>680</v>
      </c>
      <c r="B6" s="127">
        <v>19</v>
      </c>
      <c r="C6" s="312">
        <v>0.12191666666666669</v>
      </c>
      <c r="D6" s="312">
        <v>1.9333508605592183E-2</v>
      </c>
      <c r="E6" s="312">
        <v>1.1709090822045768E-2</v>
      </c>
      <c r="F6" s="312">
        <v>0.28480567682019586</v>
      </c>
      <c r="G6" s="313">
        <v>1.0499991719428035</v>
      </c>
      <c r="H6" s="313">
        <v>1.2828255283085925</v>
      </c>
      <c r="I6" s="312">
        <v>6.9849364936165559E-2</v>
      </c>
      <c r="J6" s="312">
        <v>0.4523696418680257</v>
      </c>
      <c r="K6" s="312">
        <v>2.9980000000000003E-2</v>
      </c>
      <c r="L6" s="312">
        <v>0.27884069904614261</v>
      </c>
      <c r="M6" s="312">
        <v>5.6475059424340487E-2</v>
      </c>
      <c r="N6" s="313">
        <v>0.74270416628693647</v>
      </c>
      <c r="O6" s="313">
        <v>3.5828402796043126</v>
      </c>
      <c r="P6" s="313">
        <v>45.729895275109342</v>
      </c>
      <c r="Q6" s="313">
        <v>177.76001060289539</v>
      </c>
      <c r="R6" s="313">
        <v>7.5787617041221038</v>
      </c>
      <c r="S6" s="313">
        <v>261.55986156714147</v>
      </c>
      <c r="T6" s="312">
        <v>-6.9391402102976452E-2</v>
      </c>
      <c r="U6" s="312">
        <v>0.10244391023130034</v>
      </c>
      <c r="V6" s="312">
        <v>4.6115116875564834E-2</v>
      </c>
      <c r="W6" s="312">
        <v>1.8440271694624273</v>
      </c>
      <c r="X6" s="312">
        <v>4.4885246411493003E-2</v>
      </c>
      <c r="Y6" s="312">
        <v>0.64579934346313383</v>
      </c>
      <c r="Z6" s="312">
        <v>0.64579934346313383</v>
      </c>
      <c r="AA6" s="314">
        <v>1.7332793035688888E-2</v>
      </c>
    </row>
    <row r="7" spans="1:27" ht="12.5">
      <c r="A7" s="311" t="s">
        <v>681</v>
      </c>
      <c r="B7" s="127">
        <v>52</v>
      </c>
      <c r="C7" s="312">
        <v>4.0210357142857145E-2</v>
      </c>
      <c r="D7" s="312">
        <v>4.0098862762102311E-2</v>
      </c>
      <c r="E7" s="312">
        <v>6.4586539004928167E-2</v>
      </c>
      <c r="F7" s="312">
        <v>0.32645234056176436</v>
      </c>
      <c r="G7" s="313">
        <v>1.0938111386841938</v>
      </c>
      <c r="H7" s="313">
        <v>1.2034979086361026</v>
      </c>
      <c r="I7" s="312">
        <v>6.6105101287624035E-2</v>
      </c>
      <c r="J7" s="312">
        <v>0.43164927127684694</v>
      </c>
      <c r="K7" s="312">
        <v>2.9980000000000003E-2</v>
      </c>
      <c r="L7" s="312">
        <v>0.19595454549627142</v>
      </c>
      <c r="M7" s="312">
        <v>5.7440049819826783E-2</v>
      </c>
      <c r="N7" s="313">
        <v>1.8223436646890339</v>
      </c>
      <c r="O7" s="313">
        <v>1.5973947047834025</v>
      </c>
      <c r="P7" s="313">
        <v>10.069787934462136</v>
      </c>
      <c r="Q7" s="313">
        <v>23.282397038125321</v>
      </c>
      <c r="R7" s="313">
        <v>4.7756010350026017</v>
      </c>
      <c r="S7" s="313">
        <v>55.564670951608257</v>
      </c>
      <c r="T7" s="312">
        <v>0.13841228389990334</v>
      </c>
      <c r="U7" s="312">
        <v>3.7112803450657622E-2</v>
      </c>
      <c r="V7" s="312">
        <v>2.087451364490318E-2</v>
      </c>
      <c r="W7" s="312">
        <v>0.3006946507706782</v>
      </c>
      <c r="X7" s="312">
        <v>-0.1431069277976672</v>
      </c>
      <c r="Y7" s="312">
        <v>4.182244008432757E-3</v>
      </c>
      <c r="Z7" s="312">
        <v>4.1822440084328116E-3</v>
      </c>
      <c r="AA7" s="314">
        <v>3.8507098235985353E-2</v>
      </c>
    </row>
    <row r="8" spans="1:27" ht="12.5">
      <c r="A8" s="311" t="s">
        <v>682</v>
      </c>
      <c r="B8" s="127">
        <v>7</v>
      </c>
      <c r="C8" s="312">
        <v>-7.7683333333333328E-3</v>
      </c>
      <c r="D8" s="312">
        <v>0</v>
      </c>
      <c r="E8" s="312">
        <v>-1.3307855085708446E-4</v>
      </c>
      <c r="F8" s="312">
        <v>0.14043540086905243</v>
      </c>
      <c r="G8" s="313">
        <v>0.59847929046605686</v>
      </c>
      <c r="H8" s="313">
        <v>0.82770793546648558</v>
      </c>
      <c r="I8" s="312">
        <v>4.8367814554018118E-2</v>
      </c>
      <c r="J8" s="312">
        <v>0.21588164482905958</v>
      </c>
      <c r="K8" s="312">
        <v>1.9200000000000002E-2</v>
      </c>
      <c r="L8" s="312">
        <v>0.6837368986713982</v>
      </c>
      <c r="M8" s="312">
        <v>2.4880211407118772E-2</v>
      </c>
      <c r="N8" s="313">
        <v>0.14283525600359426</v>
      </c>
      <c r="O8" s="313">
        <v>5.3169845646763871</v>
      </c>
      <c r="P8" s="313" t="s">
        <v>99</v>
      </c>
      <c r="Q8" s="313" t="s">
        <v>99</v>
      </c>
      <c r="R8" s="313">
        <v>1.0031245608712027</v>
      </c>
      <c r="S8" s="313">
        <v>14.862679952459837</v>
      </c>
      <c r="T8" s="312" t="s">
        <v>99</v>
      </c>
      <c r="U8" s="312">
        <v>1.0567244136700984E-2</v>
      </c>
      <c r="V8" s="312">
        <v>1.0567244136700984E-2</v>
      </c>
      <c r="W8" s="312" t="s">
        <v>99</v>
      </c>
      <c r="X8" s="312">
        <v>7.4132086477827902E-2</v>
      </c>
      <c r="Y8" s="312">
        <v>0.46950068703493042</v>
      </c>
      <c r="Z8" s="312">
        <v>0.46950068703493042</v>
      </c>
      <c r="AA8" s="314">
        <v>-1.1112733946249372E-3</v>
      </c>
    </row>
    <row r="9" spans="1:27" ht="12.5">
      <c r="A9" s="311" t="s">
        <v>683</v>
      </c>
      <c r="B9" s="127">
        <v>598</v>
      </c>
      <c r="C9" s="312">
        <v>8.8245971896955475E-2</v>
      </c>
      <c r="D9" s="312">
        <v>0</v>
      </c>
      <c r="E9" s="312">
        <v>-8.1055913299619379E-4</v>
      </c>
      <c r="F9" s="312">
        <v>0.18951592738394935</v>
      </c>
      <c r="G9" s="313">
        <v>0.60010859406587325</v>
      </c>
      <c r="H9" s="313">
        <v>0.64487469601072567</v>
      </c>
      <c r="I9" s="312">
        <v>3.9738085651706251E-2</v>
      </c>
      <c r="J9" s="312">
        <v>0.19483337104095139</v>
      </c>
      <c r="K9" s="312">
        <v>1.9200000000000002E-2</v>
      </c>
      <c r="L9" s="312">
        <v>0.37983637553849753</v>
      </c>
      <c r="M9" s="312">
        <v>2.9967901866471358E-2</v>
      </c>
      <c r="N9" s="313">
        <v>0.23930540909038422</v>
      </c>
      <c r="O9" s="313">
        <v>4.4727113990451093</v>
      </c>
      <c r="P9" s="313" t="s">
        <v>99</v>
      </c>
      <c r="Q9" s="313" t="s">
        <v>99</v>
      </c>
      <c r="R9" s="313">
        <v>1.0754982433128295</v>
      </c>
      <c r="S9" s="313">
        <v>15.385193908763318</v>
      </c>
      <c r="T9" s="312" t="s">
        <v>99</v>
      </c>
      <c r="U9" s="312">
        <v>4.3659040048152624E-2</v>
      </c>
      <c r="V9" s="312">
        <v>2.0083498513917483E-2</v>
      </c>
      <c r="W9" s="312" t="s">
        <v>99</v>
      </c>
      <c r="X9" s="312">
        <v>8.2163761240382077E-2</v>
      </c>
      <c r="Y9" s="312">
        <v>0.44352246904193238</v>
      </c>
      <c r="Z9" s="312">
        <v>0.44352246904193238</v>
      </c>
      <c r="AA9" s="314">
        <v>-4.0525423832215883E-3</v>
      </c>
    </row>
    <row r="10" spans="1:27" ht="12.5">
      <c r="A10" s="311" t="s">
        <v>506</v>
      </c>
      <c r="B10" s="127">
        <v>23</v>
      </c>
      <c r="C10" s="312">
        <v>0.1439</v>
      </c>
      <c r="D10" s="312">
        <v>0.23874324286773871</v>
      </c>
      <c r="E10" s="312">
        <v>0.14430150625179838</v>
      </c>
      <c r="F10" s="312">
        <v>0.18356492728273902</v>
      </c>
      <c r="G10" s="313">
        <v>0.67603059283235478</v>
      </c>
      <c r="H10" s="313">
        <v>0.77826387505711703</v>
      </c>
      <c r="I10" s="312">
        <v>4.6034054902695923E-2</v>
      </c>
      <c r="J10" s="312">
        <v>0.37007991589511724</v>
      </c>
      <c r="K10" s="312">
        <v>2.58E-2</v>
      </c>
      <c r="L10" s="312">
        <v>0.18966662702601325</v>
      </c>
      <c r="M10" s="312">
        <v>4.0875112234379216E-2</v>
      </c>
      <c r="N10" s="313">
        <v>0.63934004304480485</v>
      </c>
      <c r="O10" s="313">
        <v>5.2995319513213071</v>
      </c>
      <c r="P10" s="313">
        <v>17.606214861939037</v>
      </c>
      <c r="Q10" s="313">
        <v>22.212937620161576</v>
      </c>
      <c r="R10" s="313">
        <v>3.450923356617885</v>
      </c>
      <c r="S10" s="313">
        <v>32.389619105867602</v>
      </c>
      <c r="T10" s="312">
        <v>0.15254713694240971</v>
      </c>
      <c r="U10" s="312">
        <v>6.3792244767965064E-2</v>
      </c>
      <c r="V10" s="312">
        <v>4.4906602485042947E-2</v>
      </c>
      <c r="W10" s="312">
        <v>0.24109615176253643</v>
      </c>
      <c r="X10" s="312">
        <v>0.10103219726606896</v>
      </c>
      <c r="Y10" s="312">
        <v>0.41579834097030699</v>
      </c>
      <c r="Z10" s="312">
        <v>0.41579834097030699</v>
      </c>
      <c r="AA10" s="314">
        <v>0.23840844026504482</v>
      </c>
    </row>
    <row r="11" spans="1:27" ht="12.5">
      <c r="A11" s="311" t="s">
        <v>684</v>
      </c>
      <c r="B11" s="127">
        <v>41</v>
      </c>
      <c r="C11" s="312">
        <v>0.27074999999999999</v>
      </c>
      <c r="D11" s="312">
        <v>0.19977131401368578</v>
      </c>
      <c r="E11" s="312">
        <v>0.26736280212057489</v>
      </c>
      <c r="F11" s="312">
        <v>0.18600628389948448</v>
      </c>
      <c r="G11" s="313">
        <v>0.70745452707328993</v>
      </c>
      <c r="H11" s="313">
        <v>0.79126084460435242</v>
      </c>
      <c r="I11" s="312">
        <v>4.6647511865325439E-2</v>
      </c>
      <c r="J11" s="312">
        <v>0.49695045723950748</v>
      </c>
      <c r="K11" s="312">
        <v>2.9980000000000003E-2</v>
      </c>
      <c r="L11" s="312">
        <v>0.17763588521661611</v>
      </c>
      <c r="M11" s="312">
        <v>4.2248872204295476E-2</v>
      </c>
      <c r="N11" s="313">
        <v>1.3749583854286462</v>
      </c>
      <c r="O11" s="313">
        <v>5.0750689171479744</v>
      </c>
      <c r="P11" s="313">
        <v>20.735000117358791</v>
      </c>
      <c r="Q11" s="313">
        <v>25.222526693198947</v>
      </c>
      <c r="R11" s="313">
        <v>8.4963437734355374</v>
      </c>
      <c r="S11" s="313">
        <v>116.71720199086498</v>
      </c>
      <c r="T11" s="312">
        <v>-9.5445017230278817E-2</v>
      </c>
      <c r="U11" s="312">
        <v>5.416471074329389E-2</v>
      </c>
      <c r="V11" s="312">
        <v>7.4061711823084256E-2</v>
      </c>
      <c r="W11" s="312">
        <v>0.37008898503512788</v>
      </c>
      <c r="X11" s="312">
        <v>0.28857246266781789</v>
      </c>
      <c r="Y11" s="312">
        <v>0.7419292283670309</v>
      </c>
      <c r="Z11" s="312">
        <v>0.7419292283670309</v>
      </c>
      <c r="AA11" s="314">
        <v>0.20112830379322871</v>
      </c>
    </row>
    <row r="12" spans="1:27" ht="12.5">
      <c r="A12" s="311" t="s">
        <v>685</v>
      </c>
      <c r="B12" s="127">
        <v>29</v>
      </c>
      <c r="C12" s="312">
        <v>5.7982999999999993E-2</v>
      </c>
      <c r="D12" s="312">
        <v>0.1929505932007099</v>
      </c>
      <c r="E12" s="312">
        <v>0.16921739618580592</v>
      </c>
      <c r="F12" s="312">
        <v>0.23160770260302921</v>
      </c>
      <c r="G12" s="313">
        <v>0.65336093647427396</v>
      </c>
      <c r="H12" s="313">
        <v>1.1290399914200455</v>
      </c>
      <c r="I12" s="312">
        <v>6.2590687595026145E-2</v>
      </c>
      <c r="J12" s="312">
        <v>0.45557616657732153</v>
      </c>
      <c r="K12" s="312">
        <v>2.9980000000000003E-2</v>
      </c>
      <c r="L12" s="312">
        <v>0.54897754439960667</v>
      </c>
      <c r="M12" s="312">
        <v>4.0244398767028927E-2</v>
      </c>
      <c r="N12" s="313">
        <v>0.97994599869273458</v>
      </c>
      <c r="O12" s="313">
        <v>2.0808035893696673</v>
      </c>
      <c r="P12" s="313">
        <v>7.8435943814345883</v>
      </c>
      <c r="Q12" s="313">
        <v>10.931193344849747</v>
      </c>
      <c r="R12" s="313">
        <v>1.5827116637449947</v>
      </c>
      <c r="S12" s="313">
        <v>12.419936016946153</v>
      </c>
      <c r="T12" s="312">
        <v>0.15711742011636806</v>
      </c>
      <c r="U12" s="312">
        <v>2.7447171351973422E-2</v>
      </c>
      <c r="V12" s="312">
        <v>-1.0518597030448126E-2</v>
      </c>
      <c r="W12" s="312">
        <v>1.1105642514742904</v>
      </c>
      <c r="X12" s="312">
        <v>2.3850206446309171E-3</v>
      </c>
      <c r="Y12" s="312">
        <v>1.6973796349178008E-3</v>
      </c>
      <c r="Z12" s="312">
        <v>1.6973796349177839E-3</v>
      </c>
      <c r="AA12" s="314">
        <v>0.19029743526881368</v>
      </c>
    </row>
    <row r="13" spans="1:27" ht="12.5">
      <c r="A13" s="311" t="s">
        <v>686</v>
      </c>
      <c r="B13" s="127">
        <v>39</v>
      </c>
      <c r="C13" s="312">
        <v>9.5143478260869566E-2</v>
      </c>
      <c r="D13" s="312">
        <v>4.2120772815183076E-3</v>
      </c>
      <c r="E13" s="312">
        <v>-2.8929962113133283E-5</v>
      </c>
      <c r="F13" s="312">
        <v>0.22176459343610108</v>
      </c>
      <c r="G13" s="313">
        <v>0.57694201658669508</v>
      </c>
      <c r="H13" s="313">
        <v>1.1318381741280126</v>
      </c>
      <c r="I13" s="312">
        <v>6.272276181884219E-2</v>
      </c>
      <c r="J13" s="312">
        <v>0.35902793198659527</v>
      </c>
      <c r="K13" s="312">
        <v>2.58E-2</v>
      </c>
      <c r="L13" s="312">
        <v>0.6863989735519761</v>
      </c>
      <c r="M13" s="312">
        <v>3.2597560755921753E-2</v>
      </c>
      <c r="N13" s="313">
        <v>0.21596489089219734</v>
      </c>
      <c r="O13" s="313">
        <v>4.9306724537536955</v>
      </c>
      <c r="P13" s="313" t="s">
        <v>99</v>
      </c>
      <c r="Q13" s="313" t="s">
        <v>99</v>
      </c>
      <c r="R13" s="313">
        <v>1.5165540056877012</v>
      </c>
      <c r="S13" s="313">
        <v>82.198355424233498</v>
      </c>
      <c r="T13" s="312" t="s">
        <v>99</v>
      </c>
      <c r="U13" s="312">
        <v>5.2392768488402484E-2</v>
      </c>
      <c r="V13" s="312">
        <v>2.7448227056769928E-2</v>
      </c>
      <c r="W13" s="312" t="s">
        <v>99</v>
      </c>
      <c r="X13" s="312">
        <v>0.12076092974514126</v>
      </c>
      <c r="Y13" s="312">
        <v>0.20841894732278166</v>
      </c>
      <c r="Z13" s="312">
        <v>0.20841894732278166</v>
      </c>
      <c r="AA13" s="314">
        <v>-1.497195846546239E-4</v>
      </c>
    </row>
    <row r="14" spans="1:27" ht="12.5">
      <c r="A14" s="311" t="s">
        <v>687</v>
      </c>
      <c r="B14" s="127">
        <v>42</v>
      </c>
      <c r="C14" s="312">
        <v>7.4732758620689649E-2</v>
      </c>
      <c r="D14" s="312">
        <v>0.10803949730457793</v>
      </c>
      <c r="E14" s="312">
        <v>0.24165694393891751</v>
      </c>
      <c r="F14" s="312">
        <v>0.26259827271827774</v>
      </c>
      <c r="G14" s="313">
        <v>0.9703551760346607</v>
      </c>
      <c r="H14" s="313">
        <v>1.0884900729483686</v>
      </c>
      <c r="I14" s="312">
        <v>6.0676731443163004E-2</v>
      </c>
      <c r="J14" s="312">
        <v>0.33993207104594719</v>
      </c>
      <c r="K14" s="312">
        <v>2.58E-2</v>
      </c>
      <c r="L14" s="312">
        <v>0.20816381881187787</v>
      </c>
      <c r="M14" s="312">
        <v>5.1966588676434354E-2</v>
      </c>
      <c r="N14" s="313">
        <v>2.5924572788089524</v>
      </c>
      <c r="O14" s="313">
        <v>1.9953151010184944</v>
      </c>
      <c r="P14" s="313">
        <v>13.271107257463079</v>
      </c>
      <c r="Q14" s="313">
        <v>18.167058935351683</v>
      </c>
      <c r="R14" s="313">
        <v>4.9769906112301321</v>
      </c>
      <c r="S14" s="313">
        <v>25.634097120278831</v>
      </c>
      <c r="T14" s="312">
        <v>0.15453419984060132</v>
      </c>
      <c r="U14" s="312">
        <v>2.4433610353444768E-2</v>
      </c>
      <c r="V14" s="312">
        <v>4.5278882463038071E-3</v>
      </c>
      <c r="W14" s="312">
        <v>-2.4613641395462703E-2</v>
      </c>
      <c r="X14" s="312">
        <v>0.20538521259637507</v>
      </c>
      <c r="Y14" s="312">
        <v>0.21488040227325825</v>
      </c>
      <c r="Z14" s="312">
        <v>0.21488040227325822</v>
      </c>
      <c r="AA14" s="314">
        <v>0.10983107146900138</v>
      </c>
    </row>
    <row r="15" spans="1:27" ht="12.5">
      <c r="A15" s="311" t="s">
        <v>688</v>
      </c>
      <c r="B15" s="127">
        <v>169</v>
      </c>
      <c r="C15" s="312">
        <v>7.5333648648648638E-2</v>
      </c>
      <c r="D15" s="312">
        <v>8.8794149467611078E-2</v>
      </c>
      <c r="E15" s="312">
        <v>0.18329932580841857</v>
      </c>
      <c r="F15" s="312">
        <v>0.23839807268309032</v>
      </c>
      <c r="G15" s="313">
        <v>0.83002091868778094</v>
      </c>
      <c r="H15" s="313">
        <v>0.9267932361238046</v>
      </c>
      <c r="I15" s="312">
        <v>5.3044640745043573E-2</v>
      </c>
      <c r="J15" s="312">
        <v>0.45645353144669532</v>
      </c>
      <c r="K15" s="312">
        <v>2.9980000000000003E-2</v>
      </c>
      <c r="L15" s="312">
        <v>0.19818858549972049</v>
      </c>
      <c r="M15" s="312">
        <v>4.6869234896538131E-2</v>
      </c>
      <c r="N15" s="313">
        <v>2.1571632390102891</v>
      </c>
      <c r="O15" s="313">
        <v>2.9656653719133295</v>
      </c>
      <c r="P15" s="313">
        <v>17.396962450101594</v>
      </c>
      <c r="Q15" s="313">
        <v>31.207264566605247</v>
      </c>
      <c r="R15" s="313">
        <v>5.8494578130119574</v>
      </c>
      <c r="S15" s="313">
        <v>44.220616607815849</v>
      </c>
      <c r="T15" s="312">
        <v>0.1383677881159181</v>
      </c>
      <c r="U15" s="312">
        <v>3.1365189924289869E-2</v>
      </c>
      <c r="V15" s="312">
        <v>3.4450903020820478E-3</v>
      </c>
      <c r="W15" s="312">
        <v>-0.11507975896192031</v>
      </c>
      <c r="X15" s="312">
        <v>6.8090727350625171E-2</v>
      </c>
      <c r="Y15" s="312">
        <v>0.65869164942556535</v>
      </c>
      <c r="Z15" s="312">
        <v>0.65869164942556535</v>
      </c>
      <c r="AA15" s="314">
        <v>9.1753946663984842E-2</v>
      </c>
    </row>
    <row r="16" spans="1:27" ht="12.5">
      <c r="A16" s="311" t="s">
        <v>689</v>
      </c>
      <c r="B16" s="127">
        <v>13</v>
      </c>
      <c r="C16" s="312">
        <v>6.6987499999999991E-2</v>
      </c>
      <c r="D16" s="312">
        <v>0.18151825584719841</v>
      </c>
      <c r="E16" s="312">
        <v>0.1108695566443063</v>
      </c>
      <c r="F16" s="312">
        <v>0.2232749536475076</v>
      </c>
      <c r="G16" s="313">
        <v>0.70050896959819531</v>
      </c>
      <c r="H16" s="313">
        <v>0.94296590940156932</v>
      </c>
      <c r="I16" s="312">
        <v>5.3807990923754073E-2</v>
      </c>
      <c r="J16" s="312">
        <v>0.32015889451441987</v>
      </c>
      <c r="K16" s="312">
        <v>2.58E-2</v>
      </c>
      <c r="L16" s="312">
        <v>0.34194704307327883</v>
      </c>
      <c r="M16" s="312">
        <v>4.1848738142904678E-2</v>
      </c>
      <c r="N16" s="313">
        <v>0.75699645884908628</v>
      </c>
      <c r="O16" s="313">
        <v>3.8522973077997342</v>
      </c>
      <c r="P16" s="313">
        <v>11.110660352699769</v>
      </c>
      <c r="Q16" s="313">
        <v>20.197523407169026</v>
      </c>
      <c r="R16" s="313">
        <v>3.1267555932444693</v>
      </c>
      <c r="S16" s="313">
        <v>63.676658140226202</v>
      </c>
      <c r="T16" s="312">
        <v>-1.3478658831321332E-2</v>
      </c>
      <c r="U16" s="312">
        <v>0.10944094488998773</v>
      </c>
      <c r="V16" s="312">
        <v>-1.74479403422238E-2</v>
      </c>
      <c r="W16" s="312">
        <v>-0.15009272873203189</v>
      </c>
      <c r="X16" s="312">
        <v>0.11465857561738993</v>
      </c>
      <c r="Y16" s="312">
        <v>0.26204693540483148</v>
      </c>
      <c r="Z16" s="312">
        <v>0.26204693540483148</v>
      </c>
      <c r="AA16" s="314">
        <v>0.18074278023464049</v>
      </c>
    </row>
    <row r="17" spans="1:27" ht="12.5">
      <c r="A17" s="311" t="s">
        <v>690</v>
      </c>
      <c r="B17" s="127">
        <v>48</v>
      </c>
      <c r="C17" s="312">
        <v>0.22507260869565218</v>
      </c>
      <c r="D17" s="312">
        <v>7.2125799849545452E-2</v>
      </c>
      <c r="E17" s="312">
        <v>9.526127058726884E-2</v>
      </c>
      <c r="F17" s="312">
        <v>9.11707592257123E-2</v>
      </c>
      <c r="G17" s="313">
        <v>0.76177480335166814</v>
      </c>
      <c r="H17" s="313">
        <v>0.99347761010415836</v>
      </c>
      <c r="I17" s="312">
        <v>5.6192143196916275E-2</v>
      </c>
      <c r="J17" s="312">
        <v>0.48059008560791999</v>
      </c>
      <c r="K17" s="312">
        <v>2.9980000000000003E-2</v>
      </c>
      <c r="L17" s="312">
        <v>0.35532754282219436</v>
      </c>
      <c r="M17" s="312">
        <v>4.4002012434523979E-2</v>
      </c>
      <c r="N17" s="313">
        <v>1.3495744099697256</v>
      </c>
      <c r="O17" s="313">
        <v>1.5174120796495583</v>
      </c>
      <c r="P17" s="313">
        <v>10.009800017612704</v>
      </c>
      <c r="Q17" s="313">
        <v>20.702463001148864</v>
      </c>
      <c r="R17" s="313">
        <v>2.9613466941521587</v>
      </c>
      <c r="S17" s="313">
        <v>45.863876676003365</v>
      </c>
      <c r="T17" s="312">
        <v>0.15781685360764552</v>
      </c>
      <c r="U17" s="312">
        <v>6.3293803549302821E-2</v>
      </c>
      <c r="V17" s="312">
        <v>3.1644256342847926E-2</v>
      </c>
      <c r="W17" s="312">
        <v>0.18240181383069348</v>
      </c>
      <c r="X17" s="312">
        <v>-1.8172614575978987E-2</v>
      </c>
      <c r="Y17" s="312">
        <v>4.3914837186071155E-3</v>
      </c>
      <c r="Z17" s="312">
        <v>4.3914837186070921E-3</v>
      </c>
      <c r="AA17" s="314">
        <v>7.2759769960116197E-2</v>
      </c>
    </row>
    <row r="18" spans="1:27" ht="12.5">
      <c r="A18" s="311" t="s">
        <v>691</v>
      </c>
      <c r="B18" s="127">
        <v>5</v>
      </c>
      <c r="C18" s="312">
        <v>0.28993999999999998</v>
      </c>
      <c r="D18" s="312">
        <v>5.8127006897219613E-2</v>
      </c>
      <c r="E18" s="312">
        <v>5.9258028373323071E-2</v>
      </c>
      <c r="F18" s="312">
        <v>5.7040998217468802E-2</v>
      </c>
      <c r="G18" s="313">
        <v>1.0360679957510837</v>
      </c>
      <c r="H18" s="313">
        <v>1.3627228737800379</v>
      </c>
      <c r="I18" s="312">
        <v>7.3620519642417795E-2</v>
      </c>
      <c r="J18" s="312">
        <v>0.36161247414360542</v>
      </c>
      <c r="K18" s="312">
        <v>2.58E-2</v>
      </c>
      <c r="L18" s="312">
        <v>0.36748841144372296</v>
      </c>
      <c r="M18" s="312">
        <v>5.3487108570495358E-2</v>
      </c>
      <c r="N18" s="313">
        <v>1.031930960947973</v>
      </c>
      <c r="O18" s="313">
        <v>1.7193508613762196</v>
      </c>
      <c r="P18" s="313">
        <v>13.381341293177154</v>
      </c>
      <c r="Q18" s="313">
        <v>29.250566929834815</v>
      </c>
      <c r="R18" s="313">
        <v>2.1784653458416967</v>
      </c>
      <c r="S18" s="313">
        <v>17.186064480100946</v>
      </c>
      <c r="T18" s="312">
        <v>0.17676019324724168</v>
      </c>
      <c r="U18" s="312">
        <v>5.0743138340853991E-2</v>
      </c>
      <c r="V18" s="312">
        <v>2.3919844159355344E-2</v>
      </c>
      <c r="W18" s="312">
        <v>-0.68790749421176467</v>
      </c>
      <c r="X18" s="312">
        <v>0.13253487594391739</v>
      </c>
      <c r="Y18" s="312">
        <v>0.51844357122128371</v>
      </c>
      <c r="Z18" s="312">
        <v>0.51844357122128371</v>
      </c>
      <c r="AA18" s="314">
        <v>5.8155715753131762E-2</v>
      </c>
    </row>
    <row r="19" spans="1:27" ht="12.5">
      <c r="A19" s="311" t="s">
        <v>692</v>
      </c>
      <c r="B19" s="127">
        <v>97</v>
      </c>
      <c r="C19" s="312">
        <v>5.935418181818182E-2</v>
      </c>
      <c r="D19" s="312">
        <v>0.12065483831392119</v>
      </c>
      <c r="E19" s="312">
        <v>0.11841392418279365</v>
      </c>
      <c r="F19" s="312">
        <v>0.18168903732029262</v>
      </c>
      <c r="G19" s="313">
        <v>0.81821239630692277</v>
      </c>
      <c r="H19" s="313">
        <v>0.92659200882771764</v>
      </c>
      <c r="I19" s="312">
        <v>5.3035142816668268E-2</v>
      </c>
      <c r="J19" s="312">
        <v>0.38541268779569865</v>
      </c>
      <c r="K19" s="312">
        <v>2.58E-2</v>
      </c>
      <c r="L19" s="312">
        <v>0.20225162151176118</v>
      </c>
      <c r="M19" s="312">
        <v>4.6117906224441792E-2</v>
      </c>
      <c r="N19" s="313">
        <v>1.039150967937543</v>
      </c>
      <c r="O19" s="313">
        <v>3.2734869788149399</v>
      </c>
      <c r="P19" s="313">
        <v>15.557856524721306</v>
      </c>
      <c r="Q19" s="313">
        <v>26.532549641016292</v>
      </c>
      <c r="R19" s="313">
        <v>3.0972111715996866</v>
      </c>
      <c r="S19" s="313">
        <v>58.864592105629278</v>
      </c>
      <c r="T19" s="312">
        <v>0.21288350405516016</v>
      </c>
      <c r="U19" s="312">
        <v>6.3716484957961658E-2</v>
      </c>
      <c r="V19" s="312">
        <v>2.3084996958236067E-2</v>
      </c>
      <c r="W19" s="312">
        <v>0.10485662262283377</v>
      </c>
      <c r="X19" s="312">
        <v>2.4999967268943841E-2</v>
      </c>
      <c r="Y19" s="312">
        <v>1.6368906543614743</v>
      </c>
      <c r="Z19" s="312">
        <v>1.6368906543614743</v>
      </c>
      <c r="AA19" s="314">
        <v>0.12183987826365998</v>
      </c>
    </row>
    <row r="20" spans="1:27" ht="12.5">
      <c r="A20" s="311" t="s">
        <v>693</v>
      </c>
      <c r="B20" s="127">
        <v>29</v>
      </c>
      <c r="C20" s="312">
        <v>-0.14184545454545455</v>
      </c>
      <c r="D20" s="312">
        <v>-8.7021433686582966E-2</v>
      </c>
      <c r="E20" s="312">
        <v>-7.4963742338342174E-2</v>
      </c>
      <c r="F20" s="312">
        <v>0</v>
      </c>
      <c r="G20" s="313">
        <v>0.56217651732938612</v>
      </c>
      <c r="H20" s="313">
        <v>0.82767054510963167</v>
      </c>
      <c r="I20" s="312">
        <v>4.8366049729174618E-2</v>
      </c>
      <c r="J20" s="312">
        <v>0.42274027838076222</v>
      </c>
      <c r="K20" s="312">
        <v>2.9980000000000003E-2</v>
      </c>
      <c r="L20" s="312">
        <v>0.48620323960370054</v>
      </c>
      <c r="M20" s="312">
        <v>3.5491072044039063E-2</v>
      </c>
      <c r="N20" s="313">
        <v>0.87019234752509467</v>
      </c>
      <c r="O20" s="313">
        <v>1.0829349201864724</v>
      </c>
      <c r="P20" s="313">
        <v>5.7852295537945153</v>
      </c>
      <c r="Q20" s="313" t="s">
        <v>99</v>
      </c>
      <c r="R20" s="313">
        <v>1.3578938055185275</v>
      </c>
      <c r="S20" s="313">
        <v>37.680380236658841</v>
      </c>
      <c r="T20" s="312">
        <v>7.7455270155492792E-2</v>
      </c>
      <c r="U20" s="312">
        <v>0.11286931613161091</v>
      </c>
      <c r="V20" s="312">
        <v>-7.1878003963649864E-2</v>
      </c>
      <c r="W20" s="312" t="s">
        <v>99</v>
      </c>
      <c r="X20" s="312">
        <v>-0.41663846571292651</v>
      </c>
      <c r="Y20" s="312">
        <v>2.2375830881551706E-2</v>
      </c>
      <c r="Z20" s="312">
        <v>2.2375830881551706E-2</v>
      </c>
      <c r="AA20" s="314">
        <v>-8.6146175097431971E-2</v>
      </c>
    </row>
    <row r="21" spans="1:27" ht="12.5">
      <c r="A21" s="311" t="s">
        <v>507</v>
      </c>
      <c r="B21" s="127">
        <v>116</v>
      </c>
      <c r="C21" s="312">
        <v>9.4039999999999999E-2</v>
      </c>
      <c r="D21" s="312">
        <v>7.5787773903388839E-2</v>
      </c>
      <c r="E21" s="312">
        <v>0.2298022219858635</v>
      </c>
      <c r="F21" s="312">
        <v>0.12935124662396041</v>
      </c>
      <c r="G21" s="313">
        <v>0.94019446584590494</v>
      </c>
      <c r="H21" s="313">
        <v>1.1172533064231442</v>
      </c>
      <c r="I21" s="312">
        <v>6.2034356063172411E-2</v>
      </c>
      <c r="J21" s="312">
        <v>0.45890860890294438</v>
      </c>
      <c r="K21" s="312">
        <v>2.9980000000000003E-2</v>
      </c>
      <c r="L21" s="312">
        <v>0.28441649812649367</v>
      </c>
      <c r="M21" s="312">
        <v>5.0615330576250457E-2</v>
      </c>
      <c r="N21" s="313">
        <v>3.0298335785950181</v>
      </c>
      <c r="O21" s="313">
        <v>1.4323282243264928</v>
      </c>
      <c r="P21" s="313">
        <v>10.703294417645781</v>
      </c>
      <c r="Q21" s="313">
        <v>17.955357866981824</v>
      </c>
      <c r="R21" s="313">
        <v>4.0009819939510463</v>
      </c>
      <c r="S21" s="313">
        <v>27.860284729188052</v>
      </c>
      <c r="T21" s="312">
        <v>0.12085695378067635</v>
      </c>
      <c r="U21" s="312">
        <v>1.8050529500291616E-2</v>
      </c>
      <c r="V21" s="312">
        <v>-1.3398434376508724E-3</v>
      </c>
      <c r="W21" s="312">
        <v>-0.16577062867375225</v>
      </c>
      <c r="X21" s="312">
        <v>0.13499616893510502</v>
      </c>
      <c r="Y21" s="312">
        <v>0.75571575518498502</v>
      </c>
      <c r="Z21" s="312">
        <v>0.75571575518498502</v>
      </c>
      <c r="AA21" s="314">
        <v>8.0215230749698954E-2</v>
      </c>
    </row>
    <row r="22" spans="1:27" ht="12.5">
      <c r="A22" s="311" t="s">
        <v>508</v>
      </c>
      <c r="B22" s="127">
        <v>52</v>
      </c>
      <c r="C22" s="312">
        <v>4.061E-2</v>
      </c>
      <c r="D22" s="312">
        <v>0.15552039250702068</v>
      </c>
      <c r="E22" s="312">
        <v>0.27816937415419485</v>
      </c>
      <c r="F22" s="312">
        <v>0.14173391130511429</v>
      </c>
      <c r="G22" s="313">
        <v>1.1394194094100192</v>
      </c>
      <c r="H22" s="313">
        <v>1.1840744332992201</v>
      </c>
      <c r="I22" s="312">
        <v>6.5188313251723182E-2</v>
      </c>
      <c r="J22" s="312">
        <v>0.42866445573502415</v>
      </c>
      <c r="K22" s="312">
        <v>2.9980000000000003E-2</v>
      </c>
      <c r="L22" s="312">
        <v>8.5548343531199625E-2</v>
      </c>
      <c r="M22" s="312">
        <v>6.1483820752963034E-2</v>
      </c>
      <c r="N22" s="313">
        <v>1.8063509746701698</v>
      </c>
      <c r="O22" s="313">
        <v>5.1406397654346936</v>
      </c>
      <c r="P22" s="313">
        <v>24.763418044250692</v>
      </c>
      <c r="Q22" s="313">
        <v>32.891802691131986</v>
      </c>
      <c r="R22" s="313">
        <v>22.895969862404975</v>
      </c>
      <c r="S22" s="313">
        <v>27.254643581045862</v>
      </c>
      <c r="T22" s="312">
        <v>-9.0831158512661922E-2</v>
      </c>
      <c r="U22" s="312">
        <v>2.71589677736691E-2</v>
      </c>
      <c r="V22" s="312">
        <v>1.7043799815278755E-3</v>
      </c>
      <c r="W22" s="312">
        <v>-2.4432574778906627E-3</v>
      </c>
      <c r="X22" s="312">
        <v>0.50530700076591384</v>
      </c>
      <c r="Y22" s="312">
        <v>0.26832300978709189</v>
      </c>
      <c r="Z22" s="312">
        <v>0.26832300978709189</v>
      </c>
      <c r="AA22" s="314">
        <v>0.15976104070516475</v>
      </c>
    </row>
    <row r="23" spans="1:27" ht="12.5">
      <c r="A23" s="311" t="s">
        <v>694</v>
      </c>
      <c r="B23" s="127">
        <v>46</v>
      </c>
      <c r="C23" s="312">
        <v>3.5024444444444441E-2</v>
      </c>
      <c r="D23" s="312">
        <v>9.4110447087746116E-2</v>
      </c>
      <c r="E23" s="312">
        <v>9.9327618240169419E-2</v>
      </c>
      <c r="F23" s="312">
        <v>0.22986853036142532</v>
      </c>
      <c r="G23" s="313">
        <v>0.87221512558938474</v>
      </c>
      <c r="H23" s="313">
        <v>1.0210954372727519</v>
      </c>
      <c r="I23" s="312">
        <v>5.7495704639273892E-2</v>
      </c>
      <c r="J23" s="312">
        <v>0.33390823510550172</v>
      </c>
      <c r="K23" s="312">
        <v>2.58E-2</v>
      </c>
      <c r="L23" s="312">
        <v>0.25804788914661603</v>
      </c>
      <c r="M23" s="312">
        <v>4.7519133366299336E-2</v>
      </c>
      <c r="N23" s="313">
        <v>1.206776267166916</v>
      </c>
      <c r="O23" s="313">
        <v>2.2653310476695232</v>
      </c>
      <c r="P23" s="313">
        <v>15.233753921075373</v>
      </c>
      <c r="Q23" s="313">
        <v>23.470484102110117</v>
      </c>
      <c r="R23" s="313">
        <v>3.820222366541409</v>
      </c>
      <c r="S23" s="313">
        <v>108.39709320846305</v>
      </c>
      <c r="T23" s="312">
        <v>0.17230748820030611</v>
      </c>
      <c r="U23" s="312">
        <v>5.2131428478764265E-2</v>
      </c>
      <c r="V23" s="312">
        <v>1.963238854994992E-2</v>
      </c>
      <c r="W23" s="312">
        <v>-8.2577741574810168E-2</v>
      </c>
      <c r="X23" s="312">
        <v>0.13203652319198941</v>
      </c>
      <c r="Y23" s="312">
        <v>0.49845976311074519</v>
      </c>
      <c r="Z23" s="312">
        <v>0.49845976311074525</v>
      </c>
      <c r="AA23" s="314">
        <v>9.247820870969517E-2</v>
      </c>
    </row>
    <row r="24" spans="1:27" ht="12.5">
      <c r="A24" s="311" t="s">
        <v>695</v>
      </c>
      <c r="B24" s="127">
        <v>29</v>
      </c>
      <c r="C24" s="312">
        <v>5.0763636363636393E-3</v>
      </c>
      <c r="D24" s="312">
        <v>0.18064192537411194</v>
      </c>
      <c r="E24" s="312">
        <v>0.13444721876605892</v>
      </c>
      <c r="F24" s="312">
        <v>0.20759642859229738</v>
      </c>
      <c r="G24" s="313">
        <v>0.89292367124205574</v>
      </c>
      <c r="H24" s="313">
        <v>1.0248022870265143</v>
      </c>
      <c r="I24" s="312">
        <v>5.767066794765148E-2</v>
      </c>
      <c r="J24" s="312">
        <v>0.29937382425934511</v>
      </c>
      <c r="K24" s="312">
        <v>2.58E-2</v>
      </c>
      <c r="L24" s="312">
        <v>0.22921378752881652</v>
      </c>
      <c r="M24" s="312">
        <v>4.876876819237129E-2</v>
      </c>
      <c r="N24" s="313">
        <v>0.79274924095640742</v>
      </c>
      <c r="O24" s="313">
        <v>2.7973465663251851</v>
      </c>
      <c r="P24" s="313">
        <v>11.373562877617585</v>
      </c>
      <c r="Q24" s="313">
        <v>15.120913165750846</v>
      </c>
      <c r="R24" s="313">
        <v>1.8571825941414872</v>
      </c>
      <c r="S24" s="313">
        <v>27.983642584788679</v>
      </c>
      <c r="T24" s="312">
        <v>1.483491445574776E-2</v>
      </c>
      <c r="U24" s="312">
        <v>5.0773905367239976E-2</v>
      </c>
      <c r="V24" s="312">
        <v>2.9695392039296772E-2</v>
      </c>
      <c r="W24" s="312">
        <v>0.20485767730748389</v>
      </c>
      <c r="X24" s="312">
        <v>0.10620755186982106</v>
      </c>
      <c r="Y24" s="312">
        <v>0.14321375871763409</v>
      </c>
      <c r="Z24" s="312">
        <v>0.14321375871763409</v>
      </c>
      <c r="AA24" s="314">
        <v>0.18142791563042543</v>
      </c>
    </row>
    <row r="25" spans="1:27" ht="12.5">
      <c r="A25" s="311" t="s">
        <v>696</v>
      </c>
      <c r="B25" s="127">
        <v>547</v>
      </c>
      <c r="C25" s="312">
        <v>0.32639857142857154</v>
      </c>
      <c r="D25" s="312">
        <v>9.5441354077707152E-2</v>
      </c>
      <c r="E25" s="312">
        <v>6.2191687311969009E-2</v>
      </c>
      <c r="F25" s="312">
        <v>0.11951101190106696</v>
      </c>
      <c r="G25" s="313">
        <v>0.85149618276290218</v>
      </c>
      <c r="H25" s="313">
        <v>0.88621166971942</v>
      </c>
      <c r="I25" s="312">
        <v>5.112919081075662E-2</v>
      </c>
      <c r="J25" s="312">
        <v>0.50102002093170805</v>
      </c>
      <c r="K25" s="312">
        <v>2.9980000000000003E-2</v>
      </c>
      <c r="L25" s="312">
        <v>0.13419725368429949</v>
      </c>
      <c r="M25" s="312">
        <v>4.7204754396634928E-2</v>
      </c>
      <c r="N25" s="313">
        <v>0.48336474338597796</v>
      </c>
      <c r="O25" s="313">
        <v>8.7344405883629719</v>
      </c>
      <c r="P25" s="313">
        <v>14.395456267958144</v>
      </c>
      <c r="Q25" s="313">
        <v>57.628031832586927</v>
      </c>
      <c r="R25" s="313">
        <v>7.1806327240045089</v>
      </c>
      <c r="S25" s="313">
        <v>480.18431697399177</v>
      </c>
      <c r="T25" s="312">
        <v>0.13136172945902347</v>
      </c>
      <c r="U25" s="312">
        <v>3.5629635456688805E-2</v>
      </c>
      <c r="V25" s="312">
        <v>0.37648897569690665</v>
      </c>
      <c r="W25" s="312">
        <v>7.2154867100099889</v>
      </c>
      <c r="X25" s="312">
        <v>-1.1878403785774745E-2</v>
      </c>
      <c r="Y25" s="312">
        <v>1.2584434526538685E-3</v>
      </c>
      <c r="Z25" s="312">
        <v>1.2584434526539123E-3</v>
      </c>
      <c r="AA25" s="314">
        <v>0.1291522149779662</v>
      </c>
    </row>
    <row r="26" spans="1:27" ht="12.5">
      <c r="A26" s="311" t="s">
        <v>697</v>
      </c>
      <c r="B26" s="127">
        <v>287</v>
      </c>
      <c r="C26" s="312">
        <v>0.32655374999999998</v>
      </c>
      <c r="D26" s="312">
        <v>0.24020052440609022</v>
      </c>
      <c r="E26" s="312">
        <v>0.20310872148840359</v>
      </c>
      <c r="F26" s="312">
        <v>0.16298183314653755</v>
      </c>
      <c r="G26" s="313">
        <v>0.83727850271797655</v>
      </c>
      <c r="H26" s="313">
        <v>0.90821840366478879</v>
      </c>
      <c r="I26" s="312">
        <v>5.2167908652978032E-2</v>
      </c>
      <c r="J26" s="312">
        <v>0.5545237555574154</v>
      </c>
      <c r="K26" s="312">
        <v>2.9980000000000003E-2</v>
      </c>
      <c r="L26" s="312">
        <v>0.1538384177716649</v>
      </c>
      <c r="M26" s="312">
        <v>4.7509295435647143E-2</v>
      </c>
      <c r="N26" s="313">
        <v>0.81486263323106978</v>
      </c>
      <c r="O26" s="313">
        <v>5.5545983292003589</v>
      </c>
      <c r="P26" s="313">
        <v>14.320361585486834</v>
      </c>
      <c r="Q26" s="313">
        <v>22.267716292883382</v>
      </c>
      <c r="R26" s="313">
        <v>5.0423372251545731</v>
      </c>
      <c r="S26" s="313">
        <v>34.542058049164375</v>
      </c>
      <c r="T26" s="312">
        <v>0.26225622765210937</v>
      </c>
      <c r="U26" s="312">
        <v>5.005383316952787E-2</v>
      </c>
      <c r="V26" s="312">
        <v>9.7390612971969506E-2</v>
      </c>
      <c r="W26" s="312">
        <v>0.48917071797569545</v>
      </c>
      <c r="X26" s="312">
        <v>0.18978925035861566</v>
      </c>
      <c r="Y26" s="312">
        <v>0.60855267822210035</v>
      </c>
      <c r="Z26" s="312">
        <v>0.60855267822210035</v>
      </c>
      <c r="AA26" s="314">
        <v>0.25376979881957329</v>
      </c>
    </row>
    <row r="27" spans="1:27" ht="12.5">
      <c r="A27" s="311" t="s">
        <v>698</v>
      </c>
      <c r="B27" s="127">
        <v>38</v>
      </c>
      <c r="C27" s="312">
        <v>1.0088888888888892E-2</v>
      </c>
      <c r="D27" s="312">
        <v>9.2613468966935536E-2</v>
      </c>
      <c r="E27" s="312">
        <v>9.8891680964604045E-2</v>
      </c>
      <c r="F27" s="312">
        <v>0.16654618048728848</v>
      </c>
      <c r="G27" s="313">
        <v>1.0706243737868801</v>
      </c>
      <c r="H27" s="313">
        <v>1.1476809803615506</v>
      </c>
      <c r="I27" s="312">
        <v>6.3470542273065186E-2</v>
      </c>
      <c r="J27" s="312">
        <v>0.55726744957675056</v>
      </c>
      <c r="K27" s="312">
        <v>2.9980000000000003E-2</v>
      </c>
      <c r="L27" s="312">
        <v>0.19570414695886867</v>
      </c>
      <c r="M27" s="312">
        <v>5.5332157478351775E-2</v>
      </c>
      <c r="N27" s="313">
        <v>1.1668784652111823</v>
      </c>
      <c r="O27" s="313">
        <v>2.8063477998163817</v>
      </c>
      <c r="P27" s="313">
        <v>14.427941847430578</v>
      </c>
      <c r="Q27" s="313">
        <v>31.20589851999431</v>
      </c>
      <c r="R27" s="313">
        <v>2.9174350641711149</v>
      </c>
      <c r="S27" s="313">
        <v>26.631329737537396</v>
      </c>
      <c r="T27" s="312">
        <v>7.4714525935403453E-2</v>
      </c>
      <c r="U27" s="312">
        <v>3.8754347549663143E-2</v>
      </c>
      <c r="V27" s="312">
        <v>2.6957645691001734E-2</v>
      </c>
      <c r="W27" s="312">
        <v>0.61407623908671505</v>
      </c>
      <c r="X27" s="312">
        <v>-5.662813099300916E-2</v>
      </c>
      <c r="Y27" s="312">
        <v>5.875310487758168E-4</v>
      </c>
      <c r="Z27" s="312">
        <v>5.8753104877584672E-4</v>
      </c>
      <c r="AA27" s="314">
        <v>8.8249833595481525E-2</v>
      </c>
    </row>
    <row r="28" spans="1:27" ht="12.5">
      <c r="A28" s="311" t="s">
        <v>699</v>
      </c>
      <c r="B28" s="127">
        <v>122</v>
      </c>
      <c r="C28" s="312">
        <v>4.2116111111111104E-2</v>
      </c>
      <c r="D28" s="312">
        <v>0.1260196090138315</v>
      </c>
      <c r="E28" s="312">
        <v>0.22121527249320072</v>
      </c>
      <c r="F28" s="312">
        <v>0.17212659415707204</v>
      </c>
      <c r="G28" s="313">
        <v>1.0013558595552174</v>
      </c>
      <c r="H28" s="313">
        <v>1.0590362036719883</v>
      </c>
      <c r="I28" s="312">
        <v>5.9286508813317845E-2</v>
      </c>
      <c r="J28" s="312">
        <v>0.55119424455412458</v>
      </c>
      <c r="K28" s="312">
        <v>2.9980000000000003E-2</v>
      </c>
      <c r="L28" s="312">
        <v>0.13307421483637799</v>
      </c>
      <c r="M28" s="312">
        <v>5.4309385623975644E-2</v>
      </c>
      <c r="N28" s="313">
        <v>1.8033803366179071</v>
      </c>
      <c r="O28" s="313">
        <v>3.6555586962612141</v>
      </c>
      <c r="P28" s="313">
        <v>15.957574454786183</v>
      </c>
      <c r="Q28" s="313">
        <v>22.8282656767188</v>
      </c>
      <c r="R28" s="313">
        <v>6.275090002935122</v>
      </c>
      <c r="S28" s="313">
        <v>106.0185982870089</v>
      </c>
      <c r="T28" s="312">
        <v>0.20995663482744578</v>
      </c>
      <c r="U28" s="312">
        <v>3.7866736799152867E-2</v>
      </c>
      <c r="V28" s="312">
        <v>4.4920461042954572E-2</v>
      </c>
      <c r="W28" s="312">
        <v>0.36521953697919074</v>
      </c>
      <c r="X28" s="312">
        <v>0.17667213707166918</v>
      </c>
      <c r="Y28" s="312">
        <v>0.43547064175723638</v>
      </c>
      <c r="Z28" s="312">
        <v>0.43547064175723638</v>
      </c>
      <c r="AA28" s="314">
        <v>0.12836155649720854</v>
      </c>
    </row>
    <row r="29" spans="1:27" ht="12.5">
      <c r="A29" s="311" t="s">
        <v>700</v>
      </c>
      <c r="B29" s="127">
        <v>22</v>
      </c>
      <c r="C29" s="312">
        <v>1.6941666666666667E-2</v>
      </c>
      <c r="D29" s="312">
        <v>1.9904348412680198E-2</v>
      </c>
      <c r="E29" s="312">
        <v>4.6607492385584447E-2</v>
      </c>
      <c r="F29" s="312">
        <v>0.11280558789289871</v>
      </c>
      <c r="G29" s="313">
        <v>1.0108246814095976</v>
      </c>
      <c r="H29" s="313">
        <v>0.95535266136307728</v>
      </c>
      <c r="I29" s="312">
        <v>5.4392645616337248E-2</v>
      </c>
      <c r="J29" s="312">
        <v>0.54908907567487597</v>
      </c>
      <c r="K29" s="312">
        <v>2.9980000000000003E-2</v>
      </c>
      <c r="L29" s="312">
        <v>8.6783483622848448E-2</v>
      </c>
      <c r="M29" s="312">
        <v>5.157155359876793E-2</v>
      </c>
      <c r="N29" s="313">
        <v>1.8201553312722258</v>
      </c>
      <c r="O29" s="313">
        <v>1.3166288849653709</v>
      </c>
      <c r="P29" s="313">
        <v>18.961147120687322</v>
      </c>
      <c r="Q29" s="313">
        <v>59.518418530000268</v>
      </c>
      <c r="R29" s="313">
        <v>4.2630365457675641</v>
      </c>
      <c r="S29" s="313">
        <v>14.621502322457888</v>
      </c>
      <c r="T29" s="312">
        <v>0.13255100340049722</v>
      </c>
      <c r="U29" s="312">
        <v>1.6756066198075428E-2</v>
      </c>
      <c r="V29" s="312">
        <v>9.7431464416019315E-3</v>
      </c>
      <c r="W29" s="312">
        <v>-1.1244550392272765</v>
      </c>
      <c r="X29" s="312">
        <v>-4.8857210527873993E-2</v>
      </c>
      <c r="Y29" s="312">
        <v>0</v>
      </c>
      <c r="Z29" s="312">
        <v>0</v>
      </c>
      <c r="AA29" s="314">
        <v>2.5820612218617388E-2</v>
      </c>
    </row>
    <row r="30" spans="1:27" ht="12.5">
      <c r="A30" s="311" t="s">
        <v>701</v>
      </c>
      <c r="B30" s="127">
        <v>157</v>
      </c>
      <c r="C30" s="312">
        <v>2.877239130434783E-2</v>
      </c>
      <c r="D30" s="312">
        <v>7.4672155328888476E-2</v>
      </c>
      <c r="E30" s="312">
        <v>0.110846132849151</v>
      </c>
      <c r="F30" s="312">
        <v>0.1984947191787583</v>
      </c>
      <c r="G30" s="313">
        <v>0.85821110049667171</v>
      </c>
      <c r="H30" s="313">
        <v>0.88526715421533009</v>
      </c>
      <c r="I30" s="312">
        <v>5.1084609678963583E-2</v>
      </c>
      <c r="J30" s="312">
        <v>0.4386506757631673</v>
      </c>
      <c r="K30" s="312">
        <v>2.9980000000000003E-2</v>
      </c>
      <c r="L30" s="312">
        <v>0.11881317128022098</v>
      </c>
      <c r="M30" s="312">
        <v>4.7615358978129796E-2</v>
      </c>
      <c r="N30" s="313">
        <v>1.489769744874309</v>
      </c>
      <c r="O30" s="313">
        <v>2.543668038136409</v>
      </c>
      <c r="P30" s="313">
        <v>17.517836254129978</v>
      </c>
      <c r="Q30" s="313">
        <v>32.120767125385541</v>
      </c>
      <c r="R30" s="313">
        <v>4.1410843961229471</v>
      </c>
      <c r="S30" s="313">
        <v>69.761936850042233</v>
      </c>
      <c r="T30" s="312">
        <v>0.20515099903601541</v>
      </c>
      <c r="U30" s="312">
        <v>4.1946689777722007E-2</v>
      </c>
      <c r="V30" s="312">
        <v>4.2450641137758337E-2</v>
      </c>
      <c r="W30" s="312">
        <v>0.59964477003714067</v>
      </c>
      <c r="X30" s="312">
        <v>6.6685203729739476E-2</v>
      </c>
      <c r="Y30" s="312">
        <v>0.41480411923496258</v>
      </c>
      <c r="Z30" s="312">
        <v>0.41480411923496252</v>
      </c>
      <c r="AA30" s="314">
        <v>7.9034727333663221E-2</v>
      </c>
    </row>
    <row r="31" spans="1:27" ht="12.5">
      <c r="A31" s="311" t="s">
        <v>702</v>
      </c>
      <c r="B31" s="127">
        <v>61</v>
      </c>
      <c r="C31" s="312">
        <v>3.5700344827586217E-2</v>
      </c>
      <c r="D31" s="312">
        <v>4.1032677830106938E-2</v>
      </c>
      <c r="E31" s="312">
        <v>0.1485004333970936</v>
      </c>
      <c r="F31" s="312">
        <v>0.21894983014970723</v>
      </c>
      <c r="G31" s="313">
        <v>0.95563284656456471</v>
      </c>
      <c r="H31" s="313">
        <v>1.0564199824615637</v>
      </c>
      <c r="I31" s="312">
        <v>5.9163023172185802E-2</v>
      </c>
      <c r="J31" s="312">
        <v>0.42042611788262696</v>
      </c>
      <c r="K31" s="312">
        <v>2.9980000000000003E-2</v>
      </c>
      <c r="L31" s="312">
        <v>0.22018691156817488</v>
      </c>
      <c r="M31" s="312">
        <v>5.0954978455299976E-2</v>
      </c>
      <c r="N31" s="313">
        <v>3.7964583274477528</v>
      </c>
      <c r="O31" s="313">
        <v>0.8994726401457801</v>
      </c>
      <c r="P31" s="313">
        <v>10.853099629722484</v>
      </c>
      <c r="Q31" s="313">
        <v>19.795486858818521</v>
      </c>
      <c r="R31" s="313">
        <v>2.3182244883002365</v>
      </c>
      <c r="S31" s="313">
        <v>34.524899609773172</v>
      </c>
      <c r="T31" s="312">
        <v>0.17939383187925939</v>
      </c>
      <c r="U31" s="312">
        <v>1.6956216288295495E-2</v>
      </c>
      <c r="V31" s="312">
        <v>0.10319245357384162</v>
      </c>
      <c r="W31" s="312">
        <v>2.8375145355622444</v>
      </c>
      <c r="X31" s="312">
        <v>2.5369098163714011E-2</v>
      </c>
      <c r="Y31" s="312">
        <v>0.52788236771545494</v>
      </c>
      <c r="Z31" s="312">
        <v>0.52788236771545494</v>
      </c>
      <c r="AA31" s="314">
        <v>4.3132024738578523E-2</v>
      </c>
    </row>
    <row r="32" spans="1:27" ht="12.5">
      <c r="A32" s="311" t="s">
        <v>509</v>
      </c>
      <c r="B32" s="127">
        <v>118</v>
      </c>
      <c r="C32" s="312">
        <v>6.3537037037037031E-2</v>
      </c>
      <c r="D32" s="312">
        <v>7.4408004832812916E-2</v>
      </c>
      <c r="E32" s="312">
        <v>7.9645785959073262E-2</v>
      </c>
      <c r="F32" s="312">
        <v>6.7312790687964988E-2</v>
      </c>
      <c r="G32" s="313">
        <v>0.83875643049493109</v>
      </c>
      <c r="H32" s="313">
        <v>0.88281719019109328</v>
      </c>
      <c r="I32" s="312">
        <v>5.0968971377019598E-2</v>
      </c>
      <c r="J32" s="312">
        <v>0.68062179370134024</v>
      </c>
      <c r="K32" s="312">
        <v>4.0925000000000003E-2</v>
      </c>
      <c r="L32" s="312">
        <v>0.13191242879076623</v>
      </c>
      <c r="M32" s="312">
        <v>4.8186447357941233E-2</v>
      </c>
      <c r="N32" s="313">
        <v>1.0663038710804666</v>
      </c>
      <c r="O32" s="313">
        <v>6.8089956450789391</v>
      </c>
      <c r="P32" s="313">
        <v>36.256779848569074</v>
      </c>
      <c r="Q32" s="313">
        <v>89.241474916291409</v>
      </c>
      <c r="R32" s="313">
        <v>5.4891215971609117</v>
      </c>
      <c r="S32" s="313">
        <v>1157.1319525274689</v>
      </c>
      <c r="T32" s="312">
        <v>6.5129868598529442E-3</v>
      </c>
      <c r="U32" s="312">
        <v>5.181286318160206E-2</v>
      </c>
      <c r="V32" s="312">
        <v>2.8005982797696055E-3</v>
      </c>
      <c r="W32" s="312">
        <v>0.16681230416370763</v>
      </c>
      <c r="X32" s="312">
        <v>-2.8668030644176556E-2</v>
      </c>
      <c r="Y32" s="312">
        <v>1.1191861766307E-3</v>
      </c>
      <c r="Z32" s="312">
        <v>1.1191861766306488E-3</v>
      </c>
      <c r="AA32" s="314">
        <v>7.5062395215220443E-2</v>
      </c>
    </row>
    <row r="33" spans="1:27" ht="12.5">
      <c r="A33" s="311" t="s">
        <v>703</v>
      </c>
      <c r="B33" s="127">
        <v>86</v>
      </c>
      <c r="C33" s="312">
        <v>7.8791724137931035E-2</v>
      </c>
      <c r="D33" s="312">
        <v>0.11917242531350217</v>
      </c>
      <c r="E33" s="312">
        <v>0.19189575392252223</v>
      </c>
      <c r="F33" s="312">
        <v>0.20676852622066183</v>
      </c>
      <c r="G33" s="313">
        <v>0.82193535916621874</v>
      </c>
      <c r="H33" s="313">
        <v>0.95440765499167046</v>
      </c>
      <c r="I33" s="312">
        <v>5.4348041315606846E-2</v>
      </c>
      <c r="J33" s="312">
        <v>0.50430758359572492</v>
      </c>
      <c r="K33" s="312">
        <v>2.9980000000000003E-2</v>
      </c>
      <c r="L33" s="312">
        <v>0.20126685325298424</v>
      </c>
      <c r="M33" s="312">
        <v>4.7814387649734336E-2</v>
      </c>
      <c r="N33" s="313">
        <v>1.6302770377529443</v>
      </c>
      <c r="O33" s="313">
        <v>3.3408368969906879</v>
      </c>
      <c r="P33" s="313">
        <v>14.978449052948609</v>
      </c>
      <c r="Q33" s="313">
        <v>27.418717580911146</v>
      </c>
      <c r="R33" s="313">
        <v>4.6807605995708288</v>
      </c>
      <c r="S33" s="313">
        <v>549.57907903689807</v>
      </c>
      <c r="T33" s="312">
        <v>9.5560302887164134E-2</v>
      </c>
      <c r="U33" s="312">
        <v>7.48874492373683E-2</v>
      </c>
      <c r="V33" s="312">
        <v>2.8259328543857452E-2</v>
      </c>
      <c r="W33" s="312">
        <v>0.22495391418471472</v>
      </c>
      <c r="X33" s="312">
        <v>6.2101792861545151E-2</v>
      </c>
      <c r="Y33" s="312">
        <v>0.94762650024469008</v>
      </c>
      <c r="Z33" s="312">
        <v>0.94762650024469008</v>
      </c>
      <c r="AA33" s="314">
        <v>0.1209624712478881</v>
      </c>
    </row>
    <row r="34" spans="1:27" ht="12.5">
      <c r="A34" s="311" t="s">
        <v>704</v>
      </c>
      <c r="B34" s="127">
        <v>32</v>
      </c>
      <c r="C34" s="312">
        <v>-7.6993749999999979E-3</v>
      </c>
      <c r="D34" s="312">
        <v>6.5548663442282051E-2</v>
      </c>
      <c r="E34" s="312">
        <v>9.1245793649661344E-2</v>
      </c>
      <c r="F34" s="312">
        <v>0.21868498381957277</v>
      </c>
      <c r="G34" s="313">
        <v>0.68611154551813824</v>
      </c>
      <c r="H34" s="313">
        <v>0.87469922843497838</v>
      </c>
      <c r="I34" s="312">
        <v>5.0585803582130981E-2</v>
      </c>
      <c r="J34" s="312">
        <v>0.45299255806954924</v>
      </c>
      <c r="K34" s="312">
        <v>2.9980000000000003E-2</v>
      </c>
      <c r="L34" s="312">
        <v>0.31060108451740698</v>
      </c>
      <c r="M34" s="312">
        <v>4.1671427103433828E-2</v>
      </c>
      <c r="N34" s="313">
        <v>1.4758582162441996</v>
      </c>
      <c r="O34" s="313">
        <v>1.3516162158425524</v>
      </c>
      <c r="P34" s="313">
        <v>14.707892115448548</v>
      </c>
      <c r="Q34" s="313">
        <v>20.129193995151144</v>
      </c>
      <c r="R34" s="313">
        <v>3.2090475248642476</v>
      </c>
      <c r="S34" s="313">
        <v>23.819322781968737</v>
      </c>
      <c r="T34" s="312">
        <v>0.12999619715447139</v>
      </c>
      <c r="U34" s="312">
        <v>3.061530342509149E-2</v>
      </c>
      <c r="V34" s="312">
        <v>1.3450482592225456E-2</v>
      </c>
      <c r="W34" s="312">
        <v>0.38726473158402225</v>
      </c>
      <c r="X34" s="312">
        <v>0.14029208346160055</v>
      </c>
      <c r="Y34" s="312">
        <v>0.38932196061718255</v>
      </c>
      <c r="Z34" s="312">
        <v>0.38932196061718249</v>
      </c>
      <c r="AA34" s="314">
        <v>6.6131735681281056E-2</v>
      </c>
    </row>
    <row r="35" spans="1:27" ht="12.5">
      <c r="A35" s="311" t="s">
        <v>705</v>
      </c>
      <c r="B35" s="127">
        <v>235</v>
      </c>
      <c r="C35" s="312">
        <v>9.0827816901408467E-2</v>
      </c>
      <c r="D35" s="312">
        <v>0.12316551032467732</v>
      </c>
      <c r="E35" s="312">
        <v>3.9869987166348706E-3</v>
      </c>
      <c r="F35" s="312">
        <v>0.19212738756584311</v>
      </c>
      <c r="G35" s="313">
        <v>0.10910525070369609</v>
      </c>
      <c r="H35" s="313">
        <v>0.79710071959928419</v>
      </c>
      <c r="I35" s="312">
        <v>4.6923153965086215E-2</v>
      </c>
      <c r="J35" s="312">
        <v>0.27738631258663876</v>
      </c>
      <c r="K35" s="312">
        <v>2.58E-2</v>
      </c>
      <c r="L35" s="312">
        <v>0.89958710971303479</v>
      </c>
      <c r="M35" s="312">
        <v>2.1654513135349877E-2</v>
      </c>
      <c r="N35" s="313">
        <v>3.7411045708674089E-2</v>
      </c>
      <c r="O35" s="313">
        <v>31.486334617180493</v>
      </c>
      <c r="P35" s="313" t="s">
        <v>99</v>
      </c>
      <c r="Q35" s="313" t="s">
        <v>99</v>
      </c>
      <c r="R35" s="313">
        <v>2.2299287385592383</v>
      </c>
      <c r="S35" s="313">
        <v>21.864515213007955</v>
      </c>
      <c r="T35" s="312" t="s">
        <v>99</v>
      </c>
      <c r="U35" s="312">
        <v>6.9906759816409939E-2</v>
      </c>
      <c r="V35" s="312">
        <v>0.1319795854325862</v>
      </c>
      <c r="W35" s="312">
        <v>1.2262482887311255</v>
      </c>
      <c r="X35" s="312">
        <v>0.64282516706430437</v>
      </c>
      <c r="Y35" s="312">
        <v>0.23859654799119204</v>
      </c>
      <c r="Z35" s="312">
        <v>0.23859654799119201</v>
      </c>
      <c r="AA35" s="314">
        <v>0.12232122312899665</v>
      </c>
    </row>
    <row r="36" spans="1:27" ht="12.5">
      <c r="A36" s="311" t="s">
        <v>706</v>
      </c>
      <c r="B36" s="127">
        <v>101</v>
      </c>
      <c r="C36" s="312">
        <v>6.8488409090909086E-2</v>
      </c>
      <c r="D36" s="312">
        <v>0.12798853836919141</v>
      </c>
      <c r="E36" s="312">
        <v>0.1753093853314738</v>
      </c>
      <c r="F36" s="312">
        <v>0.25020090078666379</v>
      </c>
      <c r="G36" s="313">
        <v>0.53211742817812102</v>
      </c>
      <c r="H36" s="313">
        <v>0.6363265081541909</v>
      </c>
      <c r="I36" s="312">
        <v>3.9334611184877813E-2</v>
      </c>
      <c r="J36" s="312">
        <v>0.3255716456670335</v>
      </c>
      <c r="K36" s="312">
        <v>2.58E-2</v>
      </c>
      <c r="L36" s="312">
        <v>0.24819053775449415</v>
      </c>
      <c r="M36" s="312">
        <v>3.4246553470607191E-2</v>
      </c>
      <c r="N36" s="313">
        <v>1.4801162017099179</v>
      </c>
      <c r="O36" s="313">
        <v>2.1935894352175414</v>
      </c>
      <c r="P36" s="313">
        <v>12.883089542134233</v>
      </c>
      <c r="Q36" s="313">
        <v>16.826468443447887</v>
      </c>
      <c r="R36" s="313">
        <v>2.5667103507314697</v>
      </c>
      <c r="S36" s="313">
        <v>375.19491831868447</v>
      </c>
      <c r="T36" s="312">
        <v>5.2654172141950666E-2</v>
      </c>
      <c r="U36" s="312">
        <v>3.2130357552498268E-2</v>
      </c>
      <c r="V36" s="312">
        <v>2.0938027507652963E-2</v>
      </c>
      <c r="W36" s="312">
        <v>0.15123913232404507</v>
      </c>
      <c r="X36" s="312">
        <v>0.10117860572097045</v>
      </c>
      <c r="Y36" s="312">
        <v>0.60976298364337567</v>
      </c>
      <c r="Z36" s="312">
        <v>0.60976298364337567</v>
      </c>
      <c r="AA36" s="314">
        <v>0.12952805629721381</v>
      </c>
    </row>
    <row r="37" spans="1:27" ht="12.5">
      <c r="A37" s="311" t="s">
        <v>707</v>
      </c>
      <c r="B37" s="127">
        <v>18</v>
      </c>
      <c r="C37" s="312">
        <v>0.12012500000000001</v>
      </c>
      <c r="D37" s="312">
        <v>1.558491306059144E-2</v>
      </c>
      <c r="E37" s="312">
        <v>8.8859977506408852E-2</v>
      </c>
      <c r="F37" s="312">
        <v>3.8720173535791755E-2</v>
      </c>
      <c r="G37" s="313">
        <v>0.80667619598703388</v>
      </c>
      <c r="H37" s="313">
        <v>1.0346238620519972</v>
      </c>
      <c r="I37" s="312">
        <v>5.813424628885426E-2</v>
      </c>
      <c r="J37" s="312">
        <v>0.5803291952709172</v>
      </c>
      <c r="K37" s="312">
        <v>2.9980000000000003E-2</v>
      </c>
      <c r="L37" s="312">
        <v>0.35904724559597062</v>
      </c>
      <c r="M37" s="312">
        <v>4.5119197872809422E-2</v>
      </c>
      <c r="N37" s="313">
        <v>5.8166003876343453</v>
      </c>
      <c r="O37" s="313">
        <v>0.5436161544559327</v>
      </c>
      <c r="P37" s="313">
        <v>15.871954547377648</v>
      </c>
      <c r="Q37" s="313">
        <v>35.361015975894979</v>
      </c>
      <c r="R37" s="313">
        <v>5.0174107862980541</v>
      </c>
      <c r="S37" s="313">
        <v>8.6352957442395955</v>
      </c>
      <c r="T37" s="312">
        <v>5.3816094593914572E-2</v>
      </c>
      <c r="U37" s="312">
        <v>1.0154823902139759E-2</v>
      </c>
      <c r="V37" s="312">
        <v>2.6125454156993962E-2</v>
      </c>
      <c r="W37" s="312">
        <v>0.87555724326690676</v>
      </c>
      <c r="X37" s="312">
        <v>-5.025675254223573E-2</v>
      </c>
      <c r="Y37" s="312">
        <v>1.9942196531791911E-3</v>
      </c>
      <c r="Z37" s="312">
        <v>1.9942196531791412E-3</v>
      </c>
      <c r="AA37" s="314">
        <v>1.5356701695384856E-2</v>
      </c>
    </row>
    <row r="38" spans="1:27" ht="12.5">
      <c r="A38" s="311" t="s">
        <v>708</v>
      </c>
      <c r="B38" s="127">
        <v>40</v>
      </c>
      <c r="C38" s="312">
        <v>5.0844444444444435E-2</v>
      </c>
      <c r="D38" s="312">
        <v>7.979264517520307E-2</v>
      </c>
      <c r="E38" s="312">
        <v>0.14594063278054276</v>
      </c>
      <c r="F38" s="312">
        <v>0.18916536786093302</v>
      </c>
      <c r="G38" s="313">
        <v>0.77948831469856228</v>
      </c>
      <c r="H38" s="313">
        <v>0.88324544941408023</v>
      </c>
      <c r="I38" s="312">
        <v>5.0989185212344579E-2</v>
      </c>
      <c r="J38" s="312">
        <v>0.40522934887538109</v>
      </c>
      <c r="K38" s="312">
        <v>2.9980000000000003E-2</v>
      </c>
      <c r="L38" s="312">
        <v>0.25405817332696667</v>
      </c>
      <c r="M38" s="312">
        <v>4.3595130704395933E-2</v>
      </c>
      <c r="N38" s="313">
        <v>1.8787110788695169</v>
      </c>
      <c r="O38" s="313">
        <v>1.3108448970847419</v>
      </c>
      <c r="P38" s="313">
        <v>9.7334239178307449</v>
      </c>
      <c r="Q38" s="313">
        <v>15.816425327036262</v>
      </c>
      <c r="R38" s="313">
        <v>2.6811847780363887</v>
      </c>
      <c r="S38" s="313">
        <v>125.49843153837293</v>
      </c>
      <c r="T38" s="312">
        <v>0.10604425927478943</v>
      </c>
      <c r="U38" s="312">
        <v>2.742211302108916E-2</v>
      </c>
      <c r="V38" s="312">
        <v>1.3722507350154173E-2</v>
      </c>
      <c r="W38" s="312">
        <v>-0.26831598396128398</v>
      </c>
      <c r="X38" s="312">
        <v>0.13370153727916076</v>
      </c>
      <c r="Y38" s="312">
        <v>0.27174160213987486</v>
      </c>
      <c r="Z38" s="312">
        <v>0.27174160213987486</v>
      </c>
      <c r="AA38" s="314">
        <v>8.1582139405610127E-2</v>
      </c>
    </row>
    <row r="39" spans="1:27" ht="12.5">
      <c r="A39" s="311" t="s">
        <v>709</v>
      </c>
      <c r="B39" s="127">
        <v>25</v>
      </c>
      <c r="C39" s="312">
        <v>-8.9999999999999857E-4</v>
      </c>
      <c r="D39" s="312">
        <v>0.26119284560598877</v>
      </c>
      <c r="E39" s="312">
        <v>6.8933571736379956E-2</v>
      </c>
      <c r="F39" s="312">
        <v>0.43034281546316561</v>
      </c>
      <c r="G39" s="313">
        <v>0.67876371521982259</v>
      </c>
      <c r="H39" s="313">
        <v>0.9818502419420978</v>
      </c>
      <c r="I39" s="312">
        <v>5.5643331419667014E-2</v>
      </c>
      <c r="J39" s="312">
        <v>0.56041695704895178</v>
      </c>
      <c r="K39" s="312">
        <v>2.9980000000000003E-2</v>
      </c>
      <c r="L39" s="312">
        <v>0.39047333707738796</v>
      </c>
      <c r="M39" s="312">
        <v>4.2461759285400032E-2</v>
      </c>
      <c r="N39" s="313">
        <v>0.27102832816880995</v>
      </c>
      <c r="O39" s="313">
        <v>13.152748324967906</v>
      </c>
      <c r="P39" s="313">
        <v>22.940439620941806</v>
      </c>
      <c r="Q39" s="313">
        <v>50.762789375211959</v>
      </c>
      <c r="R39" s="313">
        <v>1.6801621931847164</v>
      </c>
      <c r="S39" s="313">
        <v>40.672598073760867</v>
      </c>
      <c r="T39" s="312">
        <v>-1.5824581888131781</v>
      </c>
      <c r="U39" s="312">
        <v>0.35687149238535748</v>
      </c>
      <c r="V39" s="312">
        <v>0.25819803394004409</v>
      </c>
      <c r="W39" s="312">
        <v>1.1011353779451551</v>
      </c>
      <c r="X39" s="312">
        <v>-0.20588897193795236</v>
      </c>
      <c r="Y39" s="312">
        <v>1.453488372093023E-3</v>
      </c>
      <c r="Z39" s="312">
        <v>1.4534883720930258E-3</v>
      </c>
      <c r="AA39" s="314">
        <v>0.25882529218209455</v>
      </c>
    </row>
    <row r="40" spans="1:27" ht="12.5">
      <c r="A40" s="311" t="s">
        <v>710</v>
      </c>
      <c r="B40" s="127">
        <v>265</v>
      </c>
      <c r="C40" s="312">
        <v>0.13900056338028169</v>
      </c>
      <c r="D40" s="312">
        <v>0.14236329164930261</v>
      </c>
      <c r="E40" s="312">
        <v>0.13218413823554159</v>
      </c>
      <c r="F40" s="312">
        <v>0.13641522537328338</v>
      </c>
      <c r="G40" s="313">
        <v>0.80089242347798939</v>
      </c>
      <c r="H40" s="313">
        <v>0.83358408244891102</v>
      </c>
      <c r="I40" s="312">
        <v>4.8645168691588594E-2</v>
      </c>
      <c r="J40" s="312">
        <v>0.46189459888088252</v>
      </c>
      <c r="K40" s="312">
        <v>2.9980000000000003E-2</v>
      </c>
      <c r="L40" s="312">
        <v>9.655711279842244E-2</v>
      </c>
      <c r="M40" s="312">
        <v>4.6061322687575186E-2</v>
      </c>
      <c r="N40" s="313">
        <v>0.96317689846106402</v>
      </c>
      <c r="O40" s="313">
        <v>7.418860964552465</v>
      </c>
      <c r="P40" s="313">
        <v>28.528876115334604</v>
      </c>
      <c r="Q40" s="313">
        <v>49.24884508873965</v>
      </c>
      <c r="R40" s="313">
        <v>5.7745428887631487</v>
      </c>
      <c r="S40" s="313">
        <v>317.981478965745</v>
      </c>
      <c r="T40" s="312">
        <v>0.25162848288718354</v>
      </c>
      <c r="U40" s="312">
        <v>5.1531954255945193E-2</v>
      </c>
      <c r="V40" s="312">
        <v>0.11832959057934007</v>
      </c>
      <c r="W40" s="312">
        <v>1.1346429444683592</v>
      </c>
      <c r="X40" s="312">
        <v>0.10549129143429795</v>
      </c>
      <c r="Y40" s="312">
        <v>0.30107203248356434</v>
      </c>
      <c r="Z40" s="312">
        <v>0.30107203248356429</v>
      </c>
      <c r="AA40" s="314">
        <v>0.1409061346196625</v>
      </c>
    </row>
    <row r="41" spans="1:27" ht="12.5">
      <c r="A41" s="311" t="s">
        <v>711</v>
      </c>
      <c r="B41" s="127">
        <v>129</v>
      </c>
      <c r="C41" s="312">
        <v>0.17543859649122812</v>
      </c>
      <c r="D41" s="312">
        <v>4.9688801625222462E-2</v>
      </c>
      <c r="E41" s="312">
        <v>0.35271782449764638</v>
      </c>
      <c r="F41" s="312">
        <v>0.24053692123715872</v>
      </c>
      <c r="G41" s="313">
        <v>0.73880824525715116</v>
      </c>
      <c r="H41" s="313">
        <v>0.85077449325239163</v>
      </c>
      <c r="I41" s="312">
        <v>4.9456556081512879E-2</v>
      </c>
      <c r="J41" s="312">
        <v>0.44491607317893028</v>
      </c>
      <c r="K41" s="312">
        <v>2.9980000000000003E-2</v>
      </c>
      <c r="L41" s="312">
        <v>0.24072345229636458</v>
      </c>
      <c r="M41" s="312">
        <v>4.2819532205769187E-2</v>
      </c>
      <c r="N41" s="313">
        <v>7.7154340602445259</v>
      </c>
      <c r="O41" s="313">
        <v>0.6820844203953057</v>
      </c>
      <c r="P41" s="313">
        <v>10.360969964204955</v>
      </c>
      <c r="Q41" s="313">
        <v>13.628443805969216</v>
      </c>
      <c r="R41" s="313">
        <v>2.9088731888525392</v>
      </c>
      <c r="S41" s="313">
        <v>104.17605537136028</v>
      </c>
      <c r="T41" s="312">
        <v>-5.3313038545293082E-2</v>
      </c>
      <c r="U41" s="312">
        <v>7.4091754981954394E-3</v>
      </c>
      <c r="V41" s="312">
        <v>6.8462345197443271E-3</v>
      </c>
      <c r="W41" s="312">
        <v>0.19571731702201534</v>
      </c>
      <c r="X41" s="312">
        <v>0.16598318123555375</v>
      </c>
      <c r="Y41" s="312">
        <v>0.25627274193952404</v>
      </c>
      <c r="Z41" s="312">
        <v>0.2562727419395241</v>
      </c>
      <c r="AA41" s="314">
        <v>4.8447724090470837E-2</v>
      </c>
    </row>
    <row r="42" spans="1:27" ht="12.5">
      <c r="A42" s="311" t="s">
        <v>712</v>
      </c>
      <c r="B42" s="127">
        <v>139</v>
      </c>
      <c r="C42" s="312">
        <v>0.15023892857142859</v>
      </c>
      <c r="D42" s="312">
        <v>0.13140034808253312</v>
      </c>
      <c r="E42" s="312">
        <v>0.16352219103562232</v>
      </c>
      <c r="F42" s="312">
        <v>0.1642744803976314</v>
      </c>
      <c r="G42" s="313">
        <v>0.75350441182112227</v>
      </c>
      <c r="H42" s="313">
        <v>0.79090289078720777</v>
      </c>
      <c r="I42" s="312">
        <v>4.6630616445156203E-2</v>
      </c>
      <c r="J42" s="312">
        <v>0.42448602624975351</v>
      </c>
      <c r="K42" s="312">
        <v>2.9980000000000003E-2</v>
      </c>
      <c r="L42" s="312">
        <v>0.10793771659912331</v>
      </c>
      <c r="M42" s="312">
        <v>4.395967428531497E-2</v>
      </c>
      <c r="N42" s="313">
        <v>1.2445291896621029</v>
      </c>
      <c r="O42" s="313">
        <v>7.3338745856522403</v>
      </c>
      <c r="P42" s="313">
        <v>29.316679172039294</v>
      </c>
      <c r="Q42" s="313">
        <v>50.487687969802643</v>
      </c>
      <c r="R42" s="313">
        <v>7.1196573878921594</v>
      </c>
      <c r="S42" s="313">
        <v>162.96068906351726</v>
      </c>
      <c r="T42" s="312">
        <v>0.230695661728999</v>
      </c>
      <c r="U42" s="312">
        <v>3.8241608977835448E-2</v>
      </c>
      <c r="V42" s="312">
        <v>7.2469223761760222E-4</v>
      </c>
      <c r="W42" s="312">
        <v>0.10283228731258889</v>
      </c>
      <c r="X42" s="312">
        <v>0.14110113703375673</v>
      </c>
      <c r="Y42" s="312">
        <v>0.1055403844498929</v>
      </c>
      <c r="Z42" s="312">
        <v>0.10554038444989289</v>
      </c>
      <c r="AA42" s="314">
        <v>0.13688108658432346</v>
      </c>
    </row>
    <row r="43" spans="1:27" ht="12.5">
      <c r="A43" s="311" t="s">
        <v>713</v>
      </c>
      <c r="B43" s="127">
        <v>30</v>
      </c>
      <c r="C43" s="312">
        <v>0.13522173913043478</v>
      </c>
      <c r="D43" s="312">
        <v>0.11811793417275933</v>
      </c>
      <c r="E43" s="312">
        <v>0.13576565262352838</v>
      </c>
      <c r="F43" s="312">
        <v>0.20304351746354421</v>
      </c>
      <c r="G43" s="313">
        <v>1.3290311296483035</v>
      </c>
      <c r="H43" s="313">
        <v>1.4589538372780313</v>
      </c>
      <c r="I43" s="312">
        <v>7.8162621119523074E-2</v>
      </c>
      <c r="J43" s="312">
        <v>0.36557254084354074</v>
      </c>
      <c r="K43" s="312">
        <v>2.58E-2</v>
      </c>
      <c r="L43" s="312">
        <v>0.24657713832421019</v>
      </c>
      <c r="M43" s="312">
        <v>6.3533539503149772E-2</v>
      </c>
      <c r="N43" s="313">
        <v>1.3657613592279838</v>
      </c>
      <c r="O43" s="313">
        <v>1.2091954271235921</v>
      </c>
      <c r="P43" s="313">
        <v>9.5449309888112772</v>
      </c>
      <c r="Q43" s="313">
        <v>10.22676909904947</v>
      </c>
      <c r="R43" s="313">
        <v>1.7506787743934999</v>
      </c>
      <c r="S43" s="313">
        <v>17.342111719652049</v>
      </c>
      <c r="T43" s="312">
        <v>0.66096367499042219</v>
      </c>
      <c r="U43" s="312">
        <v>7.353378642970425E-3</v>
      </c>
      <c r="V43" s="312">
        <v>6.3110106495485605E-3</v>
      </c>
      <c r="W43" s="312">
        <v>-0.10147826243566957</v>
      </c>
      <c r="X43" s="312">
        <v>0.17701980078050125</v>
      </c>
      <c r="Y43" s="312">
        <v>7.582219186699346E-2</v>
      </c>
      <c r="Z43" s="312">
        <v>7.582219186699346E-2</v>
      </c>
      <c r="AA43" s="314">
        <v>0.11820899341778766</v>
      </c>
    </row>
    <row r="44" spans="1:27" ht="12.5">
      <c r="A44" s="311" t="s">
        <v>714</v>
      </c>
      <c r="B44" s="127">
        <v>32</v>
      </c>
      <c r="C44" s="312">
        <v>4.236545454545456E-2</v>
      </c>
      <c r="D44" s="312">
        <v>0.10195066535222672</v>
      </c>
      <c r="E44" s="312">
        <v>0.13175970132459572</v>
      </c>
      <c r="F44" s="312">
        <v>0.20315425364650111</v>
      </c>
      <c r="G44" s="313">
        <v>0.80772483291603048</v>
      </c>
      <c r="H44" s="313">
        <v>1.2831022322021963</v>
      </c>
      <c r="I44" s="312">
        <v>6.9862425359943664E-2</v>
      </c>
      <c r="J44" s="312">
        <v>0.49211448705692795</v>
      </c>
      <c r="K44" s="312">
        <v>2.9980000000000003E-2</v>
      </c>
      <c r="L44" s="312">
        <v>0.49850202834771307</v>
      </c>
      <c r="M44" s="312">
        <v>4.5945780903922082E-2</v>
      </c>
      <c r="N44" s="313">
        <v>1.512408642599691</v>
      </c>
      <c r="O44" s="313">
        <v>1.5355178116126029</v>
      </c>
      <c r="P44" s="313">
        <v>8.9654632470681257</v>
      </c>
      <c r="Q44" s="313">
        <v>16.183161799511307</v>
      </c>
      <c r="R44" s="313">
        <v>5.7799017828730657</v>
      </c>
      <c r="S44" s="313">
        <v>44.606702222356631</v>
      </c>
      <c r="T44" s="312">
        <v>3.3726271206131413E-2</v>
      </c>
      <c r="U44" s="312">
        <v>5.9186574124785472E-2</v>
      </c>
      <c r="V44" s="312">
        <v>1.3927684229044475E-2</v>
      </c>
      <c r="W44" s="312">
        <v>-0.26096085143205294</v>
      </c>
      <c r="X44" s="312">
        <v>0.70638537766592602</v>
      </c>
      <c r="Y44" s="312">
        <v>0.10911348102850074</v>
      </c>
      <c r="Z44" s="312">
        <v>0.10911348102850071</v>
      </c>
      <c r="AA44" s="314">
        <v>9.4857837622379176E-2</v>
      </c>
    </row>
    <row r="45" spans="1:27" ht="12.5">
      <c r="A45" s="311" t="s">
        <v>715</v>
      </c>
      <c r="B45" s="127">
        <v>66</v>
      </c>
      <c r="C45" s="312">
        <v>-3.7959459459459503E-3</v>
      </c>
      <c r="D45" s="312">
        <v>-0.10338054015318786</v>
      </c>
      <c r="E45" s="312">
        <v>-5.2366069049734905E-2</v>
      </c>
      <c r="F45" s="312">
        <v>0.23340422307242401</v>
      </c>
      <c r="G45" s="313">
        <v>1.1898252960272824</v>
      </c>
      <c r="H45" s="313">
        <v>1.56468392285972</v>
      </c>
      <c r="I45" s="312">
        <v>8.3153081158978792E-2</v>
      </c>
      <c r="J45" s="312">
        <v>0.43694205263736113</v>
      </c>
      <c r="K45" s="312">
        <v>2.9980000000000003E-2</v>
      </c>
      <c r="L45" s="312">
        <v>0.36401274176782844</v>
      </c>
      <c r="M45" s="312">
        <v>6.0850864558541794E-2</v>
      </c>
      <c r="N45" s="313">
        <v>0.38180384510981952</v>
      </c>
      <c r="O45" s="313">
        <v>8.0782571525859517</v>
      </c>
      <c r="P45" s="313">
        <v>38.324760402618416</v>
      </c>
      <c r="Q45" s="313" t="s">
        <v>99</v>
      </c>
      <c r="R45" s="313">
        <v>6.0965739315898846</v>
      </c>
      <c r="S45" s="313">
        <v>64.17173094138856</v>
      </c>
      <c r="T45" s="312">
        <v>0.15669943941554873</v>
      </c>
      <c r="U45" s="312">
        <v>0.18514010951751525</v>
      </c>
      <c r="V45" s="312">
        <v>0.12996342799426844</v>
      </c>
      <c r="W45" s="312" t="s">
        <v>99</v>
      </c>
      <c r="X45" s="312">
        <v>-0.30404227686734225</v>
      </c>
      <c r="Y45" s="312">
        <v>5.0076364269329519E-3</v>
      </c>
      <c r="Z45" s="312">
        <v>5.0076364269329154E-3</v>
      </c>
      <c r="AA45" s="314">
        <v>-0.14013203795027143</v>
      </c>
    </row>
    <row r="46" spans="1:27" ht="12.5">
      <c r="A46" s="311" t="s">
        <v>716</v>
      </c>
      <c r="B46" s="127">
        <v>140</v>
      </c>
      <c r="C46" s="312">
        <v>0.14176819999999998</v>
      </c>
      <c r="D46" s="312">
        <v>0.1819667744413215</v>
      </c>
      <c r="E46" s="312">
        <v>0.34990818070240404</v>
      </c>
      <c r="F46" s="312">
        <v>0.20236892874956461</v>
      </c>
      <c r="G46" s="313">
        <v>0.68378487197747861</v>
      </c>
      <c r="H46" s="313">
        <v>0.73000422582003843</v>
      </c>
      <c r="I46" s="312">
        <v>4.3756199458705819E-2</v>
      </c>
      <c r="J46" s="312">
        <v>0.54656682653316824</v>
      </c>
      <c r="K46" s="312">
        <v>2.9980000000000003E-2</v>
      </c>
      <c r="L46" s="312">
        <v>0.12928508929149829</v>
      </c>
      <c r="M46" s="312">
        <v>4.0928631197810587E-2</v>
      </c>
      <c r="N46" s="313">
        <v>2.0170317660192372</v>
      </c>
      <c r="O46" s="313">
        <v>4.0934208573020419</v>
      </c>
      <c r="P46" s="313">
        <v>17.59977177709689</v>
      </c>
      <c r="Q46" s="313">
        <v>22.326919748346679</v>
      </c>
      <c r="R46" s="313">
        <v>9.0587700371026969</v>
      </c>
      <c r="S46" s="313">
        <v>36.292003801021629</v>
      </c>
      <c r="T46" s="312">
        <v>8.8529602869233059E-2</v>
      </c>
      <c r="U46" s="312">
        <v>3.6469456611976016E-2</v>
      </c>
      <c r="V46" s="312">
        <v>1.2704344447733367E-2</v>
      </c>
      <c r="W46" s="312">
        <v>-2.5748375486340506E-2</v>
      </c>
      <c r="X46" s="312">
        <v>0.31596573813617485</v>
      </c>
      <c r="Y46" s="312">
        <v>0.60852670845503798</v>
      </c>
      <c r="Z46" s="312">
        <v>0.60852670845503798</v>
      </c>
      <c r="AA46" s="314">
        <v>0.1827156850383734</v>
      </c>
    </row>
    <row r="47" spans="1:27" ht="12.5">
      <c r="A47" s="311" t="s">
        <v>717</v>
      </c>
      <c r="B47" s="127">
        <v>77</v>
      </c>
      <c r="C47" s="312">
        <v>0.12192054054054054</v>
      </c>
      <c r="D47" s="312">
        <v>0.2339520762233811</v>
      </c>
      <c r="E47" s="312">
        <v>0.24335217141940213</v>
      </c>
      <c r="F47" s="312">
        <v>0.2034638500005031</v>
      </c>
      <c r="G47" s="313">
        <v>0.97461912701503428</v>
      </c>
      <c r="H47" s="313">
        <v>1.0099196260149268</v>
      </c>
      <c r="I47" s="312">
        <v>5.6968206347904546E-2</v>
      </c>
      <c r="J47" s="312">
        <v>0.42373343239410072</v>
      </c>
      <c r="K47" s="312">
        <v>2.9980000000000003E-2</v>
      </c>
      <c r="L47" s="312">
        <v>8.5647530715410217E-2</v>
      </c>
      <c r="M47" s="312">
        <v>5.3963450613639601E-2</v>
      </c>
      <c r="N47" s="313">
        <v>1.1415497263439134</v>
      </c>
      <c r="O47" s="313">
        <v>10.543643178813669</v>
      </c>
      <c r="P47" s="313">
        <v>31.702639169289323</v>
      </c>
      <c r="Q47" s="313">
        <v>44.480181369409003</v>
      </c>
      <c r="R47" s="313">
        <v>8.3830585799549358</v>
      </c>
      <c r="S47" s="313">
        <v>71.12999032730562</v>
      </c>
      <c r="T47" s="312">
        <v>6.7903170384186667E-2</v>
      </c>
      <c r="U47" s="312">
        <v>3.0739337558518105E-2</v>
      </c>
      <c r="V47" s="312">
        <v>-1.4683566513378913E-3</v>
      </c>
      <c r="W47" s="312">
        <v>-7.0752736552048848E-2</v>
      </c>
      <c r="X47" s="312">
        <v>0.14346907619602076</v>
      </c>
      <c r="Y47" s="312">
        <v>0.32413898792734774</v>
      </c>
      <c r="Z47" s="312">
        <v>0.32413898792734774</v>
      </c>
      <c r="AA47" s="314">
        <v>0.23610747495742426</v>
      </c>
    </row>
    <row r="48" spans="1:27" ht="12.5">
      <c r="A48" s="311" t="s">
        <v>718</v>
      </c>
      <c r="B48" s="127">
        <v>21</v>
      </c>
      <c r="C48" s="312">
        <v>5.5122142857142863E-2</v>
      </c>
      <c r="D48" s="312">
        <v>0.12831289999334866</v>
      </c>
      <c r="E48" s="312">
        <v>9.2559511631358157E-2</v>
      </c>
      <c r="F48" s="312">
        <v>0.19299294104911144</v>
      </c>
      <c r="G48" s="313">
        <v>0.55878527528759392</v>
      </c>
      <c r="H48" s="313">
        <v>0.68233757937038952</v>
      </c>
      <c r="I48" s="312">
        <v>4.1506333746282389E-2</v>
      </c>
      <c r="J48" s="312">
        <v>0.30122040517355808</v>
      </c>
      <c r="K48" s="312">
        <v>2.58E-2</v>
      </c>
      <c r="L48" s="312">
        <v>0.28983736652162351</v>
      </c>
      <c r="M48" s="312">
        <v>3.4935044240360563E-2</v>
      </c>
      <c r="N48" s="313">
        <v>0.81938593510370794</v>
      </c>
      <c r="O48" s="313">
        <v>1.9727436127834244</v>
      </c>
      <c r="P48" s="313">
        <v>9.9861166404891897</v>
      </c>
      <c r="Q48" s="313">
        <v>15.008167570981826</v>
      </c>
      <c r="R48" s="313">
        <v>1.4487601146501508</v>
      </c>
      <c r="S48" s="313">
        <v>50.362847538359041</v>
      </c>
      <c r="T48" s="312">
        <v>-0.15439187837672572</v>
      </c>
      <c r="U48" s="312">
        <v>7.7508708741521291E-3</v>
      </c>
      <c r="V48" s="312">
        <v>-3.1650180745330693E-2</v>
      </c>
      <c r="W48" s="312">
        <v>-0.44470666364534434</v>
      </c>
      <c r="X48" s="312">
        <v>1.4880081144398424E-2</v>
      </c>
      <c r="Y48" s="312">
        <v>1.9278781887477539</v>
      </c>
      <c r="Z48" s="312">
        <v>1.9278781887477539</v>
      </c>
      <c r="AA48" s="314">
        <v>0.12922179742688972</v>
      </c>
    </row>
    <row r="49" spans="1:27" ht="12.5">
      <c r="A49" s="311" t="s">
        <v>719</v>
      </c>
      <c r="B49" s="127">
        <v>26</v>
      </c>
      <c r="C49" s="312">
        <v>3.3450500000000008E-2</v>
      </c>
      <c r="D49" s="312">
        <v>8.4779469920514217E-2</v>
      </c>
      <c r="E49" s="312">
        <v>4.3331979597565747E-2</v>
      </c>
      <c r="F49" s="312">
        <v>0.13003550125681396</v>
      </c>
      <c r="G49" s="313">
        <v>0.64447973202492148</v>
      </c>
      <c r="H49" s="313">
        <v>0.97641663249405386</v>
      </c>
      <c r="I49" s="312">
        <v>5.5386865053719342E-2</v>
      </c>
      <c r="J49" s="312">
        <v>0.30676474675693499</v>
      </c>
      <c r="K49" s="312">
        <v>2.58E-2</v>
      </c>
      <c r="L49" s="312">
        <v>0.54534135652464089</v>
      </c>
      <c r="M49" s="312">
        <v>3.5453076040461898E-2</v>
      </c>
      <c r="N49" s="313">
        <v>0.60209409073925479</v>
      </c>
      <c r="O49" s="313">
        <v>1.3106236214950624</v>
      </c>
      <c r="P49" s="313">
        <v>12.509114846235827</v>
      </c>
      <c r="Q49" s="313">
        <v>15.004458995361144</v>
      </c>
      <c r="R49" s="313">
        <v>0.59088041647907175</v>
      </c>
      <c r="S49" s="313">
        <v>28.985999646276792</v>
      </c>
      <c r="T49" s="312">
        <v>1.346441993151282E-2</v>
      </c>
      <c r="U49" s="312">
        <v>1.6236942865729218E-3</v>
      </c>
      <c r="V49" s="312">
        <v>-3.8606362671102083E-3</v>
      </c>
      <c r="W49" s="312">
        <v>2.6374819123671199E-2</v>
      </c>
      <c r="X49" s="312">
        <v>5.6058035053354431E-2</v>
      </c>
      <c r="Y49" s="312">
        <v>0.37954798472289947</v>
      </c>
      <c r="Z49" s="312">
        <v>0.37954798472289952</v>
      </c>
      <c r="AA49" s="314">
        <v>8.4790241950832165E-2</v>
      </c>
    </row>
    <row r="50" spans="1:27" ht="12.5">
      <c r="A50" s="311" t="s">
        <v>720</v>
      </c>
      <c r="B50" s="127">
        <v>55</v>
      </c>
      <c r="C50" s="312">
        <v>3.0855111111111107E-2</v>
      </c>
      <c r="D50" s="312">
        <v>0.10847421675224501</v>
      </c>
      <c r="E50" s="312">
        <v>0.10737324263625311</v>
      </c>
      <c r="F50" s="312">
        <v>0.19459729772239065</v>
      </c>
      <c r="G50" s="313">
        <v>0.57819626116653611</v>
      </c>
      <c r="H50" s="313">
        <v>0.64321741983105052</v>
      </c>
      <c r="I50" s="312">
        <v>3.9659862216025583E-2</v>
      </c>
      <c r="J50" s="312">
        <v>0.22934083377302145</v>
      </c>
      <c r="K50" s="312">
        <v>1.9200000000000002E-2</v>
      </c>
      <c r="L50" s="312">
        <v>0.20036030011663622</v>
      </c>
      <c r="M50" s="312">
        <v>3.4521850286273026E-2</v>
      </c>
      <c r="N50" s="313">
        <v>1.1057066018525521</v>
      </c>
      <c r="O50" s="313">
        <v>1.4442166689309721</v>
      </c>
      <c r="P50" s="313">
        <v>9.6858278209457733</v>
      </c>
      <c r="Q50" s="313">
        <v>12.331872133525609</v>
      </c>
      <c r="R50" s="313">
        <v>1.5432468849506851</v>
      </c>
      <c r="S50" s="313">
        <v>22.123312520281296</v>
      </c>
      <c r="T50" s="312">
        <v>-0.52804572696786289</v>
      </c>
      <c r="U50" s="312">
        <v>1.0637588426180641E-2</v>
      </c>
      <c r="V50" s="312">
        <v>3.6507669157428164E-3</v>
      </c>
      <c r="W50" s="312">
        <v>0.1346544089460229</v>
      </c>
      <c r="X50" s="312">
        <v>9.1936527340317986E-2</v>
      </c>
      <c r="Y50" s="312">
        <v>0.38393406234625005</v>
      </c>
      <c r="Z50" s="312">
        <v>0.38393406234625005</v>
      </c>
      <c r="AA50" s="314">
        <v>0.10894128541349707</v>
      </c>
    </row>
    <row r="51" spans="1:27" ht="12.5">
      <c r="A51" s="311" t="s">
        <v>721</v>
      </c>
      <c r="B51" s="127">
        <v>348</v>
      </c>
      <c r="C51" s="312">
        <v>6.5032203389830453E-3</v>
      </c>
      <c r="D51" s="312">
        <v>0.16949131848115098</v>
      </c>
      <c r="E51" s="312">
        <v>7.2354583164880165E-2</v>
      </c>
      <c r="F51" s="312">
        <v>0.18522401728308402</v>
      </c>
      <c r="G51" s="313">
        <v>0.78493309091986951</v>
      </c>
      <c r="H51" s="313">
        <v>0.92923680777192841</v>
      </c>
      <c r="I51" s="312">
        <v>5.3159977326835015E-2</v>
      </c>
      <c r="J51" s="312">
        <v>0.28854952848131826</v>
      </c>
      <c r="K51" s="312">
        <v>2.58E-2</v>
      </c>
      <c r="L51" s="312">
        <v>0.31139024112355651</v>
      </c>
      <c r="M51" s="312">
        <v>4.2471202970230125E-2</v>
      </c>
      <c r="N51" s="313">
        <v>0.45307081218054784</v>
      </c>
      <c r="O51" s="313">
        <v>5.8715163223657916</v>
      </c>
      <c r="P51" s="313">
        <v>26.171674354963887</v>
      </c>
      <c r="Q51" s="313">
        <v>30.597103347514032</v>
      </c>
      <c r="R51" s="313">
        <v>2.0501554221529452</v>
      </c>
      <c r="S51" s="313">
        <v>625.40619966705265</v>
      </c>
      <c r="T51" s="312" t="s">
        <v>99</v>
      </c>
      <c r="U51" s="312">
        <v>2.9159132551968562E-2</v>
      </c>
      <c r="V51" s="312">
        <v>5.3070408422195771E-2</v>
      </c>
      <c r="W51" s="312">
        <v>0.46227769708784833</v>
      </c>
      <c r="X51" s="312">
        <v>0.12346905522546975</v>
      </c>
      <c r="Y51" s="312">
        <v>0.52696562252946222</v>
      </c>
      <c r="Z51" s="312">
        <v>0.52696562252946222</v>
      </c>
      <c r="AA51" s="314">
        <v>0.16744692784157078</v>
      </c>
    </row>
    <row r="52" spans="1:27" ht="12.5">
      <c r="A52" s="311" t="s">
        <v>722</v>
      </c>
      <c r="B52" s="127">
        <v>125</v>
      </c>
      <c r="C52" s="312">
        <v>3.43967105263158E-2</v>
      </c>
      <c r="D52" s="312">
        <v>0.13074843709346179</v>
      </c>
      <c r="E52" s="312">
        <v>0.21421867033781458</v>
      </c>
      <c r="F52" s="312">
        <v>0.21031036635138367</v>
      </c>
      <c r="G52" s="313">
        <v>0.95764855095064716</v>
      </c>
      <c r="H52" s="313">
        <v>1.0479358847691829</v>
      </c>
      <c r="I52" s="312">
        <v>5.8762573761105427E-2</v>
      </c>
      <c r="J52" s="312">
        <v>0.34280553440309797</v>
      </c>
      <c r="K52" s="312">
        <v>2.58E-2</v>
      </c>
      <c r="L52" s="312">
        <v>0.16424258943543665</v>
      </c>
      <c r="M52" s="312">
        <v>5.2204601414117639E-2</v>
      </c>
      <c r="N52" s="313">
        <v>1.7786859034556404</v>
      </c>
      <c r="O52" s="313">
        <v>3.0635239041521163</v>
      </c>
      <c r="P52" s="313">
        <v>16.702375922383748</v>
      </c>
      <c r="Q52" s="313">
        <v>23.08223261612077</v>
      </c>
      <c r="R52" s="313">
        <v>4.5467163726401187</v>
      </c>
      <c r="S52" s="313">
        <v>46.086855188000342</v>
      </c>
      <c r="T52" s="312">
        <v>0.23307038550191156</v>
      </c>
      <c r="U52" s="312">
        <v>2.4372114670142813E-2</v>
      </c>
      <c r="V52" s="312">
        <v>3.9940132462024158E-2</v>
      </c>
      <c r="W52" s="312">
        <v>0.20624806560247491</v>
      </c>
      <c r="X52" s="312">
        <v>0.12648074359235931</v>
      </c>
      <c r="Y52" s="312">
        <v>0.45374411409152809</v>
      </c>
      <c r="Z52" s="312">
        <v>0.45374411409152815</v>
      </c>
      <c r="AA52" s="314">
        <v>0.13211554307149764</v>
      </c>
    </row>
    <row r="53" spans="1:27" ht="12.5">
      <c r="A53" s="311" t="s">
        <v>723</v>
      </c>
      <c r="B53" s="127">
        <v>86</v>
      </c>
      <c r="C53" s="312">
        <v>4.0199166666666668E-2</v>
      </c>
      <c r="D53" s="312">
        <v>0.11465099887537564</v>
      </c>
      <c r="E53" s="312">
        <v>0.10749615366753695</v>
      </c>
      <c r="F53" s="312">
        <v>0.51983873934637326</v>
      </c>
      <c r="G53" s="313">
        <v>0.81914572438014077</v>
      </c>
      <c r="H53" s="313">
        <v>0.90372282655970038</v>
      </c>
      <c r="I53" s="312">
        <v>5.1955717413617861E-2</v>
      </c>
      <c r="J53" s="312">
        <v>0.67840264511417692</v>
      </c>
      <c r="K53" s="312">
        <v>4.0925000000000003E-2</v>
      </c>
      <c r="L53" s="312">
        <v>0.19261882065164609</v>
      </c>
      <c r="M53" s="312">
        <v>4.7702603820969684E-2</v>
      </c>
      <c r="N53" s="313">
        <v>0.97098469690152778</v>
      </c>
      <c r="O53" s="313">
        <v>2.9961886099567443</v>
      </c>
      <c r="P53" s="313">
        <v>13.901198791089055</v>
      </c>
      <c r="Q53" s="313">
        <v>25.920174938045761</v>
      </c>
      <c r="R53" s="313">
        <v>3.2865078885347216</v>
      </c>
      <c r="S53" s="313">
        <v>44.419732750252479</v>
      </c>
      <c r="T53" s="312">
        <v>0.14295395247247653</v>
      </c>
      <c r="U53" s="312">
        <v>8.9760409245511458E-2</v>
      </c>
      <c r="V53" s="312">
        <v>1.0325301873605076E-2</v>
      </c>
      <c r="W53" s="312">
        <v>-7.4608811211580681E-2</v>
      </c>
      <c r="X53" s="312">
        <v>2.6737409474055483E-2</v>
      </c>
      <c r="Y53" s="312">
        <v>1.9735534728963189</v>
      </c>
      <c r="Z53" s="312">
        <v>1.9735534728963189</v>
      </c>
      <c r="AA53" s="314">
        <v>0.11262436965250604</v>
      </c>
    </row>
    <row r="54" spans="1:27" ht="12.5">
      <c r="A54" s="311" t="s">
        <v>724</v>
      </c>
      <c r="B54" s="127">
        <v>22</v>
      </c>
      <c r="C54" s="312">
        <v>7.8357142857142844E-3</v>
      </c>
      <c r="D54" s="312">
        <v>7.5005935717559216E-2</v>
      </c>
      <c r="E54" s="312">
        <v>0.12839147542241577</v>
      </c>
      <c r="F54" s="312">
        <v>0.23999728394642578</v>
      </c>
      <c r="G54" s="313">
        <v>0.83430915107503556</v>
      </c>
      <c r="H54" s="313">
        <v>1.0002964815877964</v>
      </c>
      <c r="I54" s="312">
        <v>5.6513993930943987E-2</v>
      </c>
      <c r="J54" s="312">
        <v>0.31111572613682442</v>
      </c>
      <c r="K54" s="312">
        <v>2.58E-2</v>
      </c>
      <c r="L54" s="312">
        <v>0.32350717310232507</v>
      </c>
      <c r="M54" s="312">
        <v>4.4324245611831528E-2</v>
      </c>
      <c r="N54" s="313">
        <v>1.972113714604361</v>
      </c>
      <c r="O54" s="313">
        <v>1.1194240858943512</v>
      </c>
      <c r="P54" s="313">
        <v>8.8204688607122339</v>
      </c>
      <c r="Q54" s="313">
        <v>14.773431283161203</v>
      </c>
      <c r="R54" s="313">
        <v>2.6021235267337746</v>
      </c>
      <c r="S54" s="313">
        <v>33.034458299910348</v>
      </c>
      <c r="T54" s="312">
        <v>6.659256682513652E-2</v>
      </c>
      <c r="U54" s="312">
        <v>2.8121497236440328E-2</v>
      </c>
      <c r="V54" s="312">
        <v>3.6925574384203833E-3</v>
      </c>
      <c r="W54" s="312">
        <v>-0.10660481631796878</v>
      </c>
      <c r="X54" s="312">
        <v>6.3627655774788114E-2</v>
      </c>
      <c r="Y54" s="312">
        <v>0.91771209866042969</v>
      </c>
      <c r="Z54" s="312">
        <v>0.91771209866042969</v>
      </c>
      <c r="AA54" s="314">
        <v>7.5108065481656369E-2</v>
      </c>
    </row>
    <row r="55" spans="1:27" ht="12.5">
      <c r="A55" s="311" t="s">
        <v>725</v>
      </c>
      <c r="B55" s="127">
        <v>3</v>
      </c>
      <c r="C55" s="312">
        <v>-1.2399999999999996E-2</v>
      </c>
      <c r="D55" s="312">
        <v>-4.2742659174976001E-2</v>
      </c>
      <c r="E55" s="312">
        <v>-2.3337328566244785E-2</v>
      </c>
      <c r="F55" s="312">
        <v>0.25627413127413129</v>
      </c>
      <c r="G55" s="313">
        <v>0.98781333722591802</v>
      </c>
      <c r="H55" s="313">
        <v>1.2606140135050163</v>
      </c>
      <c r="I55" s="312">
        <v>6.8800981437436765E-2</v>
      </c>
      <c r="J55" s="312">
        <v>0.2638843975896713</v>
      </c>
      <c r="K55" s="312">
        <v>2.58E-2</v>
      </c>
      <c r="L55" s="312">
        <v>0.30601073208560187</v>
      </c>
      <c r="M55" s="312">
        <v>5.3510548867659061E-2</v>
      </c>
      <c r="N55" s="313">
        <v>0.64497248659890083</v>
      </c>
      <c r="O55" s="313">
        <v>1.5354222004654785</v>
      </c>
      <c r="P55" s="313">
        <v>10.77335432691406</v>
      </c>
      <c r="Q55" s="313" t="s">
        <v>99</v>
      </c>
      <c r="R55" s="313">
        <v>1.049004784404624</v>
      </c>
      <c r="S55" s="313">
        <v>52.496325301204813</v>
      </c>
      <c r="T55" s="312">
        <v>5.3864505457740422E-2</v>
      </c>
      <c r="U55" s="312">
        <v>0.11103398463515529</v>
      </c>
      <c r="V55" s="312">
        <v>-6.7250118034775708E-2</v>
      </c>
      <c r="W55" s="312" t="s">
        <v>99</v>
      </c>
      <c r="X55" s="312">
        <v>-6.1885538898176169E-2</v>
      </c>
      <c r="Y55" s="312">
        <v>4.477710843373494E-2</v>
      </c>
      <c r="Z55" s="312">
        <v>4.4777108433734947E-2</v>
      </c>
      <c r="AA55" s="314">
        <v>-3.9580054827587807E-2</v>
      </c>
    </row>
    <row r="56" spans="1:27" ht="12.5">
      <c r="A56" s="311" t="s">
        <v>726</v>
      </c>
      <c r="B56" s="127">
        <v>278</v>
      </c>
      <c r="C56" s="312">
        <v>-1.1709734513274346E-2</v>
      </c>
      <c r="D56" s="312">
        <v>-0.21398495731025832</v>
      </c>
      <c r="E56" s="312">
        <v>-6.3286791128160005E-2</v>
      </c>
      <c r="F56" s="312">
        <v>0.28594713349681666</v>
      </c>
      <c r="G56" s="313">
        <v>0.81079402463970451</v>
      </c>
      <c r="H56" s="313">
        <v>1.1833905955492112</v>
      </c>
      <c r="I56" s="312">
        <v>6.5156036109922766E-2</v>
      </c>
      <c r="J56" s="312">
        <v>0.56276274246951741</v>
      </c>
      <c r="K56" s="312">
        <v>2.9980000000000003E-2</v>
      </c>
      <c r="L56" s="312">
        <v>0.41886421491621328</v>
      </c>
      <c r="M56" s="312">
        <v>4.7031515086814822E-2</v>
      </c>
      <c r="N56" s="313">
        <v>0.30783868368108652</v>
      </c>
      <c r="O56" s="313">
        <v>2.9075110392871673</v>
      </c>
      <c r="P56" s="313">
        <v>6.3941465877313668</v>
      </c>
      <c r="Q56" s="313" t="s">
        <v>99</v>
      </c>
      <c r="R56" s="313">
        <v>1.2088683318955453</v>
      </c>
      <c r="S56" s="313">
        <v>26.134360751561921</v>
      </c>
      <c r="T56" s="312">
        <v>1.2895675227694475E-2</v>
      </c>
      <c r="U56" s="312">
        <v>0.38822244842950576</v>
      </c>
      <c r="V56" s="312">
        <v>-0.22847164912298079</v>
      </c>
      <c r="W56" s="312" t="s">
        <v>99</v>
      </c>
      <c r="X56" s="312">
        <v>-0.37085636682963297</v>
      </c>
      <c r="Y56" s="312">
        <v>1.6772595857949251E-2</v>
      </c>
      <c r="Z56" s="312">
        <v>1.6772595857949213E-2</v>
      </c>
      <c r="AA56" s="314">
        <v>-0.20698845788428941</v>
      </c>
    </row>
    <row r="57" spans="1:27" ht="12.5">
      <c r="A57" s="311" t="s">
        <v>727</v>
      </c>
      <c r="B57" s="127">
        <v>57</v>
      </c>
      <c r="C57" s="312">
        <v>0.10740717948717951</v>
      </c>
      <c r="D57" s="312">
        <v>0.17432125042370422</v>
      </c>
      <c r="E57" s="312">
        <v>9.0100144553245262E-2</v>
      </c>
      <c r="F57" s="312">
        <v>8.7401349156890656E-2</v>
      </c>
      <c r="G57" s="313">
        <v>0.60254955065697147</v>
      </c>
      <c r="H57" s="313">
        <v>1.1569354576468236</v>
      </c>
      <c r="I57" s="312">
        <v>6.390735360093007E-2</v>
      </c>
      <c r="J57" s="312">
        <v>0.40777804780152754</v>
      </c>
      <c r="K57" s="312">
        <v>2.9980000000000003E-2</v>
      </c>
      <c r="L57" s="312">
        <v>0.56463665052649537</v>
      </c>
      <c r="M57" s="312">
        <v>4.0180218471121118E-2</v>
      </c>
      <c r="N57" s="313">
        <v>0.54322745466860212</v>
      </c>
      <c r="O57" s="313">
        <v>2.4248652088923657</v>
      </c>
      <c r="P57" s="313">
        <v>9.1233312166575953</v>
      </c>
      <c r="Q57" s="313">
        <v>13.945658781175549</v>
      </c>
      <c r="R57" s="313">
        <v>1.24018893184319</v>
      </c>
      <c r="S57" s="313">
        <v>37.082779959348315</v>
      </c>
      <c r="T57" s="312">
        <v>6.9728071743145256E-2</v>
      </c>
      <c r="U57" s="312">
        <v>0.13481286549343449</v>
      </c>
      <c r="V57" s="312">
        <v>5.0148697565255682E-2</v>
      </c>
      <c r="W57" s="312">
        <v>0.36477100667666951</v>
      </c>
      <c r="X57" s="312">
        <v>1.2807842501367015E-2</v>
      </c>
      <c r="Y57" s="312">
        <v>4.6592914932410093E-2</v>
      </c>
      <c r="Z57" s="312">
        <v>4.6592914932410134E-2</v>
      </c>
      <c r="AA57" s="314">
        <v>0.17376178369902853</v>
      </c>
    </row>
    <row r="58" spans="1:27" ht="12.5">
      <c r="A58" s="311" t="s">
        <v>728</v>
      </c>
      <c r="B58" s="127">
        <v>135</v>
      </c>
      <c r="C58" s="312">
        <v>-6.8566034482758637E-2</v>
      </c>
      <c r="D58" s="312">
        <v>4.7401817432219584E-3</v>
      </c>
      <c r="E58" s="312">
        <v>1.2932644090616056E-2</v>
      </c>
      <c r="F58" s="312">
        <v>4.3658438018919055E-2</v>
      </c>
      <c r="G58" s="313">
        <v>0.83514699572106865</v>
      </c>
      <c r="H58" s="313">
        <v>1.207736156526019</v>
      </c>
      <c r="I58" s="312">
        <v>6.6305146588028094E-2</v>
      </c>
      <c r="J58" s="312">
        <v>0.50267474468728313</v>
      </c>
      <c r="K58" s="312">
        <v>2.9980000000000003E-2</v>
      </c>
      <c r="L58" s="312">
        <v>0.43642107631601756</v>
      </c>
      <c r="M58" s="312">
        <v>4.6919432972396126E-2</v>
      </c>
      <c r="N58" s="313">
        <v>1.8801409219692327</v>
      </c>
      <c r="O58" s="313">
        <v>0.7342577025313457</v>
      </c>
      <c r="P58" s="313">
        <v>11.347598966546137</v>
      </c>
      <c r="Q58" s="313">
        <v>95.775016728609842</v>
      </c>
      <c r="R58" s="313">
        <v>1.3032352417280142</v>
      </c>
      <c r="S58" s="313">
        <v>31.776149931718642</v>
      </c>
      <c r="T58" s="312">
        <v>0.1140675782923368</v>
      </c>
      <c r="U58" s="312">
        <v>4.1399140362135954E-2</v>
      </c>
      <c r="V58" s="312">
        <v>-7.939312059139853E-4</v>
      </c>
      <c r="W58" s="312">
        <v>-0.39825324699839454</v>
      </c>
      <c r="X58" s="312">
        <v>-0.26630862548974504</v>
      </c>
      <c r="Y58" s="312">
        <v>3.0415759862292557E-3</v>
      </c>
      <c r="Z58" s="312">
        <v>3.041575986229228E-3</v>
      </c>
      <c r="AA58" s="314">
        <v>6.9636398233456145E-3</v>
      </c>
    </row>
    <row r="59" spans="1:27" ht="12.5">
      <c r="A59" s="311" t="s">
        <v>729</v>
      </c>
      <c r="B59" s="127">
        <v>26</v>
      </c>
      <c r="C59" s="312">
        <v>2.5224210526315786E-2</v>
      </c>
      <c r="D59" s="312">
        <v>9.6640986273185708E-2</v>
      </c>
      <c r="E59" s="312">
        <v>0.12248725976415933</v>
      </c>
      <c r="F59" s="312">
        <v>0.25382644406604221</v>
      </c>
      <c r="G59" s="313">
        <v>0.68234288150770084</v>
      </c>
      <c r="H59" s="313">
        <v>0.92162110120204421</v>
      </c>
      <c r="I59" s="312">
        <v>5.280051597673649E-2</v>
      </c>
      <c r="J59" s="312">
        <v>0.29215495035874861</v>
      </c>
      <c r="K59" s="312">
        <v>2.58E-2</v>
      </c>
      <c r="L59" s="312">
        <v>0.35530389787857364</v>
      </c>
      <c r="M59" s="312">
        <v>4.0732080452847166E-2</v>
      </c>
      <c r="N59" s="313">
        <v>1.4717693406459775</v>
      </c>
      <c r="O59" s="313">
        <v>1.7169827985643689</v>
      </c>
      <c r="P59" s="313">
        <v>10.335189534200357</v>
      </c>
      <c r="Q59" s="313">
        <v>17.478590949457661</v>
      </c>
      <c r="R59" s="313">
        <v>3.757301185065967</v>
      </c>
      <c r="S59" s="313">
        <v>24.252317258960598</v>
      </c>
      <c r="T59" s="312">
        <v>7.2306057760691572E-2</v>
      </c>
      <c r="U59" s="312">
        <v>5.339046494887028E-2</v>
      </c>
      <c r="V59" s="312">
        <v>2.177664819877731E-2</v>
      </c>
      <c r="W59" s="312">
        <v>0.22765881308245103</v>
      </c>
      <c r="X59" s="312">
        <v>9.7590767983516832E-2</v>
      </c>
      <c r="Y59" s="312">
        <v>0.64944731364503272</v>
      </c>
      <c r="Z59" s="312">
        <v>0.64944731364503272</v>
      </c>
      <c r="AA59" s="314">
        <v>9.8607501324625077E-2</v>
      </c>
    </row>
    <row r="60" spans="1:27" ht="12.5">
      <c r="A60" s="311" t="s">
        <v>730</v>
      </c>
      <c r="B60" s="127">
        <v>15</v>
      </c>
      <c r="C60" s="312">
        <v>5.0610000000000021E-3</v>
      </c>
      <c r="D60" s="312">
        <v>5.8431923014684153E-2</v>
      </c>
      <c r="E60" s="312">
        <v>8.3773386908042535E-2</v>
      </c>
      <c r="F60" s="312">
        <v>0.21086814763291745</v>
      </c>
      <c r="G60" s="313">
        <v>0.95918786556922253</v>
      </c>
      <c r="H60" s="313">
        <v>1.1387183512788366</v>
      </c>
      <c r="I60" s="312">
        <v>6.304750618036109E-2</v>
      </c>
      <c r="J60" s="312">
        <v>0.35669571939417954</v>
      </c>
      <c r="K60" s="312">
        <v>2.58E-2</v>
      </c>
      <c r="L60" s="312">
        <v>0.27285585374762972</v>
      </c>
      <c r="M60" s="312">
        <v>5.0983592204342558E-2</v>
      </c>
      <c r="N60" s="313">
        <v>1.4821096503747624</v>
      </c>
      <c r="O60" s="313">
        <v>0.94369086049964812</v>
      </c>
      <c r="P60" s="313">
        <v>7.7090415384646294</v>
      </c>
      <c r="Q60" s="313">
        <v>15.645062769895638</v>
      </c>
      <c r="R60" s="313">
        <v>1.6062131835036193</v>
      </c>
      <c r="S60" s="313">
        <v>20.046811587596142</v>
      </c>
      <c r="T60" s="312">
        <v>0.15400195670021366</v>
      </c>
      <c r="U60" s="312">
        <v>3.8510324637052895E-2</v>
      </c>
      <c r="V60" s="312">
        <v>-2.8965992312751398E-3</v>
      </c>
      <c r="W60" s="312">
        <v>-0.27911323242144731</v>
      </c>
      <c r="X60" s="312">
        <v>4.694524584126205E-2</v>
      </c>
      <c r="Y60" s="312">
        <v>1.1751668769654215</v>
      </c>
      <c r="Z60" s="312">
        <v>1.1751668769654215</v>
      </c>
      <c r="AA60" s="314">
        <v>6.0084556502187678E-2</v>
      </c>
    </row>
    <row r="61" spans="1:27" ht="12.5">
      <c r="A61" s="311" t="s">
        <v>731</v>
      </c>
      <c r="B61" s="127">
        <v>55</v>
      </c>
      <c r="C61" s="312">
        <v>1.0116808510638295E-2</v>
      </c>
      <c r="D61" s="312">
        <v>0.19820463829809831</v>
      </c>
      <c r="E61" s="312">
        <v>6.8022090326851803E-2</v>
      </c>
      <c r="F61" s="312">
        <v>0.11022539636200014</v>
      </c>
      <c r="G61" s="313">
        <v>0.43089894553631297</v>
      </c>
      <c r="H61" s="313">
        <v>0.66653691588490227</v>
      </c>
      <c r="I61" s="312">
        <v>4.0760542429767385E-2</v>
      </c>
      <c r="J61" s="312">
        <v>0.1985988098435171</v>
      </c>
      <c r="K61" s="312">
        <v>1.9200000000000002E-2</v>
      </c>
      <c r="L61" s="312">
        <v>0.43846095917670846</v>
      </c>
      <c r="M61" s="312">
        <v>2.9034104703269403E-2</v>
      </c>
      <c r="N61" s="313">
        <v>0.38499021153035667</v>
      </c>
      <c r="O61" s="313">
        <v>4.3654784348990487</v>
      </c>
      <c r="P61" s="313">
        <v>11.886012377389731</v>
      </c>
      <c r="Q61" s="313">
        <v>22.257213209873189</v>
      </c>
      <c r="R61" s="313">
        <v>1.9013502632090518</v>
      </c>
      <c r="S61" s="313">
        <v>21.953539691815568</v>
      </c>
      <c r="T61" s="312">
        <v>2.5709267919529984E-2</v>
      </c>
      <c r="U61" s="312">
        <v>0.35107335678984564</v>
      </c>
      <c r="V61" s="312">
        <v>0.20554745056513421</v>
      </c>
      <c r="W61" s="312">
        <v>1.195335560604849</v>
      </c>
      <c r="X61" s="312">
        <v>7.6868186075376432E-2</v>
      </c>
      <c r="Y61" s="312">
        <v>0.87588612412849476</v>
      </c>
      <c r="Z61" s="312">
        <v>0.87588612412849476</v>
      </c>
      <c r="AA61" s="314">
        <v>0.19611736910155966</v>
      </c>
    </row>
    <row r="62" spans="1:27" ht="12.5">
      <c r="A62" s="311" t="s">
        <v>732</v>
      </c>
      <c r="B62" s="127">
        <v>93</v>
      </c>
      <c r="C62" s="312">
        <v>3.1650909090909091E-2</v>
      </c>
      <c r="D62" s="312">
        <v>0.21479103883077061</v>
      </c>
      <c r="E62" s="312">
        <v>9.8743875368423023E-2</v>
      </c>
      <c r="F62" s="312">
        <v>0.1813211341779995</v>
      </c>
      <c r="G62" s="313">
        <v>0.75268089182165343</v>
      </c>
      <c r="H62" s="313">
        <v>0.75722241098522591</v>
      </c>
      <c r="I62" s="312">
        <v>4.5040897798502663E-2</v>
      </c>
      <c r="J62" s="312">
        <v>0.67763412020990454</v>
      </c>
      <c r="K62" s="312">
        <v>4.0925000000000003E-2</v>
      </c>
      <c r="L62" s="312">
        <v>0.112623488142298</v>
      </c>
      <c r="M62" s="312">
        <v>4.3332889643497734E-2</v>
      </c>
      <c r="N62" s="313">
        <v>0.46131827015132543</v>
      </c>
      <c r="O62" s="313">
        <v>4.8166170023120944</v>
      </c>
      <c r="P62" s="313">
        <v>10.29895210389425</v>
      </c>
      <c r="Q62" s="313">
        <v>21.447009085372958</v>
      </c>
      <c r="R62" s="313">
        <v>2.1916210223327619</v>
      </c>
      <c r="S62" s="313">
        <v>86.454170201567749</v>
      </c>
      <c r="T62" s="312">
        <v>0.11992866477531236</v>
      </c>
      <c r="U62" s="312">
        <v>0.12997655288825916</v>
      </c>
      <c r="V62" s="312">
        <v>-8.1864633393163536E-2</v>
      </c>
      <c r="W62" s="312">
        <v>-0.44223774482057743</v>
      </c>
      <c r="X62" s="312">
        <v>8.2699163199042053E-2</v>
      </c>
      <c r="Y62" s="312">
        <v>0.3190804543851265</v>
      </c>
      <c r="Z62" s="312">
        <v>0.31908045438512644</v>
      </c>
      <c r="AA62" s="314">
        <v>0.21639308705395235</v>
      </c>
    </row>
    <row r="63" spans="1:27" ht="12.5">
      <c r="A63" s="311" t="s">
        <v>733</v>
      </c>
      <c r="B63" s="127">
        <v>29</v>
      </c>
      <c r="C63" s="312">
        <v>3.0811764705882326E-3</v>
      </c>
      <c r="D63" s="312">
        <v>5.6433989686274819E-2</v>
      </c>
      <c r="E63" s="312">
        <v>0.10481911231511697</v>
      </c>
      <c r="F63" s="312">
        <v>0.237931513509759</v>
      </c>
      <c r="G63" s="313">
        <v>1.1058928086855666</v>
      </c>
      <c r="H63" s="313">
        <v>1.4081707476360148</v>
      </c>
      <c r="I63" s="312">
        <v>7.5765659288419898E-2</v>
      </c>
      <c r="J63" s="312">
        <v>0.37469457859611055</v>
      </c>
      <c r="K63" s="312">
        <v>2.58E-2</v>
      </c>
      <c r="L63" s="312">
        <v>0.3506570567572469</v>
      </c>
      <c r="M63" s="312">
        <v>5.58021712060362E-2</v>
      </c>
      <c r="N63" s="313">
        <v>2.0940679220111589</v>
      </c>
      <c r="O63" s="313">
        <v>1.1672414575150774</v>
      </c>
      <c r="P63" s="313">
        <v>9.7685891595619463</v>
      </c>
      <c r="Q63" s="313">
        <v>21.764632043006802</v>
      </c>
      <c r="R63" s="313">
        <v>2.0728288706202052</v>
      </c>
      <c r="S63" s="313">
        <v>48.936283563714277</v>
      </c>
      <c r="T63" s="312">
        <v>0.11595179418705917</v>
      </c>
      <c r="U63" s="312">
        <v>2.6935334536692845E-2</v>
      </c>
      <c r="V63" s="312">
        <v>5.6288048002505545E-3</v>
      </c>
      <c r="W63" s="312">
        <v>-4.9119547429444022E-2</v>
      </c>
      <c r="X63" s="312">
        <v>-0.14184457993821981</v>
      </c>
      <c r="Y63" s="312">
        <v>5.4255396750000186E-3</v>
      </c>
      <c r="Z63" s="312">
        <v>5.4255396750000351E-3</v>
      </c>
      <c r="AA63" s="314">
        <v>5.3133700414144995E-2</v>
      </c>
    </row>
    <row r="64" spans="1:27" ht="12.5">
      <c r="A64" s="311" t="s">
        <v>734</v>
      </c>
      <c r="B64" s="127">
        <v>238</v>
      </c>
      <c r="C64" s="312">
        <v>6.808419354838717E-2</v>
      </c>
      <c r="D64" s="312">
        <v>0.23233180736213863</v>
      </c>
      <c r="E64" s="312">
        <v>2.0493526397506158E-2</v>
      </c>
      <c r="F64" s="312">
        <v>2.4742221389100028E-2</v>
      </c>
      <c r="G64" s="313">
        <v>0.79434176241562093</v>
      </c>
      <c r="H64" s="313">
        <v>1.2058791394920116</v>
      </c>
      <c r="I64" s="312">
        <v>6.6217495384022954E-2</v>
      </c>
      <c r="J64" s="312">
        <v>0.32404663855566707</v>
      </c>
      <c r="K64" s="312">
        <v>2.58E-2</v>
      </c>
      <c r="L64" s="312">
        <v>0.43415228137378137</v>
      </c>
      <c r="M64" s="312">
        <v>4.5645842763585347E-2</v>
      </c>
      <c r="N64" s="313">
        <v>0.10894301479869328</v>
      </c>
      <c r="O64" s="313">
        <v>12.853445702702684</v>
      </c>
      <c r="P64" s="313">
        <v>22.717249672863435</v>
      </c>
      <c r="Q64" s="313">
        <v>61.429724826063385</v>
      </c>
      <c r="R64" s="313">
        <v>2.1147543748611648</v>
      </c>
      <c r="S64" s="313">
        <v>62.999428661447418</v>
      </c>
      <c r="T64" s="312">
        <v>0.89650168063432811</v>
      </c>
      <c r="U64" s="312">
        <v>3.2383819583702858E-2</v>
      </c>
      <c r="V64" s="312">
        <v>-0.15306880511760745</v>
      </c>
      <c r="W64" s="312">
        <v>-0.75125791720008028</v>
      </c>
      <c r="X64" s="312">
        <v>2.1691376983900851E-2</v>
      </c>
      <c r="Y64" s="312">
        <v>4.3049264254942177</v>
      </c>
      <c r="Z64" s="312">
        <v>4.3049264254942177</v>
      </c>
      <c r="AA64" s="314">
        <v>0.19052205895653385</v>
      </c>
    </row>
    <row r="65" spans="1:27" ht="12.5">
      <c r="A65" s="311" t="s">
        <v>735</v>
      </c>
      <c r="B65" s="127">
        <v>25</v>
      </c>
      <c r="C65" s="312">
        <v>-0.19924799999999998</v>
      </c>
      <c r="D65" s="312">
        <v>-3.6384489715034919E-2</v>
      </c>
      <c r="E65" s="312">
        <v>-1.4133381657184096E-2</v>
      </c>
      <c r="F65" s="312">
        <v>0.27317073170731709</v>
      </c>
      <c r="G65" s="313">
        <v>0.56411584796804493</v>
      </c>
      <c r="H65" s="313">
        <v>0.8485468366232567</v>
      </c>
      <c r="I65" s="312">
        <v>4.9351410688617717E-2</v>
      </c>
      <c r="J65" s="312">
        <v>0.60695873454611438</v>
      </c>
      <c r="K65" s="312">
        <v>2.9980000000000003E-2</v>
      </c>
      <c r="L65" s="312">
        <v>0.48638568069384158</v>
      </c>
      <c r="M65" s="312">
        <v>3.5992336383890058E-2</v>
      </c>
      <c r="N65" s="313">
        <v>0.21705428819872297</v>
      </c>
      <c r="O65" s="313">
        <v>5.997432276524977</v>
      </c>
      <c r="P65" s="313">
        <v>47.574355721584382</v>
      </c>
      <c r="Q65" s="313" t="s">
        <v>99</v>
      </c>
      <c r="R65" s="313">
        <v>1.1875663171101498</v>
      </c>
      <c r="S65" s="313">
        <v>15.955592105263159</v>
      </c>
      <c r="T65" s="312">
        <v>-3.4129217043063889E-2</v>
      </c>
      <c r="U65" s="312">
        <v>0.33826843447784827</v>
      </c>
      <c r="V65" s="312">
        <v>0.21690308145710785</v>
      </c>
      <c r="W65" s="312" t="s">
        <v>99</v>
      </c>
      <c r="X65" s="312">
        <v>-1.2987379920889072E-3</v>
      </c>
      <c r="Y65" s="312">
        <v>0</v>
      </c>
      <c r="Z65" s="312">
        <v>0</v>
      </c>
      <c r="AA65" s="314">
        <v>-6.7020667474596257E-2</v>
      </c>
    </row>
    <row r="66" spans="1:27" ht="12.5">
      <c r="A66" s="311" t="s">
        <v>736</v>
      </c>
      <c r="B66" s="127">
        <v>11</v>
      </c>
      <c r="C66" s="312">
        <v>9.2042499999999999E-2</v>
      </c>
      <c r="D66" s="312">
        <v>6.9303753313799371E-2</v>
      </c>
      <c r="E66" s="312">
        <v>1.9559257752687621E-2</v>
      </c>
      <c r="F66" s="312">
        <v>0.18499999999999997</v>
      </c>
      <c r="G66" s="313">
        <v>0.75886639235394016</v>
      </c>
      <c r="H66" s="313">
        <v>0.78076847371442626</v>
      </c>
      <c r="I66" s="312">
        <v>4.6152271959320923E-2</v>
      </c>
      <c r="J66" s="312">
        <v>0.20993179354391503</v>
      </c>
      <c r="K66" s="312">
        <v>1.9200000000000002E-2</v>
      </c>
      <c r="L66" s="312">
        <v>0.22611863374459878</v>
      </c>
      <c r="M66" s="312">
        <v>3.8885662050234415E-2</v>
      </c>
      <c r="N66" s="313">
        <v>0.33115359281110035</v>
      </c>
      <c r="O66" s="313">
        <v>6.8144572719394834</v>
      </c>
      <c r="P66" s="313">
        <v>25.25416971536394</v>
      </c>
      <c r="Q66" s="313">
        <v>78.401285959932977</v>
      </c>
      <c r="R66" s="313">
        <v>1.1866321450440618</v>
      </c>
      <c r="S66" s="313">
        <v>52.413073487914708</v>
      </c>
      <c r="T66" s="312">
        <v>3.0100767406167162</v>
      </c>
      <c r="U66" s="312">
        <v>2.5730431142737549E-2</v>
      </c>
      <c r="V66" s="312">
        <v>-2.9910701827821965E-2</v>
      </c>
      <c r="W66" s="312">
        <v>4.9744398920298813</v>
      </c>
      <c r="X66" s="312">
        <v>2.0017463435931023E-2</v>
      </c>
      <c r="Y66" s="312">
        <v>0.67611777535441642</v>
      </c>
      <c r="Z66" s="312">
        <v>0.67611777535441642</v>
      </c>
      <c r="AA66" s="314">
        <v>6.3742841691355648E-2</v>
      </c>
    </row>
    <row r="67" spans="1:27" ht="12.5">
      <c r="A67" s="311" t="s">
        <v>737</v>
      </c>
      <c r="B67" s="127">
        <v>61</v>
      </c>
      <c r="C67" s="312">
        <v>2.0951249999999998E-2</v>
      </c>
      <c r="D67" s="312">
        <v>4.1314069988695017E-2</v>
      </c>
      <c r="E67" s="312">
        <v>7.9711332468772544E-2</v>
      </c>
      <c r="F67" s="312">
        <v>0.10487936387860981</v>
      </c>
      <c r="G67" s="313">
        <v>0.75588149918934744</v>
      </c>
      <c r="H67" s="313">
        <v>0.9208927333748228</v>
      </c>
      <c r="I67" s="312">
        <v>5.2766137015291634E-2</v>
      </c>
      <c r="J67" s="312">
        <v>0.34721661076275118</v>
      </c>
      <c r="K67" s="312">
        <v>2.58E-2</v>
      </c>
      <c r="L67" s="312">
        <v>0.28972378567559348</v>
      </c>
      <c r="M67" s="312">
        <v>4.2935189823158408E-2</v>
      </c>
      <c r="N67" s="313">
        <v>2.0466694347095413</v>
      </c>
      <c r="O67" s="313">
        <v>1.5620549062342843</v>
      </c>
      <c r="P67" s="313">
        <v>14.823666944541676</v>
      </c>
      <c r="Q67" s="313">
        <v>32.308078336473812</v>
      </c>
      <c r="R67" s="313">
        <v>3.2119688855140058</v>
      </c>
      <c r="S67" s="313">
        <v>56.828067786122666</v>
      </c>
      <c r="T67" s="312">
        <v>0.14007796721130611</v>
      </c>
      <c r="U67" s="312">
        <v>1.2178573466827854E-2</v>
      </c>
      <c r="V67" s="312">
        <v>-6.3576461763783796E-3</v>
      </c>
      <c r="W67" s="312">
        <v>-0.93677769636555686</v>
      </c>
      <c r="X67" s="312">
        <v>4.7133292079770781E-2</v>
      </c>
      <c r="Y67" s="312">
        <v>0.39081018245225269</v>
      </c>
      <c r="Z67" s="312">
        <v>0.39081018245225274</v>
      </c>
      <c r="AA67" s="314">
        <v>4.0708392406484474E-2</v>
      </c>
    </row>
    <row r="68" spans="1:27" ht="12.5">
      <c r="A68" s="311" t="s">
        <v>738</v>
      </c>
      <c r="B68" s="127">
        <v>69</v>
      </c>
      <c r="C68" s="312">
        <v>2.6224062499999999E-2</v>
      </c>
      <c r="D68" s="312">
        <v>6.8106734401567143E-2</v>
      </c>
      <c r="E68" s="312">
        <v>8.6520139931235238E-2</v>
      </c>
      <c r="F68" s="312">
        <v>0.22557740263103085</v>
      </c>
      <c r="G68" s="313">
        <v>0.77421948708534494</v>
      </c>
      <c r="H68" s="313">
        <v>0.86660497958902938</v>
      </c>
      <c r="I68" s="312">
        <v>5.0203755036602182E-2</v>
      </c>
      <c r="J68" s="312">
        <v>0.56399857639185591</v>
      </c>
      <c r="K68" s="312">
        <v>2.9980000000000003E-2</v>
      </c>
      <c r="L68" s="312">
        <v>0.19678085259101566</v>
      </c>
      <c r="M68" s="312">
        <v>4.4631244988524527E-2</v>
      </c>
      <c r="N68" s="313">
        <v>1.4245720046350399</v>
      </c>
      <c r="O68" s="313">
        <v>3.7330910404870941</v>
      </c>
      <c r="P68" s="313">
        <v>22.593235934486472</v>
      </c>
      <c r="Q68" s="313">
        <v>52.057461234948995</v>
      </c>
      <c r="R68" s="313">
        <v>10.37050813778886</v>
      </c>
      <c r="S68" s="313">
        <v>155.39430580205871</v>
      </c>
      <c r="T68" s="312">
        <v>0.1566398569548586</v>
      </c>
      <c r="U68" s="312">
        <v>4.5603247079010326E-2</v>
      </c>
      <c r="V68" s="312">
        <v>0.11377842440533756</v>
      </c>
      <c r="W68" s="312">
        <v>2.0677973858941097</v>
      </c>
      <c r="X68" s="312">
        <v>-7.1920265544044876E-2</v>
      </c>
      <c r="Y68" s="312">
        <v>7.0830936942906401E-3</v>
      </c>
      <c r="Z68" s="312">
        <v>7.0830936942906098E-3</v>
      </c>
      <c r="AA68" s="314">
        <v>6.442441565709045E-2</v>
      </c>
    </row>
    <row r="69" spans="1:27" ht="12.5">
      <c r="A69" s="311" t="s">
        <v>739</v>
      </c>
      <c r="B69" s="127">
        <v>2</v>
      </c>
      <c r="C69" s="312">
        <v>9.11E-2</v>
      </c>
      <c r="D69" s="312">
        <v>4.2692780607763922E-2</v>
      </c>
      <c r="E69" s="312">
        <v>3.7434277758313074E-2</v>
      </c>
      <c r="F69" s="312">
        <v>0.25144508670520233</v>
      </c>
      <c r="G69" s="313">
        <v>1.1287984344732374</v>
      </c>
      <c r="H69" s="313">
        <v>1.1625522840974329</v>
      </c>
      <c r="I69" s="312">
        <v>6.4172467809398837E-2</v>
      </c>
      <c r="J69" s="312">
        <v>0.252283349677488</v>
      </c>
      <c r="K69" s="312">
        <v>2.58E-2</v>
      </c>
      <c r="L69" s="312">
        <v>0.27807845312560953</v>
      </c>
      <c r="M69" s="312">
        <v>5.1564816813875966E-2</v>
      </c>
      <c r="N69" s="313">
        <v>1.0172373176751821</v>
      </c>
      <c r="O69" s="313">
        <v>0.80749707015112049</v>
      </c>
      <c r="P69" s="313">
        <v>12.924039416278688</v>
      </c>
      <c r="Q69" s="313">
        <v>19.184172065966298</v>
      </c>
      <c r="R69" s="313">
        <v>0.74902142212425116</v>
      </c>
      <c r="S69" s="313">
        <v>15.20057915057915</v>
      </c>
      <c r="T69" s="312">
        <v>-7.6027577727033169E-2</v>
      </c>
      <c r="U69" s="312">
        <v>2.9202529422097312E-3</v>
      </c>
      <c r="V69" s="312">
        <v>-9.8234674161250621E-3</v>
      </c>
      <c r="W69" s="312">
        <v>-0.17142292109247392</v>
      </c>
      <c r="X69" s="312">
        <v>2.4193706884691728E-2</v>
      </c>
      <c r="Y69" s="312">
        <v>0.36149471974004876</v>
      </c>
      <c r="Z69" s="312">
        <v>0.36149471974004876</v>
      </c>
      <c r="AA69" s="314">
        <v>4.2091838385022701E-2</v>
      </c>
    </row>
    <row r="70" spans="1:27" ht="12.5">
      <c r="A70" s="311" t="s">
        <v>740</v>
      </c>
      <c r="B70" s="127">
        <v>79</v>
      </c>
      <c r="C70" s="312">
        <v>8.3689361702127645E-3</v>
      </c>
      <c r="D70" s="312">
        <v>0.11362052797567285</v>
      </c>
      <c r="E70" s="312">
        <v>7.2401157514773648E-2</v>
      </c>
      <c r="F70" s="312">
        <v>0.18690061517325515</v>
      </c>
      <c r="G70" s="313">
        <v>1.1109354329268502</v>
      </c>
      <c r="H70" s="313">
        <v>1.3447999980982199</v>
      </c>
      <c r="I70" s="312">
        <v>7.2774559910235986E-2</v>
      </c>
      <c r="J70" s="312">
        <v>0.53625518686751139</v>
      </c>
      <c r="K70" s="312">
        <v>2.9980000000000003E-2</v>
      </c>
      <c r="L70" s="312">
        <v>0.25205862631121706</v>
      </c>
      <c r="M70" s="312">
        <v>5.9947508169130047E-2</v>
      </c>
      <c r="N70" s="313">
        <v>1.1412993265905524</v>
      </c>
      <c r="O70" s="313">
        <v>5.2680885093782539</v>
      </c>
      <c r="P70" s="313">
        <v>23.531642798240242</v>
      </c>
      <c r="Q70" s="313">
        <v>80.248550963463103</v>
      </c>
      <c r="R70" s="313" t="s">
        <v>99</v>
      </c>
      <c r="S70" s="313">
        <v>58.913182776746602</v>
      </c>
      <c r="T70" s="312">
        <v>2.8449815137323243E-2</v>
      </c>
      <c r="U70" s="312">
        <v>5.8222841973227538E-2</v>
      </c>
      <c r="V70" s="312">
        <v>2.4713858138244199E-2</v>
      </c>
      <c r="W70" s="312">
        <v>0.48715321107796872</v>
      </c>
      <c r="X70" s="312" t="s">
        <v>99</v>
      </c>
      <c r="Y70" s="312">
        <v>1.143323840028764</v>
      </c>
      <c r="Z70" s="312">
        <v>1.143323840028764</v>
      </c>
      <c r="AA70" s="314">
        <v>6.552930130985031E-2</v>
      </c>
    </row>
    <row r="71" spans="1:27" ht="12.5">
      <c r="A71" s="311" t="s">
        <v>741</v>
      </c>
      <c r="B71" s="127">
        <v>30</v>
      </c>
      <c r="C71" s="312">
        <v>3.197875E-2</v>
      </c>
      <c r="D71" s="312">
        <v>6.4289637210557471E-2</v>
      </c>
      <c r="E71" s="312">
        <v>0.10101677694275035</v>
      </c>
      <c r="F71" s="312">
        <v>0.2318203274186281</v>
      </c>
      <c r="G71" s="313">
        <v>0.98995492836964694</v>
      </c>
      <c r="H71" s="313">
        <v>1.2983003362585088</v>
      </c>
      <c r="I71" s="312">
        <v>7.0579775871401615E-2</v>
      </c>
      <c r="J71" s="312">
        <v>0.42818769334060935</v>
      </c>
      <c r="K71" s="312">
        <v>2.9980000000000003E-2</v>
      </c>
      <c r="L71" s="312">
        <v>0.3320585102931527</v>
      </c>
      <c r="M71" s="312">
        <v>5.4410393959889156E-2</v>
      </c>
      <c r="N71" s="313">
        <v>2.0854857642689666</v>
      </c>
      <c r="O71" s="313">
        <v>1.2354713774059443</v>
      </c>
      <c r="P71" s="313">
        <v>11.562920284920681</v>
      </c>
      <c r="Q71" s="313">
        <v>19.837016676554224</v>
      </c>
      <c r="R71" s="313">
        <v>5.9878888413419507</v>
      </c>
      <c r="S71" s="313">
        <v>17.520871329775961</v>
      </c>
      <c r="T71" s="312">
        <v>0.10951001226456983</v>
      </c>
      <c r="U71" s="312">
        <v>1.8102295966422211E-2</v>
      </c>
      <c r="V71" s="312">
        <v>1.7203559314504849E-2</v>
      </c>
      <c r="W71" s="312">
        <v>-0.23160788717362138</v>
      </c>
      <c r="X71" s="312">
        <v>0.36275557642954948</v>
      </c>
      <c r="Y71" s="312">
        <v>3.723462603920915E-2</v>
      </c>
      <c r="Z71" s="312">
        <v>3.7234626039209129E-2</v>
      </c>
      <c r="AA71" s="314">
        <v>5.4824762680080623E-2</v>
      </c>
    </row>
    <row r="72" spans="1:27" ht="12.5">
      <c r="A72" s="311" t="s">
        <v>742</v>
      </c>
      <c r="B72" s="127">
        <v>15</v>
      </c>
      <c r="C72" s="312">
        <v>6.4169166666666666E-2</v>
      </c>
      <c r="D72" s="312">
        <v>0.12788520167560441</v>
      </c>
      <c r="E72" s="312">
        <v>0.37473666366176334</v>
      </c>
      <c r="F72" s="312">
        <v>0.23936075728833486</v>
      </c>
      <c r="G72" s="313">
        <v>1.4364527693272269</v>
      </c>
      <c r="H72" s="313">
        <v>1.5448319293271313</v>
      </c>
      <c r="I72" s="312">
        <v>8.2216067064240603E-2</v>
      </c>
      <c r="J72" s="312">
        <v>0.40603906809638701</v>
      </c>
      <c r="K72" s="312">
        <v>2.9980000000000003E-2</v>
      </c>
      <c r="L72" s="312">
        <v>0.15314560322006773</v>
      </c>
      <c r="M72" s="312">
        <v>7.2976690664018407E-2</v>
      </c>
      <c r="N72" s="313">
        <v>3.4633208322498397</v>
      </c>
      <c r="O72" s="313">
        <v>2.0622277256162804</v>
      </c>
      <c r="P72" s="313">
        <v>12.587836152496534</v>
      </c>
      <c r="Q72" s="313">
        <v>16.492777890733734</v>
      </c>
      <c r="R72" s="313">
        <v>40.067052559766651</v>
      </c>
      <c r="S72" s="313">
        <v>140.10936326540158</v>
      </c>
      <c r="T72" s="312">
        <v>4.4594775385069403E-2</v>
      </c>
      <c r="U72" s="312">
        <v>2.0684112057608384E-2</v>
      </c>
      <c r="V72" s="312">
        <v>2.0227784508702832E-3</v>
      </c>
      <c r="W72" s="312">
        <v>-0.26454073195651945</v>
      </c>
      <c r="X72" s="312">
        <v>2.686575363030675E-3</v>
      </c>
      <c r="Y72" s="312">
        <v>0.45505512006155618</v>
      </c>
      <c r="Z72" s="312">
        <v>0.45505512006155624</v>
      </c>
      <c r="AA72" s="314">
        <v>0.12505116505894562</v>
      </c>
    </row>
    <row r="73" spans="1:27" ht="12.5">
      <c r="A73" s="311" t="s">
        <v>743</v>
      </c>
      <c r="B73" s="127">
        <v>85</v>
      </c>
      <c r="C73" s="312">
        <v>4.6722708333333321E-2</v>
      </c>
      <c r="D73" s="312">
        <v>7.6995241319133698E-2</v>
      </c>
      <c r="E73" s="312">
        <v>0.11673794881176164</v>
      </c>
      <c r="F73" s="312">
        <v>0.25020494886257216</v>
      </c>
      <c r="G73" s="313">
        <v>0.75449309625563588</v>
      </c>
      <c r="H73" s="313">
        <v>0.97096425188941826</v>
      </c>
      <c r="I73" s="312">
        <v>5.5129512689180538E-2</v>
      </c>
      <c r="J73" s="312">
        <v>0.41974260521720291</v>
      </c>
      <c r="K73" s="312">
        <v>2.9980000000000003E-2</v>
      </c>
      <c r="L73" s="312">
        <v>0.31383121292981025</v>
      </c>
      <c r="M73" s="312">
        <v>4.4696472481159717E-2</v>
      </c>
      <c r="N73" s="313">
        <v>1.6830973049227915</v>
      </c>
      <c r="O73" s="313">
        <v>1.4939726023257278</v>
      </c>
      <c r="P73" s="313">
        <v>13.87615007968248</v>
      </c>
      <c r="Q73" s="313">
        <v>18.778751898007332</v>
      </c>
      <c r="R73" s="313">
        <v>3.3874229957444038</v>
      </c>
      <c r="S73" s="313">
        <v>138.4448999428416</v>
      </c>
      <c r="T73" s="312">
        <v>0.15537128690004551</v>
      </c>
      <c r="U73" s="312">
        <v>3.6818384306778341E-2</v>
      </c>
      <c r="V73" s="312">
        <v>5.0780477336164566E-2</v>
      </c>
      <c r="W73" s="312">
        <v>0.63113877989330724</v>
      </c>
      <c r="X73" s="312">
        <v>9.6715449262605488E-2</v>
      </c>
      <c r="Y73" s="312">
        <v>0.52365958147211733</v>
      </c>
      <c r="Z73" s="312">
        <v>0.52365958147211733</v>
      </c>
      <c r="AA73" s="314">
        <v>7.9007416643132877E-2</v>
      </c>
    </row>
    <row r="74" spans="1:27" ht="12.5">
      <c r="A74" s="311" t="s">
        <v>744</v>
      </c>
      <c r="B74" s="127">
        <v>17</v>
      </c>
      <c r="C74" s="312">
        <v>2.4121428571428565E-2</v>
      </c>
      <c r="D74" s="312">
        <v>4.6295710867184911E-2</v>
      </c>
      <c r="E74" s="312">
        <v>0.14673499048151145</v>
      </c>
      <c r="F74" s="312">
        <v>0.24420249386604162</v>
      </c>
      <c r="G74" s="313">
        <v>0.8158161595249539</v>
      </c>
      <c r="H74" s="313">
        <v>0.89897819867715811</v>
      </c>
      <c r="I74" s="312">
        <v>5.1731770977561861E-2</v>
      </c>
      <c r="J74" s="312">
        <v>0.38910866422167528</v>
      </c>
      <c r="K74" s="312">
        <v>2.58E-2</v>
      </c>
      <c r="L74" s="312">
        <v>0.17589407943441762</v>
      </c>
      <c r="M74" s="312">
        <v>4.5945247836019318E-2</v>
      </c>
      <c r="N74" s="313">
        <v>4.0972805811128481</v>
      </c>
      <c r="O74" s="313">
        <v>0.9340125081690106</v>
      </c>
      <c r="P74" s="313">
        <v>12.294282269885292</v>
      </c>
      <c r="Q74" s="313">
        <v>22.811510729590694</v>
      </c>
      <c r="R74" s="313">
        <v>5.4346085713299237</v>
      </c>
      <c r="S74" s="313">
        <v>22.701744745699372</v>
      </c>
      <c r="T74" s="312">
        <v>5.8014148464668775E-4</v>
      </c>
      <c r="U74" s="312">
        <v>2.0052800278028426E-2</v>
      </c>
      <c r="V74" s="312">
        <v>2.2870350403747554E-4</v>
      </c>
      <c r="W74" s="312">
        <v>-0.42799778712423159</v>
      </c>
      <c r="X74" s="312">
        <v>0.20640612917682921</v>
      </c>
      <c r="Y74" s="312">
        <v>0.36119871746793664</v>
      </c>
      <c r="Z74" s="312">
        <v>0.36119871746793664</v>
      </c>
      <c r="AA74" s="314">
        <v>4.0922063266365161E-2</v>
      </c>
    </row>
    <row r="75" spans="1:27" ht="12.5">
      <c r="A75" s="311" t="s">
        <v>745</v>
      </c>
      <c r="B75" s="127">
        <v>14</v>
      </c>
      <c r="C75" s="312">
        <v>6.2785714285714292E-2</v>
      </c>
      <c r="D75" s="312">
        <v>3.4779444708806617E-2</v>
      </c>
      <c r="E75" s="312">
        <v>9.6279911039397675E-2</v>
      </c>
      <c r="F75" s="312">
        <v>0.23434607862763521</v>
      </c>
      <c r="G75" s="313">
        <v>0.1522248643717008</v>
      </c>
      <c r="H75" s="313">
        <v>0.24210864998201992</v>
      </c>
      <c r="I75" s="312">
        <v>2.0727528279151339E-2</v>
      </c>
      <c r="J75" s="312">
        <v>0.37718928732646201</v>
      </c>
      <c r="K75" s="312">
        <v>2.58E-2</v>
      </c>
      <c r="L75" s="312">
        <v>0.48543831871077164</v>
      </c>
      <c r="M75" s="312">
        <v>1.9808337094888814E-2</v>
      </c>
      <c r="N75" s="313">
        <v>4.1134268219238068</v>
      </c>
      <c r="O75" s="313">
        <v>0.38776793300135814</v>
      </c>
      <c r="P75" s="313">
        <v>5.7468993960427213</v>
      </c>
      <c r="Q75" s="313">
        <v>14.309495478867953</v>
      </c>
      <c r="R75" s="313">
        <v>2.5056801114773628</v>
      </c>
      <c r="S75" s="313">
        <v>14.413462025265975</v>
      </c>
      <c r="T75" s="312">
        <v>-1.9838027348915957E-3</v>
      </c>
      <c r="U75" s="312">
        <v>2.2882199540951748E-2</v>
      </c>
      <c r="V75" s="312">
        <v>1.1046969695747576E-3</v>
      </c>
      <c r="W75" s="312">
        <v>-0.14716520493103935</v>
      </c>
      <c r="X75" s="312">
        <v>0.30626515873294846</v>
      </c>
      <c r="Y75" s="312">
        <v>0.12848662715142539</v>
      </c>
      <c r="Z75" s="312">
        <v>0.12848662715142534</v>
      </c>
      <c r="AA75" s="314">
        <v>2.7066363205398937E-2</v>
      </c>
    </row>
    <row r="76" spans="1:27" ht="12.5">
      <c r="A76" s="311" t="s">
        <v>746</v>
      </c>
      <c r="B76" s="127">
        <v>75</v>
      </c>
      <c r="C76" s="312">
        <v>9.2834137931034511E-2</v>
      </c>
      <c r="D76" s="312">
        <v>5.7372759382091278E-2</v>
      </c>
      <c r="E76" s="312">
        <v>0.11041784163396202</v>
      </c>
      <c r="F76" s="312">
        <v>0.16129555163492154</v>
      </c>
      <c r="G76" s="313">
        <v>1.1376905330729945</v>
      </c>
      <c r="H76" s="313">
        <v>1.1641204247505164</v>
      </c>
      <c r="I76" s="312">
        <v>6.4246484048224375E-2</v>
      </c>
      <c r="J76" s="312">
        <v>0.5286592105592185</v>
      </c>
      <c r="K76" s="312">
        <v>2.9980000000000003E-2</v>
      </c>
      <c r="L76" s="312">
        <v>6.6688996192631633E-2</v>
      </c>
      <c r="M76" s="312">
        <v>6.1421465875416595E-2</v>
      </c>
      <c r="N76" s="313">
        <v>1.800799944356819</v>
      </c>
      <c r="O76" s="313">
        <v>4.706890357997243</v>
      </c>
      <c r="P76" s="313">
        <v>33.186332533470555</v>
      </c>
      <c r="Q76" s="313">
        <v>83.834248001141233</v>
      </c>
      <c r="R76" s="313">
        <v>18.624375683722551</v>
      </c>
      <c r="S76" s="313">
        <v>131.27291479009298</v>
      </c>
      <c r="T76" s="312">
        <v>-3.6977265241939838E-2</v>
      </c>
      <c r="U76" s="312">
        <v>7.7245105753089294E-2</v>
      </c>
      <c r="V76" s="312">
        <v>3.5451473830388706E-2</v>
      </c>
      <c r="W76" s="312">
        <v>0.55368646919442088</v>
      </c>
      <c r="X76" s="312">
        <v>0.27054629081222981</v>
      </c>
      <c r="Y76" s="312">
        <v>5.6606717324238713E-2</v>
      </c>
      <c r="Z76" s="312">
        <v>5.660671732423872E-2</v>
      </c>
      <c r="AA76" s="314">
        <v>6.2852935955527836E-2</v>
      </c>
    </row>
    <row r="77" spans="1:27" ht="12.5">
      <c r="A77" s="311" t="s">
        <v>747</v>
      </c>
      <c r="B77" s="127">
        <v>85</v>
      </c>
      <c r="C77" s="312">
        <v>5.5705714285714282E-2</v>
      </c>
      <c r="D77" s="312">
        <v>2.8917338857007716E-2</v>
      </c>
      <c r="E77" s="312">
        <v>5.2896334413657438E-2</v>
      </c>
      <c r="F77" s="312">
        <v>0.24552721852134185</v>
      </c>
      <c r="G77" s="313">
        <v>1.0368527310405244</v>
      </c>
      <c r="H77" s="313">
        <v>1.2820025541587099</v>
      </c>
      <c r="I77" s="312">
        <v>6.9810520556291111E-2</v>
      </c>
      <c r="J77" s="312">
        <v>0.49009457304730047</v>
      </c>
      <c r="K77" s="312">
        <v>2.9980000000000003E-2</v>
      </c>
      <c r="L77" s="312">
        <v>0.32550445482921975</v>
      </c>
      <c r="M77" s="312">
        <v>5.4210680316990945E-2</v>
      </c>
      <c r="N77" s="313">
        <v>2.294482687456437</v>
      </c>
      <c r="O77" s="313">
        <v>1.1005434739152702</v>
      </c>
      <c r="P77" s="313">
        <v>11.399676175611779</v>
      </c>
      <c r="Q77" s="313">
        <v>43.753030514934892</v>
      </c>
      <c r="R77" s="313">
        <v>5.5134424211860349</v>
      </c>
      <c r="S77" s="313">
        <v>55.991884110178958</v>
      </c>
      <c r="T77" s="312">
        <v>4.7494439458487206E-2</v>
      </c>
      <c r="U77" s="312">
        <v>1.7848599906423814E-2</v>
      </c>
      <c r="V77" s="312">
        <v>5.0425815744955832E-4</v>
      </c>
      <c r="W77" s="312">
        <v>-1.7933947942274442</v>
      </c>
      <c r="X77" s="312">
        <v>-6.4035840075275909E-3</v>
      </c>
      <c r="Y77" s="312">
        <v>3.1960871250854409E-3</v>
      </c>
      <c r="Z77" s="312">
        <v>3.1960871250854561E-3</v>
      </c>
      <c r="AA77" s="314">
        <v>2.5064988173618206E-2</v>
      </c>
    </row>
    <row r="78" spans="1:27" ht="12.5">
      <c r="A78" s="311" t="s">
        <v>748</v>
      </c>
      <c r="B78" s="127">
        <v>3</v>
      </c>
      <c r="C78" s="312">
        <v>-4.2133333333333335E-2</v>
      </c>
      <c r="D78" s="312">
        <v>-4.9664958348436608E-3</v>
      </c>
      <c r="E78" s="312">
        <v>1.0380134134452082E-4</v>
      </c>
      <c r="F78" s="312">
        <v>0.15903459134450276</v>
      </c>
      <c r="G78" s="313">
        <v>0.54799639856468163</v>
      </c>
      <c r="H78" s="313">
        <v>1.0939555482653982</v>
      </c>
      <c r="I78" s="312">
        <v>6.0934701878126787E-2</v>
      </c>
      <c r="J78" s="312">
        <v>0.43827239010407376</v>
      </c>
      <c r="K78" s="312">
        <v>2.9980000000000003E-2</v>
      </c>
      <c r="L78" s="312">
        <v>0.63623408248017566</v>
      </c>
      <c r="M78" s="312">
        <v>3.6090205126205394E-2</v>
      </c>
      <c r="N78" s="313">
        <v>1.0683496657652694</v>
      </c>
      <c r="O78" s="313">
        <v>0.74063296455059391</v>
      </c>
      <c r="P78" s="313">
        <v>9.8411681981767494</v>
      </c>
      <c r="Q78" s="313" t="s">
        <v>99</v>
      </c>
      <c r="R78" s="313">
        <v>1.044917656279905</v>
      </c>
      <c r="S78" s="313">
        <v>24.892802164704982</v>
      </c>
      <c r="T78" s="312">
        <v>0.13627166748967001</v>
      </c>
      <c r="U78" s="312">
        <v>5.6250816582367448E-2</v>
      </c>
      <c r="V78" s="312">
        <v>-5.3268306017885516E-3</v>
      </c>
      <c r="W78" s="312" t="s">
        <v>99</v>
      </c>
      <c r="X78" s="312">
        <v>-0.25686361110008338</v>
      </c>
      <c r="Y78" s="312">
        <v>6.7584881486226777E-4</v>
      </c>
      <c r="Z78" s="312">
        <v>6.7584881486226767E-4</v>
      </c>
      <c r="AA78" s="314">
        <v>8.4711470916790002E-5</v>
      </c>
    </row>
    <row r="79" spans="1:27" ht="12.5">
      <c r="A79" s="311" t="s">
        <v>749</v>
      </c>
      <c r="B79" s="127">
        <v>70</v>
      </c>
      <c r="C79" s="312">
        <v>3.7705208333333323E-2</v>
      </c>
      <c r="D79" s="312">
        <v>0.24090189851762001</v>
      </c>
      <c r="E79" s="312">
        <v>0.17390673660088912</v>
      </c>
      <c r="F79" s="312">
        <v>0.10767179368946722</v>
      </c>
      <c r="G79" s="313">
        <v>0.96170327051580207</v>
      </c>
      <c r="H79" s="313">
        <v>1.0019932071355018</v>
      </c>
      <c r="I79" s="312">
        <v>5.6594079376795683E-2</v>
      </c>
      <c r="J79" s="312">
        <v>0.37255273863798521</v>
      </c>
      <c r="K79" s="312">
        <v>2.58E-2</v>
      </c>
      <c r="L79" s="312">
        <v>8.8512290348895808E-2</v>
      </c>
      <c r="M79" s="312">
        <v>5.3251848267399392E-2</v>
      </c>
      <c r="N79" s="313">
        <v>0.7480023912643442</v>
      </c>
      <c r="O79" s="313">
        <v>7.1590845870761628</v>
      </c>
      <c r="P79" s="313">
        <v>18.043377965076608</v>
      </c>
      <c r="Q79" s="313">
        <v>29.301109086416297</v>
      </c>
      <c r="R79" s="313">
        <v>6.8747247903342048</v>
      </c>
      <c r="S79" s="313">
        <v>726.52219693530583</v>
      </c>
      <c r="T79" s="312">
        <v>0.17435415119284708</v>
      </c>
      <c r="U79" s="312">
        <v>0.12761336836612591</v>
      </c>
      <c r="V79" s="312">
        <v>0.1606080271258418</v>
      </c>
      <c r="W79" s="312">
        <v>0.79832818403484462</v>
      </c>
      <c r="X79" s="312">
        <v>0.22132843436176297</v>
      </c>
      <c r="Y79" s="312">
        <v>0.42101889794196617</v>
      </c>
      <c r="Z79" s="312">
        <v>0.42101889794196623</v>
      </c>
      <c r="AA79" s="314">
        <v>0.24792674895127001</v>
      </c>
    </row>
    <row r="80" spans="1:27" ht="12.5">
      <c r="A80" s="311" t="s">
        <v>750</v>
      </c>
      <c r="B80" s="127">
        <v>40</v>
      </c>
      <c r="C80" s="312">
        <v>8.4924999999999973E-2</v>
      </c>
      <c r="D80" s="312">
        <v>0.22214383974230267</v>
      </c>
      <c r="E80" s="312">
        <v>0.27892537443467325</v>
      </c>
      <c r="F80" s="312">
        <v>0.1283245337282424</v>
      </c>
      <c r="G80" s="313">
        <v>1.0688501095696221</v>
      </c>
      <c r="H80" s="313">
        <v>1.0703806513615421</v>
      </c>
      <c r="I80" s="312">
        <v>5.9821966744264793E-2</v>
      </c>
      <c r="J80" s="312">
        <v>0.35905521681427532</v>
      </c>
      <c r="K80" s="312">
        <v>2.58E-2</v>
      </c>
      <c r="L80" s="312">
        <v>7.4357671918065346E-2</v>
      </c>
      <c r="M80" s="312">
        <v>5.6774196960506181E-2</v>
      </c>
      <c r="N80" s="313">
        <v>1.2955167484418966</v>
      </c>
      <c r="O80" s="313">
        <v>5.1438517688976919</v>
      </c>
      <c r="P80" s="313">
        <v>18.692654437299094</v>
      </c>
      <c r="Q80" s="313">
        <v>22.856391580514028</v>
      </c>
      <c r="R80" s="313">
        <v>7.8717905246460385</v>
      </c>
      <c r="S80" s="313">
        <v>55.871007175483264</v>
      </c>
      <c r="T80" s="312">
        <v>0.27818447663763024</v>
      </c>
      <c r="U80" s="312">
        <v>3.7117231234130667E-2</v>
      </c>
      <c r="V80" s="312">
        <v>1.1627942992143444E-2</v>
      </c>
      <c r="W80" s="312">
        <v>0.2859438641860631</v>
      </c>
      <c r="X80" s="312">
        <v>0.32234700585446124</v>
      </c>
      <c r="Y80" s="312">
        <v>0.23308749981213911</v>
      </c>
      <c r="Z80" s="312">
        <v>0.23308749981213905</v>
      </c>
      <c r="AA80" s="314">
        <v>0.231831627226387</v>
      </c>
    </row>
    <row r="81" spans="1:27" ht="12.5">
      <c r="A81" s="311" t="s">
        <v>751</v>
      </c>
      <c r="B81" s="127">
        <v>11</v>
      </c>
      <c r="C81" s="312">
        <v>3.1014285714285713E-2</v>
      </c>
      <c r="D81" s="312">
        <v>5.1113434544620161E-2</v>
      </c>
      <c r="E81" s="312">
        <v>3.7414109312367563E-2</v>
      </c>
      <c r="F81" s="312">
        <v>0.2439167399589563</v>
      </c>
      <c r="G81" s="313">
        <v>0.74411575199704472</v>
      </c>
      <c r="H81" s="313">
        <v>1.035148855900927</v>
      </c>
      <c r="I81" s="312">
        <v>5.8159025998523753E-2</v>
      </c>
      <c r="J81" s="312">
        <v>0.29830196285017457</v>
      </c>
      <c r="K81" s="312">
        <v>2.58E-2</v>
      </c>
      <c r="L81" s="312">
        <v>0.38330558536377457</v>
      </c>
      <c r="M81" s="312">
        <v>4.308552388871395E-2</v>
      </c>
      <c r="N81" s="313">
        <v>0.67617894074980467</v>
      </c>
      <c r="O81" s="313">
        <v>1.7395230517207627</v>
      </c>
      <c r="P81" s="313">
        <v>10.668320496769473</v>
      </c>
      <c r="Q81" s="313">
        <v>30.643960861814708</v>
      </c>
      <c r="R81" s="313">
        <v>1.1313888455192476</v>
      </c>
      <c r="S81" s="313">
        <v>49.987186364820744</v>
      </c>
      <c r="T81" s="312">
        <v>8.5723657546927276E-2</v>
      </c>
      <c r="U81" s="312">
        <v>9.7284894475642564E-2</v>
      </c>
      <c r="V81" s="312">
        <v>7.1007492284571178E-2</v>
      </c>
      <c r="W81" s="312">
        <v>1.2447679087535939</v>
      </c>
      <c r="X81" s="312">
        <v>-5.6970519840972178E-2</v>
      </c>
      <c r="Y81" s="312">
        <v>1.5678310316815599E-3</v>
      </c>
      <c r="Z81" s="312">
        <v>1.5678310316815658E-3</v>
      </c>
      <c r="AA81" s="314">
        <v>5.6632046024762447E-2</v>
      </c>
    </row>
    <row r="82" spans="1:27" ht="12.5">
      <c r="A82" s="311" t="s">
        <v>752</v>
      </c>
      <c r="B82" s="127">
        <v>11</v>
      </c>
      <c r="C82" s="312">
        <v>-1.1125000000000006E-3</v>
      </c>
      <c r="D82" s="312">
        <v>9.2155065647776271E-2</v>
      </c>
      <c r="E82" s="312">
        <v>0.20895913003172306</v>
      </c>
      <c r="F82" s="312">
        <v>0.13438008307011218</v>
      </c>
      <c r="G82" s="313">
        <v>0.978275005705732</v>
      </c>
      <c r="H82" s="313">
        <v>0.98320921840400222</v>
      </c>
      <c r="I82" s="312">
        <v>5.57074751086689E-2</v>
      </c>
      <c r="J82" s="312">
        <v>0.31504947071599709</v>
      </c>
      <c r="K82" s="312">
        <v>2.58E-2</v>
      </c>
      <c r="L82" s="312">
        <v>6.4293070805614666E-2</v>
      </c>
      <c r="M82" s="312">
        <v>5.3336766162658179E-2</v>
      </c>
      <c r="N82" s="313">
        <v>2.5047178788505673</v>
      </c>
      <c r="O82" s="313">
        <v>5.0458322546184595</v>
      </c>
      <c r="P82" s="313">
        <v>35.832925338054658</v>
      </c>
      <c r="Q82" s="313">
        <v>56.487971693198233</v>
      </c>
      <c r="R82" s="313">
        <v>14.870008712382473</v>
      </c>
      <c r="S82" s="313">
        <v>46.18128726931203</v>
      </c>
      <c r="T82" s="312">
        <v>0.20382738278043069</v>
      </c>
      <c r="U82" s="312">
        <v>7.6179120775448673E-3</v>
      </c>
      <c r="V82" s="312">
        <v>-2.1254624249029949E-2</v>
      </c>
      <c r="W82" s="312">
        <v>-0.30661254345367106</v>
      </c>
      <c r="X82" s="312">
        <v>0.23700994672881648</v>
      </c>
      <c r="Y82" s="312">
        <v>0.48274925554409281</v>
      </c>
      <c r="Z82" s="312">
        <v>0.48274925554409287</v>
      </c>
      <c r="AA82" s="314">
        <v>8.9345350822231981E-2</v>
      </c>
    </row>
    <row r="83" spans="1:27" ht="12.5">
      <c r="A83" s="311" t="s">
        <v>753</v>
      </c>
      <c r="B83" s="127">
        <v>101</v>
      </c>
      <c r="C83" s="312">
        <v>-4.1290476190476121E-3</v>
      </c>
      <c r="D83" s="312">
        <v>0.20610436169824337</v>
      </c>
      <c r="E83" s="312">
        <v>0.14733514240062395</v>
      </c>
      <c r="F83" s="312">
        <v>0.12015444977232942</v>
      </c>
      <c r="G83" s="313">
        <v>0.95954502502391559</v>
      </c>
      <c r="H83" s="313">
        <v>0.95869522130184004</v>
      </c>
      <c r="I83" s="312">
        <v>5.4550414445446851E-2</v>
      </c>
      <c r="J83" s="312">
        <v>0.62614076427444454</v>
      </c>
      <c r="K83" s="312">
        <v>2.9980000000000003E-2</v>
      </c>
      <c r="L83" s="312">
        <v>2.5492110851799844E-2</v>
      </c>
      <c r="M83" s="312">
        <v>5.3717714276227881E-2</v>
      </c>
      <c r="N83" s="313">
        <v>0.67962241763856612</v>
      </c>
      <c r="O83" s="313">
        <v>8.1627602634263159</v>
      </c>
      <c r="P83" s="313">
        <v>25.090060525473032</v>
      </c>
      <c r="Q83" s="313">
        <v>38.042802515274332</v>
      </c>
      <c r="R83" s="313">
        <v>6.2332605322486296</v>
      </c>
      <c r="S83" s="313">
        <v>157.38488806622505</v>
      </c>
      <c r="T83" s="312">
        <v>5.4058217694795588E-2</v>
      </c>
      <c r="U83" s="312">
        <v>0.14038188523708567</v>
      </c>
      <c r="V83" s="312">
        <v>9.9365057264658149E-2</v>
      </c>
      <c r="W83" s="312">
        <v>0.67796023252177173</v>
      </c>
      <c r="X83" s="312">
        <v>0.17714237086811832</v>
      </c>
      <c r="Y83" s="312">
        <v>2.6307825084575299E-3</v>
      </c>
      <c r="Z83" s="312">
        <v>2.6307825084574965E-3</v>
      </c>
      <c r="AA83" s="314">
        <v>0.21793855131962409</v>
      </c>
    </row>
    <row r="84" spans="1:27" ht="12.5">
      <c r="A84" s="311" t="s">
        <v>754</v>
      </c>
      <c r="B84" s="127">
        <v>36</v>
      </c>
      <c r="C84" s="312">
        <v>0.19335999999999998</v>
      </c>
      <c r="D84" s="312">
        <v>5.0594389689158463E-2</v>
      </c>
      <c r="E84" s="312">
        <v>6.6577543017666024E-2</v>
      </c>
      <c r="F84" s="312">
        <v>5.9713980813176741E-2</v>
      </c>
      <c r="G84" s="313">
        <v>0.74898294638115781</v>
      </c>
      <c r="H84" s="313">
        <v>0.77312978172487734</v>
      </c>
      <c r="I84" s="312">
        <v>4.5791725697414215E-2</v>
      </c>
      <c r="J84" s="312">
        <v>0.32725130712188061</v>
      </c>
      <c r="K84" s="312">
        <v>2.58E-2</v>
      </c>
      <c r="L84" s="312">
        <v>8.1145704834729326E-2</v>
      </c>
      <c r="M84" s="312">
        <v>4.3604222044956245E-2</v>
      </c>
      <c r="N84" s="313">
        <v>1.0056969705736849</v>
      </c>
      <c r="O84" s="313">
        <v>15.670513651651863</v>
      </c>
      <c r="P84" s="313">
        <v>19.20812597236386</v>
      </c>
      <c r="Q84" s="313">
        <v>95.438933520365097</v>
      </c>
      <c r="R84" s="313">
        <v>15.18744917520298</v>
      </c>
      <c r="S84" s="313">
        <v>67.888620201828758</v>
      </c>
      <c r="T84" s="312">
        <v>0.10575986297138683</v>
      </c>
      <c r="U84" s="312">
        <v>7.8989863252183184E-2</v>
      </c>
      <c r="V84" s="312">
        <v>6.9501945918625185E-2</v>
      </c>
      <c r="W84" s="312">
        <v>2.1723853476849091</v>
      </c>
      <c r="X84" s="312">
        <v>-0.11228566914958794</v>
      </c>
      <c r="Y84" s="312">
        <v>1.7811704834605599E-3</v>
      </c>
      <c r="Z84" s="312">
        <v>1.7811704834606035E-3</v>
      </c>
      <c r="AA84" s="314">
        <v>6.7784277223050943E-2</v>
      </c>
    </row>
    <row r="85" spans="1:27" ht="12.5">
      <c r="A85" s="311" t="s">
        <v>755</v>
      </c>
      <c r="B85" s="127">
        <v>388</v>
      </c>
      <c r="C85" s="312">
        <v>0.18927503401360543</v>
      </c>
      <c r="D85" s="312">
        <v>0.23304335184880492</v>
      </c>
      <c r="E85" s="312">
        <v>0.22277139598413231</v>
      </c>
      <c r="F85" s="312">
        <v>0.14135251695865048</v>
      </c>
      <c r="G85" s="313">
        <v>0.89400941477803386</v>
      </c>
      <c r="H85" s="313">
        <v>0.91168721295005339</v>
      </c>
      <c r="I85" s="312">
        <v>5.2331636451242516E-2</v>
      </c>
      <c r="J85" s="312">
        <v>0.47970590019284548</v>
      </c>
      <c r="K85" s="312">
        <v>2.9980000000000003E-2</v>
      </c>
      <c r="L85" s="312">
        <v>6.1498960853356731E-2</v>
      </c>
      <c r="M85" s="312">
        <v>5.0459224547595508E-2</v>
      </c>
      <c r="N85" s="313">
        <v>0.91830981240800669</v>
      </c>
      <c r="O85" s="313">
        <v>11.823495715635733</v>
      </c>
      <c r="P85" s="313">
        <v>30.423805681689416</v>
      </c>
      <c r="Q85" s="313">
        <v>43.934979084480268</v>
      </c>
      <c r="R85" s="313">
        <v>14.073826222631265</v>
      </c>
      <c r="S85" s="313">
        <v>148.99150403292035</v>
      </c>
      <c r="T85" s="312">
        <v>0.13148461542558323</v>
      </c>
      <c r="U85" s="312">
        <v>6.8036838833674437E-2</v>
      </c>
      <c r="V85" s="312">
        <v>5.5987028224454942E-2</v>
      </c>
      <c r="W85" s="312">
        <v>0.33689033745131231</v>
      </c>
      <c r="X85" s="312">
        <v>0.28087977508472173</v>
      </c>
      <c r="Y85" s="312">
        <v>0.29353987792074177</v>
      </c>
      <c r="Z85" s="312">
        <v>0.29353987792074177</v>
      </c>
      <c r="AA85" s="314">
        <v>0.24903781079295109</v>
      </c>
    </row>
    <row r="86" spans="1:27" ht="12.5">
      <c r="A86" s="311" t="s">
        <v>756</v>
      </c>
      <c r="B86" s="127">
        <v>32</v>
      </c>
      <c r="C86" s="312">
        <v>4.7231818181818182E-3</v>
      </c>
      <c r="D86" s="312">
        <v>3.553259633998463E-2</v>
      </c>
      <c r="E86" s="312">
        <v>5.8100247248397074E-2</v>
      </c>
      <c r="F86" s="312">
        <v>0.24528834477698491</v>
      </c>
      <c r="G86" s="313">
        <v>0.78484085286834249</v>
      </c>
      <c r="H86" s="313">
        <v>0.95267432662315499</v>
      </c>
      <c r="I86" s="312">
        <v>5.4266228216612908E-2</v>
      </c>
      <c r="J86" s="312">
        <v>0.39319155229808395</v>
      </c>
      <c r="K86" s="312">
        <v>2.58E-2</v>
      </c>
      <c r="L86" s="312">
        <v>0.33440204084678338</v>
      </c>
      <c r="M86" s="312">
        <v>4.2417618789228569E-2</v>
      </c>
      <c r="N86" s="313">
        <v>1.7027174008564028</v>
      </c>
      <c r="O86" s="313">
        <v>0.93481481073420414</v>
      </c>
      <c r="P86" s="313">
        <v>9.7390031891988702</v>
      </c>
      <c r="Q86" s="313">
        <v>23.061200217062375</v>
      </c>
      <c r="R86" s="313">
        <v>1.5528479464148082</v>
      </c>
      <c r="S86" s="313">
        <v>35.726079443105931</v>
      </c>
      <c r="T86" s="312">
        <v>0.21691105123338691</v>
      </c>
      <c r="U86" s="312">
        <v>6.9582397129241025E-2</v>
      </c>
      <c r="V86" s="312">
        <v>5.5734411806729507E-2</v>
      </c>
      <c r="W86" s="312">
        <v>0.2849257135685403</v>
      </c>
      <c r="X86" s="312">
        <v>-2.8409504493084305E-2</v>
      </c>
      <c r="Y86" s="312">
        <v>6.4673007856719126E-3</v>
      </c>
      <c r="Z86" s="312">
        <v>6.4673007856719256E-3</v>
      </c>
      <c r="AA86" s="314">
        <v>3.6302027971648762E-2</v>
      </c>
    </row>
    <row r="87" spans="1:27" ht="12.5">
      <c r="A87" s="311" t="s">
        <v>757</v>
      </c>
      <c r="B87" s="127">
        <v>16</v>
      </c>
      <c r="C87" s="312">
        <v>6.5274285714285715E-2</v>
      </c>
      <c r="D87" s="312">
        <v>0.12481677647749129</v>
      </c>
      <c r="E87" s="312">
        <v>0.10222796915324003</v>
      </c>
      <c r="F87" s="312">
        <v>0.22645519947678222</v>
      </c>
      <c r="G87" s="313">
        <v>0.39285404261553991</v>
      </c>
      <c r="H87" s="313">
        <v>0.53101428219938829</v>
      </c>
      <c r="I87" s="312">
        <v>3.4363874119811122E-2</v>
      </c>
      <c r="J87" s="312">
        <v>0.39778913844087938</v>
      </c>
      <c r="K87" s="312">
        <v>2.58E-2</v>
      </c>
      <c r="L87" s="312">
        <v>0.35304680875165795</v>
      </c>
      <c r="M87" s="312">
        <v>2.8881101621496843E-2</v>
      </c>
      <c r="N87" s="313">
        <v>0.83735143301257098</v>
      </c>
      <c r="O87" s="313">
        <v>3.6701715389319451</v>
      </c>
      <c r="P87" s="313">
        <v>10.141158263225391</v>
      </c>
      <c r="Q87" s="313">
        <v>29.546652439145003</v>
      </c>
      <c r="R87" s="313">
        <v>2.3555939669087431</v>
      </c>
      <c r="S87" s="313">
        <v>24.683121593527087</v>
      </c>
      <c r="T87" s="312">
        <v>0.10992374328413039</v>
      </c>
      <c r="U87" s="312">
        <v>0.15333720134670512</v>
      </c>
      <c r="V87" s="312">
        <v>3.5152271971679153E-2</v>
      </c>
      <c r="W87" s="312">
        <v>1.6819529435066813</v>
      </c>
      <c r="X87" s="312">
        <v>8.9103963545738712E-2</v>
      </c>
      <c r="Y87" s="312">
        <v>3.0359061705207489E-2</v>
      </c>
      <c r="Z87" s="312">
        <v>3.0359061705207524E-2</v>
      </c>
      <c r="AA87" s="314">
        <v>0.12651859108818381</v>
      </c>
    </row>
    <row r="88" spans="1:27" ht="12.5">
      <c r="A88" s="311" t="s">
        <v>510</v>
      </c>
      <c r="B88" s="127">
        <v>96</v>
      </c>
      <c r="C88" s="312">
        <v>0.31647482758620687</v>
      </c>
      <c r="D88" s="312">
        <v>0.18687314795663049</v>
      </c>
      <c r="E88" s="312">
        <v>0.21798778520816608</v>
      </c>
      <c r="F88" s="312">
        <v>0.17902419010153528</v>
      </c>
      <c r="G88" s="313">
        <v>0.83218990324212128</v>
      </c>
      <c r="H88" s="313">
        <v>0.86937365219195228</v>
      </c>
      <c r="I88" s="312">
        <v>5.0334436383460149E-2</v>
      </c>
      <c r="J88" s="312">
        <v>0.43108480142025429</v>
      </c>
      <c r="K88" s="312">
        <v>2.9980000000000003E-2</v>
      </c>
      <c r="L88" s="312">
        <v>0.12890225671719946</v>
      </c>
      <c r="M88" s="312">
        <v>4.6667291392202423E-2</v>
      </c>
      <c r="N88" s="313">
        <v>1.2025076456352379</v>
      </c>
      <c r="O88" s="313">
        <v>3.5641828955814892</v>
      </c>
      <c r="P88" s="313">
        <v>13.922166632416614</v>
      </c>
      <c r="Q88" s="313">
        <v>18.523992372505774</v>
      </c>
      <c r="R88" s="313">
        <v>4.8399815238650383</v>
      </c>
      <c r="S88" s="313">
        <v>50.678124744497509</v>
      </c>
      <c r="T88" s="312">
        <v>0.16836471254894772</v>
      </c>
      <c r="U88" s="312">
        <v>2.9482769947348272E-2</v>
      </c>
      <c r="V88" s="312">
        <v>3.3473393450261651E-2</v>
      </c>
      <c r="W88" s="312">
        <v>0.11714492463095033</v>
      </c>
      <c r="X88" s="312">
        <v>0.17100403472629144</v>
      </c>
      <c r="Y88" s="312">
        <v>0.64707059160567149</v>
      </c>
      <c r="Z88" s="312">
        <v>0.64707059160567149</v>
      </c>
      <c r="AA88" s="314">
        <v>0.18855833258388299</v>
      </c>
    </row>
    <row r="89" spans="1:27" ht="12.5">
      <c r="A89" s="311" t="s">
        <v>758</v>
      </c>
      <c r="B89" s="127">
        <v>58</v>
      </c>
      <c r="C89" s="312">
        <v>7.7909583333333324E-2</v>
      </c>
      <c r="D89" s="312">
        <v>0.19456609726786683</v>
      </c>
      <c r="E89" s="312">
        <v>0.13777796302969947</v>
      </c>
      <c r="F89" s="312">
        <v>0.16707497661242765</v>
      </c>
      <c r="G89" s="313">
        <v>0.42180941298328112</v>
      </c>
      <c r="H89" s="313">
        <v>0.65904634489734548</v>
      </c>
      <c r="I89" s="312">
        <v>4.0406987479154707E-2</v>
      </c>
      <c r="J89" s="312">
        <v>0.43529745323644603</v>
      </c>
      <c r="K89" s="312">
        <v>2.9980000000000003E-2</v>
      </c>
      <c r="L89" s="312">
        <v>0.45396794839340282</v>
      </c>
      <c r="M89" s="312">
        <v>3.1998780410253905E-2</v>
      </c>
      <c r="N89" s="313">
        <v>0.75188855600527471</v>
      </c>
      <c r="O89" s="313">
        <v>2.5063851234126462</v>
      </c>
      <c r="P89" s="313">
        <v>6.7612311933973341</v>
      </c>
      <c r="Q89" s="313">
        <v>13.116222031782481</v>
      </c>
      <c r="R89" s="313">
        <v>1.7288217901555876</v>
      </c>
      <c r="S89" s="313">
        <v>22.272683229104771</v>
      </c>
      <c r="T89" s="312">
        <v>1.1846303461981971E-2</v>
      </c>
      <c r="U89" s="312">
        <v>0.1262725136691345</v>
      </c>
      <c r="V89" s="312">
        <v>-2.3647204248838035E-2</v>
      </c>
      <c r="W89" s="312">
        <v>-2.1878837569718146E-2</v>
      </c>
      <c r="X89" s="312">
        <v>0.11268328342687449</v>
      </c>
      <c r="Y89" s="312">
        <v>0.51919159384599822</v>
      </c>
      <c r="Z89" s="312">
        <v>0.51919159384599822</v>
      </c>
      <c r="AA89" s="314">
        <v>0.19073146201563007</v>
      </c>
    </row>
    <row r="90" spans="1:27" ht="12.5">
      <c r="A90" s="311" t="s">
        <v>759</v>
      </c>
      <c r="B90" s="127">
        <v>15</v>
      </c>
      <c r="C90" s="312">
        <v>0.52823333333333333</v>
      </c>
      <c r="D90" s="312">
        <v>0.42799063533257781</v>
      </c>
      <c r="E90" s="312">
        <v>0.45326065003003474</v>
      </c>
      <c r="F90" s="312">
        <v>0.34666110446896781</v>
      </c>
      <c r="G90" s="313">
        <v>0.61270845517910077</v>
      </c>
      <c r="H90" s="313">
        <v>0.72184114581391701</v>
      </c>
      <c r="I90" s="312">
        <v>4.3370902082416882E-2</v>
      </c>
      <c r="J90" s="312">
        <v>0.24488233552075422</v>
      </c>
      <c r="K90" s="312">
        <v>1.9200000000000002E-2</v>
      </c>
      <c r="L90" s="312">
        <v>0.2326199241662911</v>
      </c>
      <c r="M90" s="312">
        <v>3.654236698609617E-2</v>
      </c>
      <c r="N90" s="313">
        <v>1.1567297628889579</v>
      </c>
      <c r="O90" s="313">
        <v>4.8154292104667444</v>
      </c>
      <c r="P90" s="313">
        <v>10.48285471378874</v>
      </c>
      <c r="Q90" s="313">
        <v>11.203681381675812</v>
      </c>
      <c r="R90" s="313" t="s">
        <v>99</v>
      </c>
      <c r="S90" s="313">
        <v>54.618361961531335</v>
      </c>
      <c r="T90" s="312">
        <v>0.13100960465577405</v>
      </c>
      <c r="U90" s="312">
        <v>1.754340460060597E-2</v>
      </c>
      <c r="V90" s="312">
        <v>1.238721827891767E-2</v>
      </c>
      <c r="W90" s="312">
        <v>6.8704867753216466E-3</v>
      </c>
      <c r="X90" s="312">
        <v>-2.3108086774560259E-3</v>
      </c>
      <c r="Y90" s="312">
        <v>1.6495295056583579</v>
      </c>
      <c r="Z90" s="312">
        <v>1.6495295056583579</v>
      </c>
      <c r="AA90" s="314">
        <v>0.42915560521201329</v>
      </c>
    </row>
    <row r="91" spans="1:27" ht="12.5">
      <c r="A91" s="311" t="s">
        <v>760</v>
      </c>
      <c r="B91" s="127">
        <v>21</v>
      </c>
      <c r="C91" s="312">
        <v>9.4160769230769215E-2</v>
      </c>
      <c r="D91" s="312">
        <v>6.2767799611273531E-2</v>
      </c>
      <c r="E91" s="312">
        <v>0.13317123700747599</v>
      </c>
      <c r="F91" s="312">
        <v>0.22365897901010617</v>
      </c>
      <c r="G91" s="313">
        <v>0.78694784597666434</v>
      </c>
      <c r="H91" s="313">
        <v>0.90738538505699995</v>
      </c>
      <c r="I91" s="312">
        <v>5.212859017469039E-2</v>
      </c>
      <c r="J91" s="312">
        <v>0.2867619467746414</v>
      </c>
      <c r="K91" s="312">
        <v>2.58E-2</v>
      </c>
      <c r="L91" s="312">
        <v>0.24066478106211525</v>
      </c>
      <c r="M91" s="312">
        <v>4.4115754919745676E-2</v>
      </c>
      <c r="N91" s="313">
        <v>2.4515741849278605</v>
      </c>
      <c r="O91" s="313">
        <v>1.5567317897080666</v>
      </c>
      <c r="P91" s="313">
        <v>12.959492073346206</v>
      </c>
      <c r="Q91" s="313">
        <v>25.626980651208445</v>
      </c>
      <c r="R91" s="313">
        <v>6.7749292258814835</v>
      </c>
      <c r="S91" s="313">
        <v>48.605928871645851</v>
      </c>
      <c r="T91" s="312">
        <v>7.9693136743779314E-2</v>
      </c>
      <c r="U91" s="312">
        <v>5.8812779442184736E-2</v>
      </c>
      <c r="V91" s="312">
        <v>2.2628756627930156E-2</v>
      </c>
      <c r="W91" s="312">
        <v>0.68340972792286159</v>
      </c>
      <c r="X91" s="312">
        <v>0.22767914053607058</v>
      </c>
      <c r="Y91" s="312">
        <v>0.55442348356375992</v>
      </c>
      <c r="Z91" s="312">
        <v>0.55442348356375992</v>
      </c>
      <c r="AA91" s="314">
        <v>6.0731915901516997E-2</v>
      </c>
    </row>
    <row r="92" spans="1:27" ht="12.5">
      <c r="A92" s="311" t="s">
        <v>761</v>
      </c>
      <c r="B92" s="127">
        <v>6</v>
      </c>
      <c r="C92" s="312">
        <v>-1.47E-2</v>
      </c>
      <c r="D92" s="312">
        <v>0.39125023060737901</v>
      </c>
      <c r="E92" s="312">
        <v>0.12967763596876056</v>
      </c>
      <c r="F92" s="312">
        <v>0.23115977314390468</v>
      </c>
      <c r="G92" s="313">
        <v>0.74113395736276111</v>
      </c>
      <c r="H92" s="313">
        <v>0.84480849667842206</v>
      </c>
      <c r="I92" s="312">
        <v>4.9174961043221513E-2</v>
      </c>
      <c r="J92" s="312">
        <v>0.16833997765542183</v>
      </c>
      <c r="K92" s="312">
        <v>1.9200000000000002E-2</v>
      </c>
      <c r="L92" s="312">
        <v>0.1839447211506495</v>
      </c>
      <c r="M92" s="312">
        <v>4.2707655758179579E-2</v>
      </c>
      <c r="N92" s="313">
        <v>0.39701712586492816</v>
      </c>
      <c r="O92" s="313">
        <v>8.0999444290363432</v>
      </c>
      <c r="P92" s="313">
        <v>15.458052399785434</v>
      </c>
      <c r="Q92" s="313">
        <v>20.934853811173205</v>
      </c>
      <c r="R92" s="313">
        <v>5.8229959384546</v>
      </c>
      <c r="S92" s="313">
        <v>28.550848056184293</v>
      </c>
      <c r="T92" s="312">
        <v>1.6536008612455824E-2</v>
      </c>
      <c r="U92" s="312">
        <v>0.16356660291394318</v>
      </c>
      <c r="V92" s="312">
        <v>4.4470443723626116E-2</v>
      </c>
      <c r="W92" s="312">
        <v>0.12829844070642524</v>
      </c>
      <c r="X92" s="312">
        <v>0.21474626352104251</v>
      </c>
      <c r="Y92" s="312">
        <v>0.41027528063719787</v>
      </c>
      <c r="Z92" s="312">
        <v>0.41027528063719787</v>
      </c>
      <c r="AA92" s="314">
        <v>0.38690910749986346</v>
      </c>
    </row>
    <row r="93" spans="1:27" ht="12.5">
      <c r="A93" s="311" t="s">
        <v>762</v>
      </c>
      <c r="B93" s="127">
        <v>35</v>
      </c>
      <c r="C93" s="312">
        <v>3.0642105263157887E-2</v>
      </c>
      <c r="D93" s="312">
        <v>-2.882246905058946E-2</v>
      </c>
      <c r="E93" s="312">
        <v>-4.035655435213481E-2</v>
      </c>
      <c r="F93" s="312">
        <v>0.21675277856229133</v>
      </c>
      <c r="G93" s="313">
        <v>0.94599113446244631</v>
      </c>
      <c r="H93" s="313">
        <v>1.1117887824981547</v>
      </c>
      <c r="I93" s="312">
        <v>6.1776430533912907E-2</v>
      </c>
      <c r="J93" s="312">
        <v>0.38783760729396827</v>
      </c>
      <c r="K93" s="312">
        <v>2.58E-2</v>
      </c>
      <c r="L93" s="312">
        <v>0.25237767229324226</v>
      </c>
      <c r="M93" s="312">
        <v>5.0938719873149713E-2</v>
      </c>
      <c r="N93" s="313">
        <v>0.83636127644751057</v>
      </c>
      <c r="O93" s="313">
        <v>2.7292351713007115</v>
      </c>
      <c r="P93" s="313">
        <v>10.064082127941029</v>
      </c>
      <c r="Q93" s="313" t="s">
        <v>99</v>
      </c>
      <c r="R93" s="313">
        <v>4.8117257666698885</v>
      </c>
      <c r="S93" s="313">
        <v>46.738341622015596</v>
      </c>
      <c r="T93" s="312">
        <v>6.0723800041339683E-2</v>
      </c>
      <c r="U93" s="312">
        <v>-8.0125776964927731E-3</v>
      </c>
      <c r="V93" s="312">
        <v>-8.6707710315732031E-2</v>
      </c>
      <c r="W93" s="312" t="s">
        <v>99</v>
      </c>
      <c r="X93" s="312">
        <v>-0.17695648613703024</v>
      </c>
      <c r="Y93" s="312">
        <v>2.7100744882994714E-3</v>
      </c>
      <c r="Z93" s="312">
        <v>2.7100744882995187E-3</v>
      </c>
      <c r="AA93" s="314">
        <v>-5.0732136649724723E-2</v>
      </c>
    </row>
    <row r="94" spans="1:27" ht="12.5">
      <c r="A94" s="311" t="s">
        <v>763</v>
      </c>
      <c r="B94" s="127">
        <v>16</v>
      </c>
      <c r="C94" s="312">
        <v>2.2684999999999997E-2</v>
      </c>
      <c r="D94" s="312">
        <v>0.20403341154138444</v>
      </c>
      <c r="E94" s="312">
        <v>6.7850905338863968E-2</v>
      </c>
      <c r="F94" s="312">
        <v>0.117171773264289</v>
      </c>
      <c r="G94" s="313">
        <v>0.48558485606254603</v>
      </c>
      <c r="H94" s="313">
        <v>0.73977845895185768</v>
      </c>
      <c r="I94" s="312">
        <v>4.4217543262527678E-2</v>
      </c>
      <c r="J94" s="312">
        <v>0.18444652874211906</v>
      </c>
      <c r="K94" s="312">
        <v>1.9200000000000002E-2</v>
      </c>
      <c r="L94" s="312">
        <v>0.42756747620067043</v>
      </c>
      <c r="M94" s="312">
        <v>3.1304345632403356E-2</v>
      </c>
      <c r="N94" s="313">
        <v>0.37307034467264188</v>
      </c>
      <c r="O94" s="313">
        <v>4.136621754888119</v>
      </c>
      <c r="P94" s="313">
        <v>12.15184429138481</v>
      </c>
      <c r="Q94" s="313">
        <v>20.529474325741415</v>
      </c>
      <c r="R94" s="313">
        <v>1.8404346419169308</v>
      </c>
      <c r="S94" s="313">
        <v>18.730852059509221</v>
      </c>
      <c r="T94" s="312">
        <v>9.0134502361175151E-2</v>
      </c>
      <c r="U94" s="312">
        <v>0.3114652228597598</v>
      </c>
      <c r="V94" s="312">
        <v>0.19896841700046131</v>
      </c>
      <c r="W94" s="312">
        <v>1.1039575205276062</v>
      </c>
      <c r="X94" s="312">
        <v>7.4857124266643538E-2</v>
      </c>
      <c r="Y94" s="312">
        <v>1.0089818624326357</v>
      </c>
      <c r="Z94" s="312">
        <v>1.0089818624326357</v>
      </c>
      <c r="AA94" s="314">
        <v>0.20149672072710154</v>
      </c>
    </row>
    <row r="95" spans="1:27" ht="12.5">
      <c r="A95" s="311" t="s">
        <v>764</v>
      </c>
      <c r="B95" s="127">
        <v>17</v>
      </c>
      <c r="C95" s="312">
        <v>0.12739090909090908</v>
      </c>
      <c r="D95" s="312">
        <v>0.30462864365814413</v>
      </c>
      <c r="E95" s="312">
        <v>8.0501688649732311E-2</v>
      </c>
      <c r="F95" s="312">
        <v>0.18748481661181424</v>
      </c>
      <c r="G95" s="313">
        <v>0.57290214155323738</v>
      </c>
      <c r="H95" s="313">
        <v>0.73396774788813257</v>
      </c>
      <c r="I95" s="312">
        <v>4.394327770031986E-2</v>
      </c>
      <c r="J95" s="312">
        <v>0.35960926569887885</v>
      </c>
      <c r="K95" s="312">
        <v>2.58E-2</v>
      </c>
      <c r="L95" s="312">
        <v>0.288051163370102</v>
      </c>
      <c r="M95" s="312">
        <v>3.6710521047359772E-2</v>
      </c>
      <c r="N95" s="313">
        <v>0.29873574208480336</v>
      </c>
      <c r="O95" s="313">
        <v>9.786175412560377</v>
      </c>
      <c r="P95" s="313">
        <v>20.924855016692508</v>
      </c>
      <c r="Q95" s="313">
        <v>32.162808766564744</v>
      </c>
      <c r="R95" s="313">
        <v>3.5073850269273019</v>
      </c>
      <c r="S95" s="313">
        <v>62.39214919438848</v>
      </c>
      <c r="T95" s="312">
        <v>0.16949223860701113</v>
      </c>
      <c r="U95" s="312">
        <v>0.47276822081538949</v>
      </c>
      <c r="V95" s="312">
        <v>0.96620245487575274</v>
      </c>
      <c r="W95" s="312">
        <v>3.9453757403353218</v>
      </c>
      <c r="X95" s="312">
        <v>8.2465676679155456E-2</v>
      </c>
      <c r="Y95" s="312">
        <v>0.66366433039636541</v>
      </c>
      <c r="Z95" s="312">
        <v>0.71305567485106125</v>
      </c>
      <c r="AA95" s="314">
        <v>0.30208913657980541</v>
      </c>
    </row>
    <row r="96" spans="1:27" ht="12.5">
      <c r="A96" s="311" t="s">
        <v>765</v>
      </c>
      <c r="B96" s="127">
        <v>7582</v>
      </c>
      <c r="C96" s="312">
        <v>8.8604448169880126E-2</v>
      </c>
      <c r="D96" s="312">
        <v>9.6201704840140859E-2</v>
      </c>
      <c r="E96" s="312">
        <v>6.0506096685354741E-2</v>
      </c>
      <c r="F96" s="312">
        <v>0.17760057899121492</v>
      </c>
      <c r="G96" s="313">
        <v>0.7481510729858899</v>
      </c>
      <c r="H96" s="313">
        <v>0.94153312389198818</v>
      </c>
      <c r="I96" s="312">
        <v>5.3740363447701833E-2</v>
      </c>
      <c r="J96" s="312">
        <v>0.41205395925277921</v>
      </c>
      <c r="K96" s="312">
        <v>2.9980000000000003E-2</v>
      </c>
      <c r="L96" s="312">
        <v>0.32580752942081304</v>
      </c>
      <c r="M96" s="312">
        <v>4.3361776507015795E-2</v>
      </c>
      <c r="N96" s="313">
        <v>0.66747011986066229</v>
      </c>
      <c r="O96" s="313">
        <v>3.6462526886648874</v>
      </c>
      <c r="P96" s="313">
        <v>20.01732271472191</v>
      </c>
      <c r="Q96" s="313">
        <v>36.460964745465837</v>
      </c>
      <c r="R96" s="313">
        <v>3.8138539866725387</v>
      </c>
      <c r="S96" s="313">
        <v>103.24608265487092</v>
      </c>
      <c r="T96" s="312">
        <v>-0.36101539217904444</v>
      </c>
      <c r="U96" s="312">
        <v>5.5967085959717458E-2</v>
      </c>
      <c r="V96" s="312">
        <v>2.5664988528031712E-2</v>
      </c>
      <c r="W96" s="312">
        <v>0.33159793650369079</v>
      </c>
      <c r="X96" s="312">
        <v>8.2465676679155456E-2</v>
      </c>
      <c r="Y96" s="312">
        <v>0.71305567485106125</v>
      </c>
      <c r="Z96" s="312">
        <v>0.71305567485106125</v>
      </c>
      <c r="AA96" s="314">
        <v>9.6070367597672277E-2</v>
      </c>
    </row>
    <row r="97" spans="1:27" ht="12.5">
      <c r="A97" s="311" t="s">
        <v>766</v>
      </c>
      <c r="B97" s="127">
        <v>6253</v>
      </c>
      <c r="C97" s="312">
        <v>9.4041204341900345E-2</v>
      </c>
      <c r="D97" s="312">
        <v>9.930087339393491E-2</v>
      </c>
      <c r="E97" s="312">
        <v>0.10584436361002644</v>
      </c>
      <c r="F97" s="312">
        <v>0.17743360975099459</v>
      </c>
      <c r="G97" s="313">
        <v>0.86177662223276508</v>
      </c>
      <c r="H97" s="313">
        <v>0.97830600909684762</v>
      </c>
      <c r="I97" s="312">
        <v>5.5476043629371211E-2</v>
      </c>
      <c r="J97" s="312">
        <v>0.44772960581474536</v>
      </c>
      <c r="K97" s="312">
        <v>2.9980000000000003E-2</v>
      </c>
      <c r="L97" s="312">
        <v>0.20066342541531326</v>
      </c>
      <c r="M97" s="312">
        <v>4.8735630016796518E-2</v>
      </c>
      <c r="N97" s="313">
        <v>1.1137481600322767</v>
      </c>
      <c r="O97" s="313">
        <v>3.196959116613741</v>
      </c>
      <c r="P97" s="313">
        <v>16.520979574563068</v>
      </c>
      <c r="Q97" s="313">
        <v>30.624257438474952</v>
      </c>
      <c r="R97" s="313">
        <v>4.7501075427779016</v>
      </c>
      <c r="S97" s="313">
        <v>87.077262365850473</v>
      </c>
      <c r="T97" s="312">
        <v>8.2811192862192448E-2</v>
      </c>
      <c r="U97" s="312">
        <v>5.9114865494029625E-2</v>
      </c>
      <c r="V97" s="312">
        <v>2.5390218706648097E-2</v>
      </c>
      <c r="W97" s="312">
        <v>0.29398897453501566</v>
      </c>
      <c r="X97" s="312">
        <v>7.7750912790873816E-2</v>
      </c>
      <c r="Y97" s="312">
        <v>0.83967509040994981</v>
      </c>
      <c r="Z97" s="312">
        <v>0.83967509040994981</v>
      </c>
      <c r="AA97" s="314">
        <v>9.9297521169157646E-2</v>
      </c>
    </row>
  </sheetData>
  <phoneticPr fontId="5"/>
  <pageMargins left="0.75" right="0.75" top="1" bottom="1" header="0.5" footer="0.5"/>
  <pageSetup orientation="portrait" horizontalDpi="4294967292" verticalDpi="429496729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97"/>
  <sheetViews>
    <sheetView topLeftCell="A68" workbookViewId="0">
      <selection activeCell="N74" sqref="N74"/>
    </sheetView>
  </sheetViews>
  <sheetFormatPr defaultColWidth="11.19921875" defaultRowHeight="11.5"/>
  <cols>
    <col min="1" max="1" width="20.296875" style="360" bestFit="1" customWidth="1"/>
    <col min="2" max="2" width="11.5" style="360" bestFit="1" customWidth="1"/>
    <col min="3" max="3" width="9.5" style="360" bestFit="1" customWidth="1"/>
    <col min="4" max="4" width="11.796875" style="360" bestFit="1" customWidth="1"/>
    <col min="5" max="5" width="12.5" style="360" customWidth="1"/>
    <col min="6" max="6" width="10.5" style="360" bestFit="1" customWidth="1"/>
    <col min="7" max="7" width="11.5" style="360" bestFit="1" customWidth="1"/>
    <col min="8" max="8" width="19.19921875" style="360" bestFit="1" customWidth="1"/>
    <col min="9" max="16384" width="11.19921875" style="360"/>
  </cols>
  <sheetData>
    <row r="1" spans="1:27" s="350" customFormat="1" ht="72">
      <c r="A1" s="349" t="s">
        <v>97</v>
      </c>
      <c r="B1" s="350" t="s">
        <v>172</v>
      </c>
      <c r="C1" s="351" t="s">
        <v>160</v>
      </c>
      <c r="D1" s="351" t="s">
        <v>641</v>
      </c>
      <c r="E1" s="351" t="s">
        <v>179</v>
      </c>
      <c r="F1" s="350" t="s">
        <v>161</v>
      </c>
      <c r="G1" s="350" t="s">
        <v>209</v>
      </c>
      <c r="H1" s="350" t="s">
        <v>162</v>
      </c>
      <c r="I1" s="350" t="s">
        <v>163</v>
      </c>
      <c r="J1" s="350" t="s">
        <v>164</v>
      </c>
      <c r="K1" s="350" t="s">
        <v>165</v>
      </c>
      <c r="L1" s="350" t="s">
        <v>166</v>
      </c>
      <c r="M1" s="350" t="s">
        <v>145</v>
      </c>
      <c r="N1" s="352" t="s">
        <v>100</v>
      </c>
      <c r="O1" s="350" t="s">
        <v>167</v>
      </c>
      <c r="P1" s="350" t="s">
        <v>168</v>
      </c>
      <c r="Q1" s="350" t="s">
        <v>169</v>
      </c>
      <c r="R1" s="350" t="s">
        <v>170</v>
      </c>
      <c r="S1" s="350" t="s">
        <v>171</v>
      </c>
      <c r="T1" s="350" t="s">
        <v>493</v>
      </c>
      <c r="U1" s="350" t="s">
        <v>494</v>
      </c>
      <c r="V1" s="350" t="s">
        <v>495</v>
      </c>
      <c r="W1" s="350" t="s">
        <v>496</v>
      </c>
      <c r="X1" s="349" t="s">
        <v>480</v>
      </c>
      <c r="Y1" s="349" t="s">
        <v>497</v>
      </c>
      <c r="Z1" s="349" t="s">
        <v>498</v>
      </c>
      <c r="AA1" s="350" t="s">
        <v>649</v>
      </c>
    </row>
    <row r="2" spans="1:27" s="354" customFormat="1" ht="12.5">
      <c r="A2" s="355" t="s">
        <v>98</v>
      </c>
      <c r="B2" s="356">
        <v>348</v>
      </c>
      <c r="C2" s="357">
        <v>4.9301099999999966E-2</v>
      </c>
      <c r="D2" s="357">
        <v>8.4543099547611134E-2</v>
      </c>
      <c r="E2" s="357">
        <v>0.21254792947849876</v>
      </c>
      <c r="F2" s="357">
        <v>0.31004565269780121</v>
      </c>
      <c r="G2" s="353">
        <v>1.1813776234736553</v>
      </c>
      <c r="H2" s="358">
        <v>1.2920214899611719</v>
      </c>
      <c r="I2" s="357">
        <v>8.3060330371957647E-2</v>
      </c>
      <c r="J2" s="357">
        <v>0.38279622822720849</v>
      </c>
      <c r="K2" s="357">
        <v>4.0400000000000005E-2</v>
      </c>
      <c r="L2" s="357">
        <v>0.24555203666377023</v>
      </c>
      <c r="M2" s="357">
        <v>7.0104923794070073E-2</v>
      </c>
      <c r="N2" s="358">
        <v>2.7953022987689566</v>
      </c>
      <c r="O2" s="358">
        <v>1.7514773186811119</v>
      </c>
      <c r="P2" s="358">
        <v>12.244853279181939</v>
      </c>
      <c r="Q2" s="358">
        <v>19.0038240115279</v>
      </c>
      <c r="R2" s="358">
        <v>2.7336345845477452</v>
      </c>
      <c r="S2" s="358">
        <v>74.812069371756152</v>
      </c>
      <c r="T2" s="357">
        <v>-4.2051277463476901E-2</v>
      </c>
      <c r="U2" s="357">
        <v>1.4256336664141151E-2</v>
      </c>
      <c r="V2" s="357">
        <v>-8.9523825484201739E-3</v>
      </c>
      <c r="W2" s="357">
        <v>-0.31313698055209749</v>
      </c>
      <c r="X2" s="357">
        <v>5.6334524668553806E-2</v>
      </c>
      <c r="Y2" s="357">
        <v>0.73983027279387559</v>
      </c>
      <c r="Z2" s="357">
        <v>0.73983027279387559</v>
      </c>
      <c r="AA2" s="359">
        <v>8.8187898752127583E-2</v>
      </c>
    </row>
    <row r="3" spans="1:27" s="354" customFormat="1" ht="12.5">
      <c r="A3" s="355" t="s">
        <v>505</v>
      </c>
      <c r="B3" s="356">
        <v>272</v>
      </c>
      <c r="C3" s="357">
        <v>8.6036707317073177E-2</v>
      </c>
      <c r="D3" s="357">
        <v>7.4999464290287893E-2</v>
      </c>
      <c r="E3" s="357">
        <v>0.12703004438534796</v>
      </c>
      <c r="F3" s="357">
        <v>0.15691352818553894</v>
      </c>
      <c r="G3" s="353">
        <v>1.1091260133359957</v>
      </c>
      <c r="H3" s="358">
        <v>1.2231440544338203</v>
      </c>
      <c r="I3" s="357">
        <v>7.943737726321895E-2</v>
      </c>
      <c r="J3" s="357">
        <v>0.33194361135732015</v>
      </c>
      <c r="K3" s="357">
        <v>4.0400000000000005E-2</v>
      </c>
      <c r="L3" s="357">
        <v>0.20608557334061123</v>
      </c>
      <c r="M3" s="357">
        <v>6.931087269747456E-2</v>
      </c>
      <c r="N3" s="358">
        <v>1.8431906216043816</v>
      </c>
      <c r="O3" s="358">
        <v>2.1398082490983557</v>
      </c>
      <c r="P3" s="358">
        <v>14.580152005130218</v>
      </c>
      <c r="Q3" s="358">
        <v>23.349402485976363</v>
      </c>
      <c r="R3" s="358">
        <v>4.324099155641318</v>
      </c>
      <c r="S3" s="358">
        <v>70.171653420811069</v>
      </c>
      <c r="T3" s="357">
        <v>0.41790338856432757</v>
      </c>
      <c r="U3" s="357">
        <v>3.0930587252808305E-2</v>
      </c>
      <c r="V3" s="357">
        <v>1.2612646382451399E-2</v>
      </c>
      <c r="W3" s="357">
        <v>0.58754651208492248</v>
      </c>
      <c r="X3" s="357">
        <v>0.14422294145208617</v>
      </c>
      <c r="Y3" s="357">
        <v>0.44794410996649281</v>
      </c>
      <c r="Z3" s="357">
        <v>0.44794410996649281</v>
      </c>
      <c r="AA3" s="359">
        <v>7.6020079162414239E-2</v>
      </c>
    </row>
    <row r="4" spans="1:27" s="354" customFormat="1" ht="12.5">
      <c r="A4" s="355" t="s">
        <v>678</v>
      </c>
      <c r="B4" s="356">
        <v>151</v>
      </c>
      <c r="C4" s="357">
        <v>-8.8139663865546239E-2</v>
      </c>
      <c r="D4" s="357">
        <v>-0.21449240751555679</v>
      </c>
      <c r="E4" s="357">
        <v>-0.10837641876215605</v>
      </c>
      <c r="F4" s="357">
        <v>0.18938706264681515</v>
      </c>
      <c r="G4" s="353">
        <v>0.93308539393835266</v>
      </c>
      <c r="H4" s="358">
        <v>1.5924295331769072</v>
      </c>
      <c r="I4" s="357">
        <v>9.8861793445105317E-2</v>
      </c>
      <c r="J4" s="357">
        <v>0.30929768864093088</v>
      </c>
      <c r="K4" s="357">
        <v>4.0400000000000005E-2</v>
      </c>
      <c r="L4" s="357">
        <v>0.55822719310873492</v>
      </c>
      <c r="M4" s="357">
        <v>6.0588735935743321E-2</v>
      </c>
      <c r="N4" s="358">
        <v>0.52042457558651478</v>
      </c>
      <c r="O4" s="358">
        <v>3.2503221375332387</v>
      </c>
      <c r="P4" s="358">
        <v>24.038826628279597</v>
      </c>
      <c r="Q4" s="358" t="s">
        <v>99</v>
      </c>
      <c r="R4" s="358">
        <v>2.7518293888637335</v>
      </c>
      <c r="S4" s="358">
        <v>721.84168558254396</v>
      </c>
      <c r="T4" s="357">
        <v>-8.2245625276857207E-2</v>
      </c>
      <c r="U4" s="357">
        <v>0.12211844838164911</v>
      </c>
      <c r="V4" s="357">
        <v>-2.1550757358998661E-2</v>
      </c>
      <c r="W4" s="357" t="s">
        <v>99</v>
      </c>
      <c r="X4" s="357">
        <v>-0.36718258170208184</v>
      </c>
      <c r="Y4" s="357">
        <v>3.5324529286747254E-3</v>
      </c>
      <c r="Z4" s="357">
        <v>3.5324529286747675E-3</v>
      </c>
      <c r="AA4" s="359">
        <v>-0.21794243408520517</v>
      </c>
    </row>
    <row r="5" spans="1:27" s="354" customFormat="1" ht="12.5">
      <c r="A5" s="355" t="s">
        <v>679</v>
      </c>
      <c r="B5" s="356">
        <v>1170</v>
      </c>
      <c r="C5" s="357">
        <v>1.8564522968197879E-2</v>
      </c>
      <c r="D5" s="357">
        <v>0.13987576720981593</v>
      </c>
      <c r="E5" s="357">
        <v>0.17908039725328107</v>
      </c>
      <c r="F5" s="357">
        <v>0.24202358225619941</v>
      </c>
      <c r="G5" s="353">
        <v>0.9019518483953981</v>
      </c>
      <c r="H5" s="358">
        <v>0.95434110854960208</v>
      </c>
      <c r="I5" s="357">
        <v>6.5298342309709073E-2</v>
      </c>
      <c r="J5" s="357">
        <v>0.31364960971071709</v>
      </c>
      <c r="K5" s="357">
        <v>4.0400000000000005E-2</v>
      </c>
      <c r="L5" s="357">
        <v>0.14029831728344888</v>
      </c>
      <c r="M5" s="357">
        <v>6.0388133775946755E-2</v>
      </c>
      <c r="N5" s="358">
        <v>1.4629072003367607</v>
      </c>
      <c r="O5" s="358">
        <v>3.1280483352660666</v>
      </c>
      <c r="P5" s="358">
        <v>16.194467267469712</v>
      </c>
      <c r="Q5" s="358">
        <v>21.71269977388101</v>
      </c>
      <c r="R5" s="358">
        <v>4.1312367447299314</v>
      </c>
      <c r="S5" s="358">
        <v>39.241218718759413</v>
      </c>
      <c r="T5" s="357">
        <v>0.22005913661415077</v>
      </c>
      <c r="U5" s="357">
        <v>3.7076869963940808E-2</v>
      </c>
      <c r="V5" s="357">
        <v>6.7615443487588939E-2</v>
      </c>
      <c r="W5" s="357">
        <v>0.56891468169475412</v>
      </c>
      <c r="X5" s="357">
        <v>0.16730567243824646</v>
      </c>
      <c r="Y5" s="357">
        <v>0.3581338121940682</v>
      </c>
      <c r="Z5" s="357">
        <v>0.35813381219406826</v>
      </c>
      <c r="AA5" s="359">
        <v>0.14196742020145089</v>
      </c>
    </row>
    <row r="6" spans="1:27" s="354" customFormat="1" ht="12.5">
      <c r="A6" s="355" t="s">
        <v>680</v>
      </c>
      <c r="B6" s="356">
        <v>152</v>
      </c>
      <c r="C6" s="357">
        <v>8.029980392156863E-2</v>
      </c>
      <c r="D6" s="357">
        <v>6.6427463400085623E-2</v>
      </c>
      <c r="E6" s="357">
        <v>6.3151279912088049E-2</v>
      </c>
      <c r="F6" s="357">
        <v>0.23154247088679311</v>
      </c>
      <c r="G6" s="353">
        <v>1.1064511394283543</v>
      </c>
      <c r="H6" s="358">
        <v>1.3542108327743885</v>
      </c>
      <c r="I6" s="357">
        <v>8.6331489803932834E-2</v>
      </c>
      <c r="J6" s="357">
        <v>0.31485943066687894</v>
      </c>
      <c r="K6" s="357">
        <v>4.0400000000000005E-2</v>
      </c>
      <c r="L6" s="357">
        <v>0.3236961084525225</v>
      </c>
      <c r="M6" s="357">
        <v>6.819431460360259E-2</v>
      </c>
      <c r="N6" s="358">
        <v>1.0329652431485967</v>
      </c>
      <c r="O6" s="358">
        <v>1.657755537537851</v>
      </c>
      <c r="P6" s="358">
        <v>14.178659732002052</v>
      </c>
      <c r="Q6" s="358">
        <v>23.295411401861397</v>
      </c>
      <c r="R6" s="358">
        <v>2.272490877709755</v>
      </c>
      <c r="S6" s="358">
        <v>96.320301200433363</v>
      </c>
      <c r="T6" s="357">
        <v>4.6013592236395201E-2</v>
      </c>
      <c r="U6" s="357">
        <v>6.8882672628164721E-2</v>
      </c>
      <c r="V6" s="357">
        <v>3.0356457541861143E-2</v>
      </c>
      <c r="W6" s="357">
        <v>0.63730019540503957</v>
      </c>
      <c r="X6" s="357">
        <v>0.1284901839770943</v>
      </c>
      <c r="Y6" s="357">
        <v>0.18454035954098272</v>
      </c>
      <c r="Z6" s="357">
        <v>0.18454035954098269</v>
      </c>
      <c r="AA6" s="359">
        <v>6.8471847303878355E-2</v>
      </c>
    </row>
    <row r="7" spans="1:27" s="354" customFormat="1" ht="12.5">
      <c r="A7" s="355" t="s">
        <v>681</v>
      </c>
      <c r="B7" s="356">
        <v>728</v>
      </c>
      <c r="C7" s="357">
        <v>4.3832314814814824E-2</v>
      </c>
      <c r="D7" s="357">
        <v>5.687112926828853E-2</v>
      </c>
      <c r="E7" s="357">
        <v>7.9482915964166512E-2</v>
      </c>
      <c r="F7" s="357">
        <v>0.22947135861987436</v>
      </c>
      <c r="G7" s="353">
        <v>1.4325398032358165</v>
      </c>
      <c r="H7" s="358">
        <v>1.526205558396474</v>
      </c>
      <c r="I7" s="357">
        <v>9.5378412371654536E-2</v>
      </c>
      <c r="J7" s="357">
        <v>0.29799635626299609</v>
      </c>
      <c r="K7" s="357">
        <v>4.0400000000000005E-2</v>
      </c>
      <c r="L7" s="357">
        <v>0.21800615312817079</v>
      </c>
      <c r="M7" s="357">
        <v>8.1190918038821391E-2</v>
      </c>
      <c r="N7" s="358">
        <v>1.6424210993270012</v>
      </c>
      <c r="O7" s="358">
        <v>0.96566908965516662</v>
      </c>
      <c r="P7" s="358">
        <v>8.6303600375017897</v>
      </c>
      <c r="Q7" s="358">
        <v>16.035236595518619</v>
      </c>
      <c r="R7" s="358">
        <v>1.7609585507812662</v>
      </c>
      <c r="S7" s="358">
        <v>54.536693186062124</v>
      </c>
      <c r="T7" s="357">
        <v>0.11745604445634995</v>
      </c>
      <c r="U7" s="357">
        <v>4.5362951932876726E-2</v>
      </c>
      <c r="V7" s="357">
        <v>2.6259069392558291E-2</v>
      </c>
      <c r="W7" s="357">
        <v>0.83229043102503319</v>
      </c>
      <c r="X7" s="357">
        <v>9.1165324018322391E-2</v>
      </c>
      <c r="Y7" s="357">
        <v>0.30966197453943284</v>
      </c>
      <c r="Z7" s="357">
        <v>0.30966197453943289</v>
      </c>
      <c r="AA7" s="359">
        <v>5.797613668665412E-2</v>
      </c>
    </row>
    <row r="8" spans="1:27" s="354" customFormat="1" ht="12.5">
      <c r="A8" s="355" t="s">
        <v>682</v>
      </c>
      <c r="B8" s="356">
        <v>610</v>
      </c>
      <c r="C8" s="357">
        <v>8.7159472727272702E-2</v>
      </c>
      <c r="D8" s="357">
        <v>1.5071133131963795E-3</v>
      </c>
      <c r="E8" s="357">
        <v>1.9926716307348935E-4</v>
      </c>
      <c r="F8" s="357">
        <v>0.19308548262966244</v>
      </c>
      <c r="G8" s="353">
        <v>0.585004953774515</v>
      </c>
      <c r="H8" s="358">
        <v>1.0325221935011708</v>
      </c>
      <c r="I8" s="357">
        <v>6.9410667378161581E-2</v>
      </c>
      <c r="J8" s="357">
        <v>0.20423641425778655</v>
      </c>
      <c r="K8" s="357">
        <v>3.3800000000000004E-2</v>
      </c>
      <c r="L8" s="357">
        <v>0.73091664044997162</v>
      </c>
      <c r="M8" s="357">
        <v>3.7205992402132057E-2</v>
      </c>
      <c r="N8" s="358">
        <v>0.14974045836073357</v>
      </c>
      <c r="O8" s="358">
        <v>6.3536453292811039</v>
      </c>
      <c r="P8" s="358" t="s">
        <v>99</v>
      </c>
      <c r="Q8" s="358" t="s">
        <v>99</v>
      </c>
      <c r="R8" s="358">
        <v>0.84916559276818682</v>
      </c>
      <c r="S8" s="358">
        <v>28.883925497987057</v>
      </c>
      <c r="T8" s="357" t="s">
        <v>99</v>
      </c>
      <c r="U8" s="357">
        <v>3.2505868811293921E-2</v>
      </c>
      <c r="V8" s="357">
        <v>3.1613624335839467E-2</v>
      </c>
      <c r="W8" s="357">
        <v>20.91188464781732</v>
      </c>
      <c r="X8" s="357">
        <v>0.11242346507589568</v>
      </c>
      <c r="Y8" s="357">
        <v>0.27349123608217429</v>
      </c>
      <c r="Z8" s="357">
        <v>0.27349123608217429</v>
      </c>
      <c r="AA8" s="359">
        <v>1.6736924278596722E-3</v>
      </c>
    </row>
    <row r="9" spans="1:27" s="354" customFormat="1" ht="12.5">
      <c r="A9" s="355" t="s">
        <v>683</v>
      </c>
      <c r="B9" s="356">
        <v>816</v>
      </c>
      <c r="C9" s="357">
        <v>9.0462953846153923E-2</v>
      </c>
      <c r="D9" s="357">
        <v>1.0328958134624571E-4</v>
      </c>
      <c r="E9" s="357">
        <v>-1.9878893258210381E-4</v>
      </c>
      <c r="F9" s="357">
        <v>0.20368678246331401</v>
      </c>
      <c r="G9" s="353">
        <v>0.66138870502462699</v>
      </c>
      <c r="H9" s="358">
        <v>0.7372332048488982</v>
      </c>
      <c r="I9" s="357">
        <v>5.3878466575052048E-2</v>
      </c>
      <c r="J9" s="357">
        <v>0.19215480409539265</v>
      </c>
      <c r="K9" s="357">
        <v>3.3800000000000004E-2</v>
      </c>
      <c r="L9" s="357">
        <v>0.63959448420053988</v>
      </c>
      <c r="M9" s="357">
        <v>3.5631816710949296E-2</v>
      </c>
      <c r="N9" s="358">
        <v>0.22938959797579286</v>
      </c>
      <c r="O9" s="358">
        <v>4.4604026563522723</v>
      </c>
      <c r="P9" s="358" t="s">
        <v>99</v>
      </c>
      <c r="Q9" s="358" t="s">
        <v>99</v>
      </c>
      <c r="R9" s="358">
        <v>0.93914809919445397</v>
      </c>
      <c r="S9" s="358">
        <v>24.903502919393066</v>
      </c>
      <c r="T9" s="357" t="s">
        <v>99</v>
      </c>
      <c r="U9" s="357">
        <v>4.7393923824739642E-2</v>
      </c>
      <c r="V9" s="357">
        <v>7.984463977211817E-2</v>
      </c>
      <c r="W9" s="357" t="s">
        <v>99</v>
      </c>
      <c r="X9" s="357">
        <v>9.7813108396503909E-2</v>
      </c>
      <c r="Y9" s="357">
        <v>0.26641100825320135</v>
      </c>
      <c r="Z9" s="357">
        <v>0.26641100825320141</v>
      </c>
      <c r="AA9" s="359">
        <v>-1.0817144530146413E-3</v>
      </c>
    </row>
    <row r="10" spans="1:27" s="354" customFormat="1" ht="12.5">
      <c r="A10" s="355" t="s">
        <v>506</v>
      </c>
      <c r="B10" s="356">
        <v>219</v>
      </c>
      <c r="C10" s="357">
        <v>5.5807803468208066E-2</v>
      </c>
      <c r="D10" s="357">
        <v>0.21794915189633945</v>
      </c>
      <c r="E10" s="357">
        <v>0.1302382056431195</v>
      </c>
      <c r="F10" s="357">
        <v>0.26070513026418185</v>
      </c>
      <c r="G10" s="353">
        <v>0.85896545362063104</v>
      </c>
      <c r="H10" s="358">
        <v>0.92090243003027572</v>
      </c>
      <c r="I10" s="357">
        <v>6.3539467819592507E-2</v>
      </c>
      <c r="J10" s="357">
        <v>0.25204820366049158</v>
      </c>
      <c r="K10" s="357">
        <v>4.0400000000000005E-2</v>
      </c>
      <c r="L10" s="357">
        <v>0.12924031417486145</v>
      </c>
      <c r="M10" s="357">
        <v>5.9243588555583176E-2</v>
      </c>
      <c r="N10" s="358">
        <v>0.72317532053776501</v>
      </c>
      <c r="O10" s="358">
        <v>5.3009781589270615</v>
      </c>
      <c r="P10" s="358">
        <v>19.765968125565983</v>
      </c>
      <c r="Q10" s="358">
        <v>24.195400759974508</v>
      </c>
      <c r="R10" s="358">
        <v>4.4481171369433268</v>
      </c>
      <c r="S10" s="358">
        <v>44.851489172576848</v>
      </c>
      <c r="T10" s="357">
        <v>8.8092151339660321E-2</v>
      </c>
      <c r="U10" s="357">
        <v>4.1966264950670663E-2</v>
      </c>
      <c r="V10" s="357">
        <v>3.8145715766077009E-3</v>
      </c>
      <c r="W10" s="357">
        <v>6.1904632235447888E-4</v>
      </c>
      <c r="X10" s="357">
        <v>0.14566001091751701</v>
      </c>
      <c r="Y10" s="357">
        <v>0.43890122855911506</v>
      </c>
      <c r="Z10" s="357">
        <v>0.43890122855911506</v>
      </c>
      <c r="AA10" s="359">
        <v>0.21828449276979628</v>
      </c>
    </row>
    <row r="11" spans="1:27" s="354" customFormat="1" ht="12.5">
      <c r="A11" s="355" t="s">
        <v>684</v>
      </c>
      <c r="B11" s="356">
        <v>100</v>
      </c>
      <c r="C11" s="357">
        <v>7.5315166666666669E-2</v>
      </c>
      <c r="D11" s="357">
        <v>0.17190985297251421</v>
      </c>
      <c r="E11" s="357">
        <v>0.22203947756178474</v>
      </c>
      <c r="F11" s="357">
        <v>0.24433613620151137</v>
      </c>
      <c r="G11" s="353">
        <v>0.81462342739717719</v>
      </c>
      <c r="H11" s="358">
        <v>0.8838214934890084</v>
      </c>
      <c r="I11" s="357">
        <v>6.1589010557521848E-2</v>
      </c>
      <c r="J11" s="357">
        <v>0.30683803257362013</v>
      </c>
      <c r="K11" s="357">
        <v>4.0400000000000005E-2</v>
      </c>
      <c r="L11" s="357">
        <v>0.14281839695018891</v>
      </c>
      <c r="M11" s="357">
        <v>5.7120364227539036E-2</v>
      </c>
      <c r="N11" s="358">
        <v>1.4547388292735512</v>
      </c>
      <c r="O11" s="358">
        <v>4.1909320175085218</v>
      </c>
      <c r="P11" s="358">
        <v>19.401824087295569</v>
      </c>
      <c r="Q11" s="358">
        <v>24.26434610924019</v>
      </c>
      <c r="R11" s="358">
        <v>6.6554108982808966</v>
      </c>
      <c r="S11" s="358">
        <v>70.240049088776445</v>
      </c>
      <c r="T11" s="357">
        <v>-5.1763655911389386E-2</v>
      </c>
      <c r="U11" s="357">
        <v>4.4794497319526255E-2</v>
      </c>
      <c r="V11" s="357">
        <v>4.1359988705378374E-2</v>
      </c>
      <c r="W11" s="357">
        <v>0.2864594920560114</v>
      </c>
      <c r="X11" s="357">
        <v>0.24731986590461932</v>
      </c>
      <c r="Y11" s="357">
        <v>0.75415189854831</v>
      </c>
      <c r="Z11" s="357">
        <v>0.75415189854831</v>
      </c>
      <c r="AA11" s="359">
        <v>0.17241253195656203</v>
      </c>
    </row>
    <row r="12" spans="1:27" s="354" customFormat="1" ht="12.5">
      <c r="A12" s="355" t="s">
        <v>685</v>
      </c>
      <c r="B12" s="356">
        <v>139</v>
      </c>
      <c r="C12" s="357">
        <v>1.8059655172413792E-2</v>
      </c>
      <c r="D12" s="357">
        <v>0.15739832815923319</v>
      </c>
      <c r="E12" s="357">
        <v>0.14843946881188957</v>
      </c>
      <c r="F12" s="357">
        <v>0.22760724752419223</v>
      </c>
      <c r="G12" s="353">
        <v>0.80833879153702759</v>
      </c>
      <c r="H12" s="358">
        <v>1.0940244505371257</v>
      </c>
      <c r="I12" s="357">
        <v>7.264568609825281E-2</v>
      </c>
      <c r="J12" s="357">
        <v>0.32837290457933188</v>
      </c>
      <c r="K12" s="357">
        <v>4.0400000000000005E-2</v>
      </c>
      <c r="L12" s="357">
        <v>0.40355659638413288</v>
      </c>
      <c r="M12" s="357">
        <v>5.5556805144891017E-2</v>
      </c>
      <c r="N12" s="358">
        <v>1.1393690544768109</v>
      </c>
      <c r="O12" s="358">
        <v>1.5854016127255348</v>
      </c>
      <c r="P12" s="358">
        <v>7.3394652714791127</v>
      </c>
      <c r="Q12" s="358">
        <v>9.9726906511674223</v>
      </c>
      <c r="R12" s="358">
        <v>1.1364201887933771</v>
      </c>
      <c r="S12" s="358">
        <v>41.599630597037567</v>
      </c>
      <c r="T12" s="357">
        <v>9.6895490447640426E-2</v>
      </c>
      <c r="U12" s="357">
        <v>3.3465454747841419E-2</v>
      </c>
      <c r="V12" s="357">
        <v>1.536153808767424E-2</v>
      </c>
      <c r="W12" s="357">
        <v>0.72883101237152792</v>
      </c>
      <c r="X12" s="357">
        <v>0.13346324081446648</v>
      </c>
      <c r="Y12" s="357">
        <v>0.25046767216384253</v>
      </c>
      <c r="Z12" s="357">
        <v>0.25046767216384258</v>
      </c>
      <c r="AA12" s="359">
        <v>0.15662202949102244</v>
      </c>
    </row>
    <row r="13" spans="1:27" s="354" customFormat="1" ht="12.5">
      <c r="A13" s="355" t="s">
        <v>686</v>
      </c>
      <c r="B13" s="356">
        <v>599</v>
      </c>
      <c r="C13" s="357">
        <v>0.15494220183486232</v>
      </c>
      <c r="D13" s="357">
        <v>1.8452197655494426E-2</v>
      </c>
      <c r="E13" s="357">
        <v>3.6598308950019842E-3</v>
      </c>
      <c r="F13" s="357">
        <v>0.21963887009183547</v>
      </c>
      <c r="G13" s="353">
        <v>0.45000745557375477</v>
      </c>
      <c r="H13" s="358">
        <v>0.91644923419476632</v>
      </c>
      <c r="I13" s="357">
        <v>6.3305229718644704E-2</v>
      </c>
      <c r="J13" s="357">
        <v>0.30270055107808447</v>
      </c>
      <c r="K13" s="357">
        <v>4.0400000000000005E-2</v>
      </c>
      <c r="L13" s="357">
        <v>0.66354770858050638</v>
      </c>
      <c r="M13" s="357">
        <v>4.1404685167664781E-2</v>
      </c>
      <c r="N13" s="358">
        <v>0.21945659992468944</v>
      </c>
      <c r="O13" s="358">
        <v>6.1118486679454067</v>
      </c>
      <c r="P13" s="358">
        <v>145.39801135677905</v>
      </c>
      <c r="Q13" s="358" t="s">
        <v>99</v>
      </c>
      <c r="R13" s="358">
        <v>1.4822015010926872</v>
      </c>
      <c r="S13" s="358">
        <v>35.400303039401535</v>
      </c>
      <c r="T13" s="357" t="s">
        <v>99</v>
      </c>
      <c r="U13" s="357">
        <v>3.0199249157337339E-2</v>
      </c>
      <c r="V13" s="357">
        <v>-2.3799526575878373E-3</v>
      </c>
      <c r="W13" s="357">
        <v>-10.368075570850641</v>
      </c>
      <c r="X13" s="357">
        <v>0.14708442590964979</v>
      </c>
      <c r="Y13" s="357">
        <v>0.36975144322577064</v>
      </c>
      <c r="Z13" s="357">
        <v>0.36975144322577069</v>
      </c>
      <c r="AA13" s="359">
        <v>1.9354410552105617E-2</v>
      </c>
    </row>
    <row r="14" spans="1:27" s="354" customFormat="1" ht="12.5">
      <c r="A14" s="355" t="s">
        <v>687</v>
      </c>
      <c r="B14" s="356">
        <v>449</v>
      </c>
      <c r="C14" s="357">
        <v>6.3021604584527269E-2</v>
      </c>
      <c r="D14" s="357">
        <v>0.11322914933881555</v>
      </c>
      <c r="E14" s="357">
        <v>0.18207973069883476</v>
      </c>
      <c r="F14" s="357">
        <v>0.23523115155532526</v>
      </c>
      <c r="G14" s="353">
        <v>1.0516109209589848</v>
      </c>
      <c r="H14" s="358">
        <v>1.118843607970198</v>
      </c>
      <c r="I14" s="357">
        <v>7.395117377923241E-2</v>
      </c>
      <c r="J14" s="357">
        <v>0.28033869784105359</v>
      </c>
      <c r="K14" s="357">
        <v>4.0400000000000005E-2</v>
      </c>
      <c r="L14" s="357">
        <v>0.15146564753406297</v>
      </c>
      <c r="M14" s="357">
        <v>6.7339520477139064E-2</v>
      </c>
      <c r="N14" s="358">
        <v>1.9207262185722309</v>
      </c>
      <c r="O14" s="358">
        <v>2.0016532316693967</v>
      </c>
      <c r="P14" s="358">
        <v>12.88305355321155</v>
      </c>
      <c r="Q14" s="358">
        <v>17.428755729361715</v>
      </c>
      <c r="R14" s="358">
        <v>3.3421957960917124</v>
      </c>
      <c r="S14" s="358">
        <v>66.276654505597776</v>
      </c>
      <c r="T14" s="357">
        <v>0.16314694678034158</v>
      </c>
      <c r="U14" s="357">
        <v>3.7975504885286428E-2</v>
      </c>
      <c r="V14" s="357">
        <v>3.2959674260180927E-2</v>
      </c>
      <c r="W14" s="357">
        <v>0.49692437860489486</v>
      </c>
      <c r="X14" s="357">
        <v>0.1698539227799756</v>
      </c>
      <c r="Y14" s="357">
        <v>0.27340547096016066</v>
      </c>
      <c r="Z14" s="357">
        <v>0.27340547096016066</v>
      </c>
      <c r="AA14" s="359">
        <v>0.11469694869580641</v>
      </c>
    </row>
    <row r="15" spans="1:27" s="354" customFormat="1" ht="12.5">
      <c r="A15" s="355" t="s">
        <v>688</v>
      </c>
      <c r="B15" s="356">
        <v>948</v>
      </c>
      <c r="C15" s="357">
        <v>5.9959058219178102E-2</v>
      </c>
      <c r="D15" s="357">
        <v>8.4161259092761648E-2</v>
      </c>
      <c r="E15" s="357">
        <v>0.195131567973233</v>
      </c>
      <c r="F15" s="357">
        <v>0.25522392488247392</v>
      </c>
      <c r="G15" s="353">
        <v>1.034888420252259</v>
      </c>
      <c r="H15" s="358">
        <v>1.1058963659887098</v>
      </c>
      <c r="I15" s="357">
        <v>7.3270148851006134E-2</v>
      </c>
      <c r="J15" s="357">
        <v>0.32342540173106121</v>
      </c>
      <c r="K15" s="357">
        <v>4.0400000000000005E-2</v>
      </c>
      <c r="L15" s="357">
        <v>0.15501805706750268</v>
      </c>
      <c r="M15" s="357">
        <v>6.660899986422178E-2</v>
      </c>
      <c r="N15" s="358">
        <v>2.7155500036360642</v>
      </c>
      <c r="O15" s="358">
        <v>2.3481930203402368</v>
      </c>
      <c r="P15" s="358">
        <v>17.077872619073723</v>
      </c>
      <c r="Q15" s="358">
        <v>26.198126833108557</v>
      </c>
      <c r="R15" s="358">
        <v>4.4706149638763684</v>
      </c>
      <c r="S15" s="358">
        <v>83.44953125089296</v>
      </c>
      <c r="T15" s="357">
        <v>9.9017269076309228E-2</v>
      </c>
      <c r="U15" s="357">
        <v>2.2459011396246009E-2</v>
      </c>
      <c r="V15" s="357">
        <v>1.8732578896551822E-2</v>
      </c>
      <c r="W15" s="357">
        <v>0.41381989227101956</v>
      </c>
      <c r="X15" s="357">
        <v>0.15401079666199044</v>
      </c>
      <c r="Y15" s="357">
        <v>0.39715129561444124</v>
      </c>
      <c r="Z15" s="357">
        <v>0.39715129561444118</v>
      </c>
      <c r="AA15" s="359">
        <v>8.6005375303710885E-2</v>
      </c>
    </row>
    <row r="16" spans="1:27" s="354" customFormat="1" ht="12.5">
      <c r="A16" s="355" t="s">
        <v>689</v>
      </c>
      <c r="B16" s="356">
        <v>54</v>
      </c>
      <c r="C16" s="357">
        <v>3.6265853658536587E-2</v>
      </c>
      <c r="D16" s="357">
        <v>0.19022318847102621</v>
      </c>
      <c r="E16" s="357">
        <v>0.1300867452515298</v>
      </c>
      <c r="F16" s="357">
        <v>0.25014412321263152</v>
      </c>
      <c r="G16" s="353">
        <v>0.71212981670502995</v>
      </c>
      <c r="H16" s="358">
        <v>0.99186346090864785</v>
      </c>
      <c r="I16" s="357">
        <v>6.7272018043794873E-2</v>
      </c>
      <c r="J16" s="357">
        <v>0.25394099714328017</v>
      </c>
      <c r="K16" s="357">
        <v>4.0400000000000005E-2</v>
      </c>
      <c r="L16" s="357">
        <v>0.36871437739759638</v>
      </c>
      <c r="M16" s="357">
        <v>5.3639903429644344E-2</v>
      </c>
      <c r="N16" s="358">
        <v>0.80491089853914344</v>
      </c>
      <c r="O16" s="358">
        <v>3.2469485986887721</v>
      </c>
      <c r="P16" s="358">
        <v>9.7944340692338177</v>
      </c>
      <c r="Q16" s="358">
        <v>17.076096431323403</v>
      </c>
      <c r="R16" s="358">
        <v>2.671368922797507</v>
      </c>
      <c r="S16" s="358">
        <v>30.633594726895119</v>
      </c>
      <c r="T16" s="357">
        <v>7.2116223021930015E-3</v>
      </c>
      <c r="U16" s="357">
        <v>0.10785785727282911</v>
      </c>
      <c r="V16" s="357">
        <v>-1.1778116070334552E-2</v>
      </c>
      <c r="W16" s="357">
        <v>-5.6067087549653533E-2</v>
      </c>
      <c r="X16" s="357">
        <v>0.15219360765722542</v>
      </c>
      <c r="Y16" s="357">
        <v>0.25204662726783561</v>
      </c>
      <c r="Z16" s="357">
        <v>0.25204662726783567</v>
      </c>
      <c r="AA16" s="359">
        <v>0.19022629467515539</v>
      </c>
    </row>
    <row r="17" spans="1:27" s="354" customFormat="1" ht="12.5">
      <c r="A17" s="355" t="s">
        <v>690</v>
      </c>
      <c r="B17" s="356">
        <v>854</v>
      </c>
      <c r="C17" s="357">
        <v>0.10183789137380189</v>
      </c>
      <c r="D17" s="357">
        <v>0.1254853150733761</v>
      </c>
      <c r="E17" s="357">
        <v>0.13693265275656669</v>
      </c>
      <c r="F17" s="357">
        <v>0.19099032988116654</v>
      </c>
      <c r="G17" s="353">
        <v>1.019423503140594</v>
      </c>
      <c r="H17" s="358">
        <v>1.1361222166300649</v>
      </c>
      <c r="I17" s="357">
        <v>7.4860028594741418E-2</v>
      </c>
      <c r="J17" s="357">
        <v>0.29518907722389626</v>
      </c>
      <c r="K17" s="357">
        <v>4.0400000000000005E-2</v>
      </c>
      <c r="L17" s="357">
        <v>0.22347788057332674</v>
      </c>
      <c r="M17" s="357">
        <v>6.4901847846101771E-2</v>
      </c>
      <c r="N17" s="358">
        <v>1.276877647002252</v>
      </c>
      <c r="O17" s="358">
        <v>1.597656952437307</v>
      </c>
      <c r="P17" s="358">
        <v>8.8002307184756372</v>
      </c>
      <c r="Q17" s="358">
        <v>12.333044234546465</v>
      </c>
      <c r="R17" s="358">
        <v>1.9222744211919043</v>
      </c>
      <c r="S17" s="358">
        <v>71.65296521126902</v>
      </c>
      <c r="T17" s="357">
        <v>0.12701261692842419</v>
      </c>
      <c r="U17" s="357">
        <v>8.3992720908773272E-2</v>
      </c>
      <c r="V17" s="357">
        <v>5.9890191714082858E-2</v>
      </c>
      <c r="W17" s="357">
        <v>0.86074387613751724</v>
      </c>
      <c r="X17" s="357">
        <v>0.17904217450125054</v>
      </c>
      <c r="Y17" s="357">
        <v>0.29407301643677597</v>
      </c>
      <c r="Z17" s="357">
        <v>0.29407301643677597</v>
      </c>
      <c r="AA17" s="359">
        <v>0.12735849459508572</v>
      </c>
    </row>
    <row r="18" spans="1:27" s="354" customFormat="1" ht="12.5">
      <c r="A18" s="355" t="s">
        <v>691</v>
      </c>
      <c r="B18" s="356">
        <v>71</v>
      </c>
      <c r="C18" s="357">
        <v>6.0420952380952374E-2</v>
      </c>
      <c r="D18" s="357">
        <v>0.1150904544943412</v>
      </c>
      <c r="E18" s="357">
        <v>0.11000865238866055</v>
      </c>
      <c r="F18" s="357">
        <v>0.21153545872282883</v>
      </c>
      <c r="G18" s="353">
        <v>1.1435954227980205</v>
      </c>
      <c r="H18" s="358">
        <v>1.4031540999878529</v>
      </c>
      <c r="I18" s="357">
        <v>8.8905905659361059E-2</v>
      </c>
      <c r="J18" s="357">
        <v>0.24802826424181612</v>
      </c>
      <c r="K18" s="357">
        <v>3.3800000000000004E-2</v>
      </c>
      <c r="L18" s="357">
        <v>0.30619471112751695</v>
      </c>
      <c r="M18" s="357">
        <v>6.9445423485545277E-2</v>
      </c>
      <c r="N18" s="358">
        <v>1.1928368145194908</v>
      </c>
      <c r="O18" s="358">
        <v>1.2026694544700858</v>
      </c>
      <c r="P18" s="358">
        <v>6.9324763781470118</v>
      </c>
      <c r="Q18" s="358">
        <v>10.365940777240223</v>
      </c>
      <c r="R18" s="358">
        <v>1.4440542319516374</v>
      </c>
      <c r="S18" s="358">
        <v>19.816760266521058</v>
      </c>
      <c r="T18" s="357">
        <v>0.1669565823564432</v>
      </c>
      <c r="U18" s="357">
        <v>5.3503326097392334E-2</v>
      </c>
      <c r="V18" s="357">
        <v>2.3175042368213269E-2</v>
      </c>
      <c r="W18" s="357">
        <v>0.44861305514442557</v>
      </c>
      <c r="X18" s="357">
        <v>0.13399234336985921</v>
      </c>
      <c r="Y18" s="357">
        <v>0.36879123823642057</v>
      </c>
      <c r="Z18" s="357">
        <v>0.36879123823642057</v>
      </c>
      <c r="AA18" s="359">
        <v>0.11497133470922671</v>
      </c>
    </row>
    <row r="19" spans="1:27" s="354" customFormat="1" ht="12.5">
      <c r="A19" s="355" t="s">
        <v>692</v>
      </c>
      <c r="B19" s="356">
        <v>898</v>
      </c>
      <c r="C19" s="357">
        <v>9.5149849498327707E-2</v>
      </c>
      <c r="D19" s="357">
        <v>0.13599534057610846</v>
      </c>
      <c r="E19" s="357">
        <v>0.14707006878043802</v>
      </c>
      <c r="F19" s="357">
        <v>0.20150021156475381</v>
      </c>
      <c r="G19" s="353">
        <v>1.0379171432897292</v>
      </c>
      <c r="H19" s="358">
        <v>1.106939031227731</v>
      </c>
      <c r="I19" s="357">
        <v>7.3324993042578654E-2</v>
      </c>
      <c r="J19" s="357">
        <v>0.3076472863588649</v>
      </c>
      <c r="K19" s="357">
        <v>4.0400000000000005E-2</v>
      </c>
      <c r="L19" s="357">
        <v>0.13717913174815943</v>
      </c>
      <c r="M19" s="357">
        <v>6.7422861853527111E-2</v>
      </c>
      <c r="N19" s="358">
        <v>1.2522363682932998</v>
      </c>
      <c r="O19" s="358">
        <v>2.9043272980490888</v>
      </c>
      <c r="P19" s="358">
        <v>14.557587354835901</v>
      </c>
      <c r="Q19" s="358">
        <v>20.979208710878872</v>
      </c>
      <c r="R19" s="358">
        <v>3.3605366252371152</v>
      </c>
      <c r="S19" s="358">
        <v>45.967145779035391</v>
      </c>
      <c r="T19" s="357">
        <v>0.17730838243972824</v>
      </c>
      <c r="U19" s="357">
        <v>7.2185351096449954E-2</v>
      </c>
      <c r="V19" s="357">
        <v>4.6584219137677074E-2</v>
      </c>
      <c r="W19" s="357">
        <v>0.56317247030465956</v>
      </c>
      <c r="X19" s="357">
        <v>0.15459574781393212</v>
      </c>
      <c r="Y19" s="357">
        <v>0.33472651529688596</v>
      </c>
      <c r="Z19" s="357">
        <v>0.33472651529688591</v>
      </c>
      <c r="AA19" s="359">
        <v>0.13854725526088174</v>
      </c>
    </row>
    <row r="20" spans="1:27" s="354" customFormat="1" ht="12.5">
      <c r="A20" s="355" t="s">
        <v>693</v>
      </c>
      <c r="B20" s="356">
        <v>206</v>
      </c>
      <c r="C20" s="357">
        <v>0.10247798165137617</v>
      </c>
      <c r="D20" s="357">
        <v>0.17168028247758654</v>
      </c>
      <c r="E20" s="357">
        <v>0.18046530915311906</v>
      </c>
      <c r="F20" s="357">
        <v>0.2249929636464062</v>
      </c>
      <c r="G20" s="353">
        <v>1.087404452862955</v>
      </c>
      <c r="H20" s="358">
        <v>1.1269458657734746</v>
      </c>
      <c r="I20" s="357">
        <v>7.4377352539684763E-2</v>
      </c>
      <c r="J20" s="357">
        <v>0.44900567823215992</v>
      </c>
      <c r="K20" s="357">
        <v>4.4580000000000009E-2</v>
      </c>
      <c r="L20" s="357">
        <v>0.29163516474050882</v>
      </c>
      <c r="M20" s="357">
        <v>6.2437122811909808E-2</v>
      </c>
      <c r="N20" s="358">
        <v>1.1248637774971952</v>
      </c>
      <c r="O20" s="358">
        <v>1.2371727116757574</v>
      </c>
      <c r="P20" s="358">
        <v>4.7088611102541647</v>
      </c>
      <c r="Q20" s="358">
        <v>6.7913183886254656</v>
      </c>
      <c r="R20" s="358">
        <v>1.1762027586426183</v>
      </c>
      <c r="S20" s="358">
        <v>51.036653185157519</v>
      </c>
      <c r="T20" s="357">
        <v>-1.8569185591852402E-2</v>
      </c>
      <c r="U20" s="357">
        <v>7.1084374464417358E-2</v>
      </c>
      <c r="V20" s="357">
        <v>3.7949460245922946E-2</v>
      </c>
      <c r="W20" s="357">
        <v>0.26446122755836421</v>
      </c>
      <c r="X20" s="357">
        <v>0.1346193475163229</v>
      </c>
      <c r="Y20" s="357">
        <v>0.63438373208153398</v>
      </c>
      <c r="Z20" s="357">
        <v>0.63438373208153398</v>
      </c>
      <c r="AA20" s="359">
        <v>0.1730722645904654</v>
      </c>
    </row>
    <row r="21" spans="1:27" s="354" customFormat="1" ht="12.5">
      <c r="A21" s="355" t="s">
        <v>507</v>
      </c>
      <c r="B21" s="356">
        <v>1040</v>
      </c>
      <c r="C21" s="357">
        <v>8.8413371266002849E-2</v>
      </c>
      <c r="D21" s="357">
        <v>7.1005998561306238E-2</v>
      </c>
      <c r="E21" s="357">
        <v>0.21216102854698943</v>
      </c>
      <c r="F21" s="357">
        <v>0.23768986525070973</v>
      </c>
      <c r="G21" s="353">
        <v>1.0859424888659319</v>
      </c>
      <c r="H21" s="358">
        <v>1.1194804007685029</v>
      </c>
      <c r="I21" s="357">
        <v>7.3984669080423254E-2</v>
      </c>
      <c r="J21" s="357">
        <v>0.3178022147834853</v>
      </c>
      <c r="K21" s="357">
        <v>4.0400000000000005E-2</v>
      </c>
      <c r="L21" s="357">
        <v>0.11071567434317883</v>
      </c>
      <c r="M21" s="357">
        <v>6.9148091484725574E-2</v>
      </c>
      <c r="N21" s="358">
        <v>3.4445685929185372</v>
      </c>
      <c r="O21" s="358">
        <v>1.6693508154641841</v>
      </c>
      <c r="P21" s="358">
        <v>15.876580918265343</v>
      </c>
      <c r="Q21" s="358">
        <v>22.370829098468235</v>
      </c>
      <c r="R21" s="358">
        <v>4.7232498594280399</v>
      </c>
      <c r="S21" s="358">
        <v>77.490892349686391</v>
      </c>
      <c r="T21" s="357">
        <v>0.14396138673690137</v>
      </c>
      <c r="U21" s="357">
        <v>1.4734770045120372E-2</v>
      </c>
      <c r="V21" s="357">
        <v>1.2408356424096047E-2</v>
      </c>
      <c r="W21" s="357">
        <v>0.34247507974849473</v>
      </c>
      <c r="X21" s="357">
        <v>0.16203687158794108</v>
      </c>
      <c r="Y21" s="357">
        <v>0.45350477108677362</v>
      </c>
      <c r="Z21" s="357">
        <v>0.45350477108677367</v>
      </c>
      <c r="AA21" s="359">
        <v>7.3892714992320904E-2</v>
      </c>
    </row>
    <row r="22" spans="1:27" s="354" customFormat="1" ht="12.5">
      <c r="A22" s="355" t="s">
        <v>508</v>
      </c>
      <c r="B22" s="356">
        <v>336</v>
      </c>
      <c r="C22" s="357">
        <v>4.2003705179282882E-2</v>
      </c>
      <c r="D22" s="357">
        <v>0.13420801258847981</v>
      </c>
      <c r="E22" s="357">
        <v>0.22731167282354162</v>
      </c>
      <c r="F22" s="357">
        <v>0.17035675915354098</v>
      </c>
      <c r="G22" s="353">
        <v>1.3261720479709764</v>
      </c>
      <c r="H22" s="358">
        <v>1.3545573197237926</v>
      </c>
      <c r="I22" s="357">
        <v>8.634971501747149E-2</v>
      </c>
      <c r="J22" s="357">
        <v>0.33865869728221859</v>
      </c>
      <c r="K22" s="357">
        <v>4.0400000000000005E-2</v>
      </c>
      <c r="L22" s="357">
        <v>8.4819040314930094E-2</v>
      </c>
      <c r="M22" s="357">
        <v>8.159563197976423E-2</v>
      </c>
      <c r="N22" s="358">
        <v>1.8795730347568325</v>
      </c>
      <c r="O22" s="358">
        <v>2.7942470732119915</v>
      </c>
      <c r="P22" s="358">
        <v>15.557308034826878</v>
      </c>
      <c r="Q22" s="358">
        <v>20.602691486321962</v>
      </c>
      <c r="R22" s="358">
        <v>6.7665197195831697</v>
      </c>
      <c r="S22" s="358">
        <v>41.633679475354413</v>
      </c>
      <c r="T22" s="357">
        <v>2.2248699917148208E-2</v>
      </c>
      <c r="U22" s="357">
        <v>4.6925212227599641E-2</v>
      </c>
      <c r="V22" s="357">
        <v>3.2827286518238762E-2</v>
      </c>
      <c r="W22" s="357">
        <v>0.37029589006892605</v>
      </c>
      <c r="X22" s="357">
        <v>0.34074969243364617</v>
      </c>
      <c r="Y22" s="357">
        <v>0.25742826139615732</v>
      </c>
      <c r="Z22" s="357">
        <v>0.25742826139615738</v>
      </c>
      <c r="AA22" s="359">
        <v>0.13717532124286425</v>
      </c>
    </row>
    <row r="23" spans="1:27" s="354" customFormat="1" ht="12.5">
      <c r="A23" s="355" t="s">
        <v>694</v>
      </c>
      <c r="B23" s="356">
        <v>784</v>
      </c>
      <c r="C23" s="357">
        <v>7.4234515050167052E-2</v>
      </c>
      <c r="D23" s="357">
        <v>9.9700015155526275E-2</v>
      </c>
      <c r="E23" s="357">
        <v>0.1031080627281033</v>
      </c>
      <c r="F23" s="357">
        <v>0.21413837828768953</v>
      </c>
      <c r="G23" s="353">
        <v>1.0188538661037581</v>
      </c>
      <c r="H23" s="358">
        <v>1.1571894446027715</v>
      </c>
      <c r="I23" s="357">
        <v>7.5968164786105782E-2</v>
      </c>
      <c r="J23" s="357">
        <v>0.28428217213446577</v>
      </c>
      <c r="K23" s="357">
        <v>4.0400000000000005E-2</v>
      </c>
      <c r="L23" s="357">
        <v>0.26554309882822053</v>
      </c>
      <c r="M23" s="357">
        <v>6.3841298791005432E-2</v>
      </c>
      <c r="N23" s="358">
        <v>1.1877188506102832</v>
      </c>
      <c r="O23" s="358">
        <v>1.5359911710330114</v>
      </c>
      <c r="P23" s="358">
        <v>9.6996372586891582</v>
      </c>
      <c r="Q23" s="358">
        <v>14.413173404233582</v>
      </c>
      <c r="R23" s="358">
        <v>1.6545950096783477</v>
      </c>
      <c r="S23" s="358">
        <v>83.180494729762572</v>
      </c>
      <c r="T23" s="357">
        <v>0.11058472194030441</v>
      </c>
      <c r="U23" s="357">
        <v>5.3591838303769686E-2</v>
      </c>
      <c r="V23" s="357">
        <v>3.5796678594107754E-2</v>
      </c>
      <c r="W23" s="357">
        <v>0.63503321477779107</v>
      </c>
      <c r="X23" s="357">
        <v>0.11261441512209489</v>
      </c>
      <c r="Y23" s="357">
        <v>0.4872110658449082</v>
      </c>
      <c r="Z23" s="357">
        <v>0.48721106584490825</v>
      </c>
      <c r="AA23" s="359">
        <v>0.10196080141016332</v>
      </c>
    </row>
    <row r="24" spans="1:27" s="354" customFormat="1" ht="12.5">
      <c r="A24" s="355" t="s">
        <v>695</v>
      </c>
      <c r="B24" s="356">
        <v>318</v>
      </c>
      <c r="C24" s="357">
        <v>7.9333945312500001E-2</v>
      </c>
      <c r="D24" s="357">
        <v>0.17094793633714722</v>
      </c>
      <c r="E24" s="357">
        <v>0.12454034333861526</v>
      </c>
      <c r="F24" s="357">
        <v>0.18456934409629669</v>
      </c>
      <c r="G24" s="353">
        <v>0.81599173352817267</v>
      </c>
      <c r="H24" s="358">
        <v>1.0538717452295296</v>
      </c>
      <c r="I24" s="357">
        <v>7.0533653799073254E-2</v>
      </c>
      <c r="J24" s="357">
        <v>0.23874797952027321</v>
      </c>
      <c r="K24" s="357">
        <v>3.3800000000000004E-2</v>
      </c>
      <c r="L24" s="357">
        <v>0.36232884846159458</v>
      </c>
      <c r="M24" s="357">
        <v>5.4162312548767688E-2</v>
      </c>
      <c r="N24" s="358">
        <v>0.85005852741487009</v>
      </c>
      <c r="O24" s="358">
        <v>1.8318941608933268</v>
      </c>
      <c r="P24" s="358">
        <v>8.3831365749235829</v>
      </c>
      <c r="Q24" s="358">
        <v>10.344015782300399</v>
      </c>
      <c r="R24" s="358">
        <v>1.200473639942399</v>
      </c>
      <c r="S24" s="358">
        <v>35.812846592019916</v>
      </c>
      <c r="T24" s="357">
        <v>-0.20072186982204104</v>
      </c>
      <c r="U24" s="357">
        <v>4.5552353048106523E-2</v>
      </c>
      <c r="V24" s="357">
        <v>3.5727032438049547E-2</v>
      </c>
      <c r="W24" s="357">
        <v>0.29352196818304338</v>
      </c>
      <c r="X24" s="357">
        <v>0.15311078720268695</v>
      </c>
      <c r="Y24" s="357">
        <v>0.14003089806773888</v>
      </c>
      <c r="Z24" s="357">
        <v>0.14003089806773894</v>
      </c>
      <c r="AA24" s="359">
        <v>0.17135881524418048</v>
      </c>
    </row>
    <row r="25" spans="1:27" s="354" customFormat="1" ht="12.5">
      <c r="A25" s="355" t="s">
        <v>696</v>
      </c>
      <c r="B25" s="356">
        <v>1223</v>
      </c>
      <c r="C25" s="357">
        <v>0.2725598423423426</v>
      </c>
      <c r="D25" s="357">
        <v>0.10866206804464593</v>
      </c>
      <c r="E25" s="357">
        <v>7.0506081837415288E-2</v>
      </c>
      <c r="F25" s="357">
        <v>0.12712654679326621</v>
      </c>
      <c r="G25" s="353">
        <v>1.0995477751708742</v>
      </c>
      <c r="H25" s="358">
        <v>1.1044876675583117</v>
      </c>
      <c r="I25" s="357">
        <v>7.3196051313567198E-2</v>
      </c>
      <c r="J25" s="357">
        <v>0.45420702418042541</v>
      </c>
      <c r="K25" s="357">
        <v>4.4580000000000009E-2</v>
      </c>
      <c r="L25" s="357">
        <v>0.10482815596938155</v>
      </c>
      <c r="M25" s="357">
        <v>6.9027973624962005E-2</v>
      </c>
      <c r="N25" s="358">
        <v>0.49198829684546491</v>
      </c>
      <c r="O25" s="358">
        <v>7.8705698445343453</v>
      </c>
      <c r="P25" s="358">
        <v>14.132888174042824</v>
      </c>
      <c r="Q25" s="358">
        <v>52.142945760445869</v>
      </c>
      <c r="R25" s="358">
        <v>5.8773916677363491</v>
      </c>
      <c r="S25" s="358">
        <v>188.72003212013664</v>
      </c>
      <c r="T25" s="357">
        <v>0.17868203186658602</v>
      </c>
      <c r="U25" s="357">
        <v>5.6319451162497959E-2</v>
      </c>
      <c r="V25" s="357">
        <v>0.13788348638401227</v>
      </c>
      <c r="W25" s="357">
        <v>2.4381763078636784</v>
      </c>
      <c r="X25" s="357">
        <v>-1.265233660853342E-2</v>
      </c>
      <c r="Y25" s="357">
        <v>1.7469244414724792E-3</v>
      </c>
      <c r="Z25" s="357">
        <v>1.7469244414725082E-3</v>
      </c>
      <c r="AA25" s="359">
        <v>0.14553082143009591</v>
      </c>
    </row>
    <row r="26" spans="1:27" s="354" customFormat="1" ht="12.5">
      <c r="A26" s="355" t="s">
        <v>697</v>
      </c>
      <c r="B26" s="356">
        <v>1371</v>
      </c>
      <c r="C26" s="357">
        <v>0.17784532959326782</v>
      </c>
      <c r="D26" s="357">
        <v>0.21443651696312521</v>
      </c>
      <c r="E26" s="357">
        <v>0.15533891167406097</v>
      </c>
      <c r="F26" s="357">
        <v>0.16089749310217782</v>
      </c>
      <c r="G26" s="353">
        <v>1.018070964021627</v>
      </c>
      <c r="H26" s="358">
        <v>1.0775601817466782</v>
      </c>
      <c r="I26" s="357">
        <v>7.1779665559875278E-2</v>
      </c>
      <c r="J26" s="357">
        <v>0.39786296480578942</v>
      </c>
      <c r="K26" s="357">
        <v>4.0400000000000005E-2</v>
      </c>
      <c r="L26" s="357">
        <v>0.12882992669944857</v>
      </c>
      <c r="M26" s="357">
        <v>6.6435843286278912E-2</v>
      </c>
      <c r="N26" s="358">
        <v>0.72372750503909877</v>
      </c>
      <c r="O26" s="358">
        <v>4.3072203653376766</v>
      </c>
      <c r="P26" s="358">
        <v>14.01756506083159</v>
      </c>
      <c r="Q26" s="358">
        <v>19.395587124409477</v>
      </c>
      <c r="R26" s="358">
        <v>3.9070693428554377</v>
      </c>
      <c r="S26" s="358">
        <v>54.437546232993952</v>
      </c>
      <c r="T26" s="357">
        <v>0.15045192833609722</v>
      </c>
      <c r="U26" s="357">
        <v>4.8696108167801858E-2</v>
      </c>
      <c r="V26" s="357">
        <v>5.7433549769644821E-2</v>
      </c>
      <c r="W26" s="357">
        <v>0.39181138458615739</v>
      </c>
      <c r="X26" s="357">
        <v>0.12595871454134275</v>
      </c>
      <c r="Y26" s="357">
        <v>0.74314367916302693</v>
      </c>
      <c r="Z26" s="357">
        <v>0.74314367916302693</v>
      </c>
      <c r="AA26" s="359">
        <v>0.23448744322135934</v>
      </c>
    </row>
    <row r="27" spans="1:27" s="354" customFormat="1" ht="12.5">
      <c r="A27" s="355" t="s">
        <v>698</v>
      </c>
      <c r="B27" s="356">
        <v>244</v>
      </c>
      <c r="C27" s="357">
        <v>7.7773846153846152E-2</v>
      </c>
      <c r="D27" s="357">
        <v>9.6140138413167694E-2</v>
      </c>
      <c r="E27" s="357">
        <v>8.4427654333280935E-2</v>
      </c>
      <c r="F27" s="357">
        <v>0.17821466796831487</v>
      </c>
      <c r="G27" s="353">
        <v>0.99466487286497829</v>
      </c>
      <c r="H27" s="358">
        <v>1.0631824876684701</v>
      </c>
      <c r="I27" s="357">
        <v>7.1023398851361524E-2</v>
      </c>
      <c r="J27" s="357">
        <v>0.3237640159084067</v>
      </c>
      <c r="K27" s="357">
        <v>4.0400000000000005E-2</v>
      </c>
      <c r="L27" s="357">
        <v>0.23534608860623782</v>
      </c>
      <c r="M27" s="357">
        <v>6.1439306216941832E-2</v>
      </c>
      <c r="N27" s="358">
        <v>0.95105794527488585</v>
      </c>
      <c r="O27" s="358">
        <v>2.7382057203019605</v>
      </c>
      <c r="P27" s="358">
        <v>12.414360129907049</v>
      </c>
      <c r="Q27" s="358">
        <v>24.566129524393371</v>
      </c>
      <c r="R27" s="358">
        <v>2.1419795377540467</v>
      </c>
      <c r="S27" s="358">
        <v>172.07045889590799</v>
      </c>
      <c r="T27" s="357">
        <v>-9.7118872374530353E-3</v>
      </c>
      <c r="U27" s="357">
        <v>8.2834159461968163E-2</v>
      </c>
      <c r="V27" s="357">
        <v>0.15324854351350051</v>
      </c>
      <c r="W27" s="357">
        <v>2.0812911399498266</v>
      </c>
      <c r="X27" s="357">
        <v>3.5086827411427837E-2</v>
      </c>
      <c r="Y27" s="357">
        <v>0.80901117116635013</v>
      </c>
      <c r="Z27" s="357">
        <v>0.80901117116635013</v>
      </c>
      <c r="AA27" s="359">
        <v>0.10149436847361079</v>
      </c>
    </row>
    <row r="28" spans="1:27" s="354" customFormat="1" ht="12.5">
      <c r="A28" s="355" t="s">
        <v>699</v>
      </c>
      <c r="B28" s="356">
        <v>999</v>
      </c>
      <c r="C28" s="357">
        <v>8.5675447530864327E-2</v>
      </c>
      <c r="D28" s="357">
        <v>7.098263724020451E-2</v>
      </c>
      <c r="E28" s="357">
        <v>0.11232819931545503</v>
      </c>
      <c r="F28" s="357">
        <v>0.19569729523838184</v>
      </c>
      <c r="G28" s="353">
        <v>1.0794141264744062</v>
      </c>
      <c r="H28" s="358">
        <v>1.0963399350526222</v>
      </c>
      <c r="I28" s="357">
        <v>7.2767480583767932E-2</v>
      </c>
      <c r="J28" s="357">
        <v>0.33717558911957879</v>
      </c>
      <c r="K28" s="357">
        <v>4.0400000000000005E-2</v>
      </c>
      <c r="L28" s="357">
        <v>0.10922733916095732</v>
      </c>
      <c r="M28" s="357">
        <v>6.8128870678733341E-2</v>
      </c>
      <c r="N28" s="358">
        <v>1.7049714240582912</v>
      </c>
      <c r="O28" s="358">
        <v>2.6197080757069147</v>
      </c>
      <c r="P28" s="358">
        <v>21.818266491429235</v>
      </c>
      <c r="Q28" s="358">
        <v>34.207425273300665</v>
      </c>
      <c r="R28" s="358">
        <v>3.7699986928347937</v>
      </c>
      <c r="S28" s="358">
        <v>66.410763809320045</v>
      </c>
      <c r="T28" s="357">
        <v>0.21636832700795189</v>
      </c>
      <c r="U28" s="357">
        <v>5.5195854997738276E-2</v>
      </c>
      <c r="V28" s="357">
        <v>6.3184219099487335E-2</v>
      </c>
      <c r="W28" s="357">
        <v>1.4178635843466945</v>
      </c>
      <c r="X28" s="357">
        <v>9.5887128097968344E-2</v>
      </c>
      <c r="Y28" s="357">
        <v>0.50806228697477906</v>
      </c>
      <c r="Z28" s="357">
        <v>0.50806228697477906</v>
      </c>
      <c r="AA28" s="359">
        <v>7.4767807027420086E-2</v>
      </c>
    </row>
    <row r="29" spans="1:27" s="354" customFormat="1" ht="12.5">
      <c r="A29" s="355" t="s">
        <v>700</v>
      </c>
      <c r="B29" s="356">
        <v>138</v>
      </c>
      <c r="C29" s="357">
        <v>2.5422352941176497E-2</v>
      </c>
      <c r="D29" s="357">
        <v>6.3683998529846575E-2</v>
      </c>
      <c r="E29" s="357">
        <v>0.11667340453145202</v>
      </c>
      <c r="F29" s="357">
        <v>0.18359949239119458</v>
      </c>
      <c r="G29" s="353">
        <v>1.1837226783232111</v>
      </c>
      <c r="H29" s="358">
        <v>1.2907351864587455</v>
      </c>
      <c r="I29" s="357">
        <v>8.2992670807730012E-2</v>
      </c>
      <c r="J29" s="357">
        <v>0.31536571621443654</v>
      </c>
      <c r="K29" s="357">
        <v>4.0400000000000005E-2</v>
      </c>
      <c r="L29" s="357">
        <v>0.23238187034529176</v>
      </c>
      <c r="M29" s="357">
        <v>7.0747849411940955E-2</v>
      </c>
      <c r="N29" s="358">
        <v>1.6809375717987154</v>
      </c>
      <c r="O29" s="358">
        <v>1.0565976114825613</v>
      </c>
      <c r="P29" s="358">
        <v>9.8988441468484591</v>
      </c>
      <c r="Q29" s="358">
        <v>16.025929264396034</v>
      </c>
      <c r="R29" s="358">
        <v>1.890039500119129</v>
      </c>
      <c r="S29" s="358">
        <v>167.97298549910099</v>
      </c>
      <c r="T29" s="357">
        <v>3.9618789126829777E-2</v>
      </c>
      <c r="U29" s="357">
        <v>4.7338746910571695E-2</v>
      </c>
      <c r="V29" s="357">
        <v>6.5461285299230287E-2</v>
      </c>
      <c r="W29" s="357">
        <v>1.4955966665729838</v>
      </c>
      <c r="X29" s="357">
        <v>0.14649401337524795</v>
      </c>
      <c r="Y29" s="357">
        <v>0.22192502231623787</v>
      </c>
      <c r="Z29" s="357">
        <v>0.2219250223162379</v>
      </c>
      <c r="AA29" s="359">
        <v>7.6962834098612126E-2</v>
      </c>
    </row>
    <row r="30" spans="1:27" s="354" customFormat="1" ht="12.5">
      <c r="A30" s="355" t="s">
        <v>701</v>
      </c>
      <c r="B30" s="356">
        <v>1425</v>
      </c>
      <c r="C30" s="357">
        <v>7.3061757925072038E-2</v>
      </c>
      <c r="D30" s="357">
        <v>8.342281140717156E-2</v>
      </c>
      <c r="E30" s="357">
        <v>0.14336708006673324</v>
      </c>
      <c r="F30" s="357">
        <v>0.16844309487795051</v>
      </c>
      <c r="G30" s="353">
        <v>1.3099307680300021</v>
      </c>
      <c r="H30" s="358">
        <v>1.3003336732122071</v>
      </c>
      <c r="I30" s="357">
        <v>8.3497551210962098E-2</v>
      </c>
      <c r="J30" s="357">
        <v>0.31028467082163019</v>
      </c>
      <c r="K30" s="357">
        <v>4.0400000000000005E-2</v>
      </c>
      <c r="L30" s="357">
        <v>0.11550999089770773</v>
      </c>
      <c r="M30" s="357">
        <v>7.7352702554803532E-2</v>
      </c>
      <c r="N30" s="358">
        <v>1.5764726495723238</v>
      </c>
      <c r="O30" s="358">
        <v>1.9430908691410391</v>
      </c>
      <c r="P30" s="358">
        <v>14.615143782541514</v>
      </c>
      <c r="Q30" s="358">
        <v>22.497559829671356</v>
      </c>
      <c r="R30" s="358">
        <v>3.0301711494177308</v>
      </c>
      <c r="S30" s="358">
        <v>70.145638737395799</v>
      </c>
      <c r="T30" s="357">
        <v>0.1854858097499861</v>
      </c>
      <c r="U30" s="357">
        <v>5.9545738343157954E-2</v>
      </c>
      <c r="V30" s="357">
        <v>6.341272234412805E-2</v>
      </c>
      <c r="W30" s="357">
        <v>1.2898308301471106</v>
      </c>
      <c r="X30" s="357">
        <v>0.13300111722461752</v>
      </c>
      <c r="Y30" s="357">
        <v>0.3186359885929218</v>
      </c>
      <c r="Z30" s="357">
        <v>0.31863598859292175</v>
      </c>
      <c r="AA30" s="359">
        <v>0.10122978675717055</v>
      </c>
    </row>
    <row r="31" spans="1:27" s="354" customFormat="1" ht="12.5">
      <c r="A31" s="355" t="s">
        <v>702</v>
      </c>
      <c r="B31" s="356">
        <v>1267</v>
      </c>
      <c r="C31" s="357">
        <v>3.4862134831460639E-2</v>
      </c>
      <c r="D31" s="357">
        <v>4.8072625266089533E-2</v>
      </c>
      <c r="E31" s="357">
        <v>9.0537065784327186E-2</v>
      </c>
      <c r="F31" s="357">
        <v>0.24283862620055652</v>
      </c>
      <c r="G31" s="353">
        <v>0.84003461855413619</v>
      </c>
      <c r="H31" s="358">
        <v>1.1234164907248396</v>
      </c>
      <c r="I31" s="357">
        <v>7.4191707412126565E-2</v>
      </c>
      <c r="J31" s="357">
        <v>0.2943241351825901</v>
      </c>
      <c r="K31" s="357">
        <v>4.0400000000000005E-2</v>
      </c>
      <c r="L31" s="357">
        <v>0.46619138819066736</v>
      </c>
      <c r="M31" s="357">
        <v>5.3729771403608677E-2</v>
      </c>
      <c r="N31" s="358">
        <v>2.1078254150031008</v>
      </c>
      <c r="O31" s="358">
        <v>0.62523633001203738</v>
      </c>
      <c r="P31" s="358">
        <v>8.9609497625191672</v>
      </c>
      <c r="Q31" s="358">
        <v>12.252415612540876</v>
      </c>
      <c r="R31" s="358">
        <v>1.0459265608781843</v>
      </c>
      <c r="S31" s="358">
        <v>76.374318657451397</v>
      </c>
      <c r="T31" s="357">
        <v>0.15509123906441288</v>
      </c>
      <c r="U31" s="357">
        <v>3.6186370330474595E-2</v>
      </c>
      <c r="V31" s="357">
        <v>2.6091027382896672E-2</v>
      </c>
      <c r="W31" s="357">
        <v>1.1246550909575368</v>
      </c>
      <c r="X31" s="357">
        <v>0.1044615500795243</v>
      </c>
      <c r="Y31" s="357">
        <v>0.57166614498010748</v>
      </c>
      <c r="Z31" s="357">
        <v>0.57166614498010748</v>
      </c>
      <c r="AA31" s="359">
        <v>5.059330837098714E-2</v>
      </c>
    </row>
    <row r="32" spans="1:27" s="354" customFormat="1" ht="12.5">
      <c r="A32" s="355" t="s">
        <v>509</v>
      </c>
      <c r="B32" s="356">
        <v>734</v>
      </c>
      <c r="C32" s="357">
        <v>7.0556876513317157E-2</v>
      </c>
      <c r="D32" s="357">
        <v>9.3243903088815805E-2</v>
      </c>
      <c r="E32" s="357">
        <v>0.11209610458782195</v>
      </c>
      <c r="F32" s="357">
        <v>0.21204602668043013</v>
      </c>
      <c r="G32" s="353">
        <v>1.1053867105060646</v>
      </c>
      <c r="H32" s="358">
        <v>1.1419146387042676</v>
      </c>
      <c r="I32" s="357">
        <v>7.5164709995844473E-2</v>
      </c>
      <c r="J32" s="357">
        <v>0.38638430057677353</v>
      </c>
      <c r="K32" s="357">
        <v>4.0400000000000005E-2</v>
      </c>
      <c r="L32" s="357">
        <v>0.13299828243979833</v>
      </c>
      <c r="M32" s="357">
        <v>6.9197780624237509E-2</v>
      </c>
      <c r="N32" s="358">
        <v>1.1845128712913422</v>
      </c>
      <c r="O32" s="358">
        <v>4.9196069892368941</v>
      </c>
      <c r="P32" s="358">
        <v>24.127976713181816</v>
      </c>
      <c r="Q32" s="358">
        <v>45.378107854020627</v>
      </c>
      <c r="R32" s="358">
        <v>4.0281106802479592</v>
      </c>
      <c r="S32" s="358">
        <v>133.63420532658654</v>
      </c>
      <c r="T32" s="357">
        <v>1.2589916254097097E-2</v>
      </c>
      <c r="U32" s="357">
        <v>3.6654668666318453E-2</v>
      </c>
      <c r="V32" s="357">
        <v>2.7075856672277476E-2</v>
      </c>
      <c r="W32" s="357">
        <v>0.40921640343168736</v>
      </c>
      <c r="X32" s="357">
        <v>4.7601360391532309E-2</v>
      </c>
      <c r="Y32" s="357">
        <v>0.54562946162858716</v>
      </c>
      <c r="Z32" s="357">
        <v>0.54562946162858716</v>
      </c>
      <c r="AA32" s="359">
        <v>0.10206159927322521</v>
      </c>
    </row>
    <row r="33" spans="1:27" s="354" customFormat="1" ht="12.5">
      <c r="A33" s="355" t="s">
        <v>703</v>
      </c>
      <c r="B33" s="356">
        <v>353</v>
      </c>
      <c r="C33" s="357">
        <v>8.4489025641025658E-2</v>
      </c>
      <c r="D33" s="357">
        <v>0.11065180568357465</v>
      </c>
      <c r="E33" s="357">
        <v>0.12555572207624333</v>
      </c>
      <c r="F33" s="357">
        <v>0.20107082775829135</v>
      </c>
      <c r="G33" s="353">
        <v>0.89361407779736812</v>
      </c>
      <c r="H33" s="358">
        <v>1.0444451868918649</v>
      </c>
      <c r="I33" s="357">
        <v>7.0037816830512092E-2</v>
      </c>
      <c r="J33" s="357">
        <v>0.33744630683110027</v>
      </c>
      <c r="K33" s="357">
        <v>4.0400000000000005E-2</v>
      </c>
      <c r="L33" s="357">
        <v>0.23374943853477836</v>
      </c>
      <c r="M33" s="357">
        <v>6.0749124457782029E-2</v>
      </c>
      <c r="N33" s="358">
        <v>1.2850256670890909</v>
      </c>
      <c r="O33" s="358">
        <v>3.0210908579209463</v>
      </c>
      <c r="P33" s="358">
        <v>15.380143335737438</v>
      </c>
      <c r="Q33" s="358">
        <v>25.764328920387026</v>
      </c>
      <c r="R33" s="358">
        <v>3.4069284406164875</v>
      </c>
      <c r="S33" s="358">
        <v>67.987313512097316</v>
      </c>
      <c r="T33" s="357">
        <v>0.11988952282516137</v>
      </c>
      <c r="U33" s="357">
        <v>8.2578427228023873E-2</v>
      </c>
      <c r="V33" s="357">
        <v>0.10751660160840347</v>
      </c>
      <c r="W33" s="357">
        <v>1.6700786092131257</v>
      </c>
      <c r="X33" s="357">
        <v>9.4771173784805332E-2</v>
      </c>
      <c r="Y33" s="357">
        <v>0.60842907953920744</v>
      </c>
      <c r="Z33" s="357">
        <v>0.60842907953920744</v>
      </c>
      <c r="AA33" s="359">
        <v>0.11216928619940854</v>
      </c>
    </row>
    <row r="34" spans="1:27" s="354" customFormat="1" ht="12.5">
      <c r="A34" s="355" t="s">
        <v>704</v>
      </c>
      <c r="B34" s="356">
        <v>417</v>
      </c>
      <c r="C34" s="357">
        <v>0.10532477663230227</v>
      </c>
      <c r="D34" s="357">
        <v>7.2604356210684465E-2</v>
      </c>
      <c r="E34" s="357">
        <v>9.987820828033038E-2</v>
      </c>
      <c r="F34" s="357">
        <v>0.20703968709542545</v>
      </c>
      <c r="G34" s="353">
        <v>0.76498147874758105</v>
      </c>
      <c r="H34" s="358">
        <v>0.94901152521243715</v>
      </c>
      <c r="I34" s="357">
        <v>6.5018006226174194E-2</v>
      </c>
      <c r="J34" s="357">
        <v>0.30326937638340984</v>
      </c>
      <c r="K34" s="357">
        <v>4.0400000000000005E-2</v>
      </c>
      <c r="L34" s="357">
        <v>0.3005691320308172</v>
      </c>
      <c r="M34" s="357">
        <v>5.458284522893251E-2</v>
      </c>
      <c r="N34" s="358">
        <v>1.5270189959091154</v>
      </c>
      <c r="O34" s="358">
        <v>1.2817895482831951</v>
      </c>
      <c r="P34" s="358">
        <v>12.195023515818429</v>
      </c>
      <c r="Q34" s="358">
        <v>16.870712628322</v>
      </c>
      <c r="R34" s="358">
        <v>2.2595277045280651</v>
      </c>
      <c r="S34" s="358">
        <v>69.966723013126767</v>
      </c>
      <c r="T34" s="357">
        <v>0.14517355249824865</v>
      </c>
      <c r="U34" s="357">
        <v>4.9096230468838674E-2</v>
      </c>
      <c r="V34" s="357">
        <v>3.2607347700619203E-2</v>
      </c>
      <c r="W34" s="357">
        <v>1.2140898629975267</v>
      </c>
      <c r="X34" s="357">
        <v>0.14075971437753482</v>
      </c>
      <c r="Y34" s="357">
        <v>0.33410327576209758</v>
      </c>
      <c r="Z34" s="357">
        <v>0.33410327576209764</v>
      </c>
      <c r="AA34" s="359">
        <v>7.4704714981818451E-2</v>
      </c>
    </row>
    <row r="35" spans="1:27" s="354" customFormat="1" ht="12.5">
      <c r="A35" s="355" t="s">
        <v>705</v>
      </c>
      <c r="B35" s="356">
        <v>1102</v>
      </c>
      <c r="C35" s="357">
        <v>9.0521556802244107E-2</v>
      </c>
      <c r="D35" s="357">
        <v>0.10122142177508793</v>
      </c>
      <c r="E35" s="357">
        <v>6.494341693990849E-3</v>
      </c>
      <c r="F35" s="357">
        <v>0.1783198842120734</v>
      </c>
      <c r="G35" s="353">
        <v>0.19360892940908647</v>
      </c>
      <c r="H35" s="358">
        <v>0.88726391660950987</v>
      </c>
      <c r="I35" s="357">
        <v>6.1770082013660223E-2</v>
      </c>
      <c r="J35" s="357">
        <v>0.30019307693247255</v>
      </c>
      <c r="K35" s="357">
        <v>4.0400000000000005E-2</v>
      </c>
      <c r="L35" s="357">
        <v>0.84185510916957851</v>
      </c>
      <c r="M35" s="357">
        <v>3.5276832684474707E-2</v>
      </c>
      <c r="N35" s="358">
        <v>7.508175306627532E-2</v>
      </c>
      <c r="O35" s="358">
        <v>15.525622863846257</v>
      </c>
      <c r="P35" s="358">
        <v>74.438384377339901</v>
      </c>
      <c r="Q35" s="358">
        <v>90.515602341506963</v>
      </c>
      <c r="R35" s="358">
        <v>1.5075609142929993</v>
      </c>
      <c r="S35" s="358">
        <v>41.832613835609536</v>
      </c>
      <c r="T35" s="357" t="s">
        <v>99</v>
      </c>
      <c r="U35" s="357">
        <v>5.2228139761278478E-2</v>
      </c>
      <c r="V35" s="357">
        <v>6.6354678402591447E-2</v>
      </c>
      <c r="W35" s="357">
        <v>0.86419036444801578</v>
      </c>
      <c r="X35" s="357">
        <v>0.25274874530024904</v>
      </c>
      <c r="Y35" s="357">
        <v>0.18374390748001143</v>
      </c>
      <c r="Z35" s="357">
        <v>0.18374390748001146</v>
      </c>
      <c r="AA35" s="359">
        <v>0.10187205475770066</v>
      </c>
    </row>
    <row r="36" spans="1:27" s="354" customFormat="1" ht="12.5">
      <c r="A36" s="355" t="s">
        <v>706</v>
      </c>
      <c r="B36" s="356">
        <v>1377</v>
      </c>
      <c r="C36" s="357">
        <v>9.1944176954732448E-2</v>
      </c>
      <c r="D36" s="357">
        <v>9.2507829483284384E-2</v>
      </c>
      <c r="E36" s="357">
        <v>0.13848942323998401</v>
      </c>
      <c r="F36" s="357">
        <v>0.21726835481707715</v>
      </c>
      <c r="G36" s="353">
        <v>0.76685225708114102</v>
      </c>
      <c r="H36" s="358">
        <v>0.85901175886229297</v>
      </c>
      <c r="I36" s="357">
        <v>6.0284018516156612E-2</v>
      </c>
      <c r="J36" s="357">
        <v>0.26793390288893121</v>
      </c>
      <c r="K36" s="357">
        <v>4.0400000000000005E-2</v>
      </c>
      <c r="L36" s="357">
        <v>0.19755666465757807</v>
      </c>
      <c r="M36" s="357">
        <v>5.4360475825073647E-2</v>
      </c>
      <c r="N36" s="358">
        <v>1.7623802707398435</v>
      </c>
      <c r="O36" s="358">
        <v>1.7922021620293849</v>
      </c>
      <c r="P36" s="358">
        <v>13.683796806859831</v>
      </c>
      <c r="Q36" s="358">
        <v>18.945274369533148</v>
      </c>
      <c r="R36" s="358">
        <v>2.777528702378818</v>
      </c>
      <c r="S36" s="358">
        <v>60.041350997522997</v>
      </c>
      <c r="T36" s="357">
        <v>0.10013888359708101</v>
      </c>
      <c r="U36" s="357">
        <v>4.9946401579219091E-2</v>
      </c>
      <c r="V36" s="357">
        <v>3.9433834241671337E-2</v>
      </c>
      <c r="W36" s="357">
        <v>0.71164607179454664</v>
      </c>
      <c r="X36" s="357">
        <v>0.13577258792645006</v>
      </c>
      <c r="Y36" s="357">
        <v>0.52014418377656468</v>
      </c>
      <c r="Z36" s="357">
        <v>0.52014418377656468</v>
      </c>
      <c r="AA36" s="359">
        <v>9.2632765192477498E-2</v>
      </c>
    </row>
    <row r="37" spans="1:27" s="354" customFormat="1" ht="12.5">
      <c r="A37" s="355" t="s">
        <v>707</v>
      </c>
      <c r="B37" s="356">
        <v>160</v>
      </c>
      <c r="C37" s="357">
        <v>5.1334159292035393E-2</v>
      </c>
      <c r="D37" s="357">
        <v>2.2423455166316369E-2</v>
      </c>
      <c r="E37" s="357">
        <v>9.5179563461661634E-2</v>
      </c>
      <c r="F37" s="357">
        <v>0.27010396352213029</v>
      </c>
      <c r="G37" s="353">
        <v>0.60021654258980073</v>
      </c>
      <c r="H37" s="358">
        <v>0.86239015780395523</v>
      </c>
      <c r="I37" s="357">
        <v>6.0461722300488047E-2</v>
      </c>
      <c r="J37" s="357">
        <v>0.30063373348634653</v>
      </c>
      <c r="K37" s="357">
        <v>4.0400000000000005E-2</v>
      </c>
      <c r="L37" s="357">
        <v>0.42988528840047413</v>
      </c>
      <c r="M37" s="357">
        <v>4.7495641610687735E-2</v>
      </c>
      <c r="N37" s="358">
        <v>5.0516689569151323</v>
      </c>
      <c r="O37" s="358">
        <v>0.45134129090693709</v>
      </c>
      <c r="P37" s="358">
        <v>11.987032886936621</v>
      </c>
      <c r="Q37" s="358">
        <v>20.291083450973815</v>
      </c>
      <c r="R37" s="358">
        <v>2.1487747943860986</v>
      </c>
      <c r="S37" s="358">
        <v>24.829745209306907</v>
      </c>
      <c r="T37" s="357">
        <v>4.7295575323680165E-2</v>
      </c>
      <c r="U37" s="357">
        <v>1.1201271599336642E-2</v>
      </c>
      <c r="V37" s="357">
        <v>1.2407395934016071E-2</v>
      </c>
      <c r="W37" s="357">
        <v>1.0920850974540295</v>
      </c>
      <c r="X37" s="357">
        <v>6.4923842770230944E-2</v>
      </c>
      <c r="Y37" s="357">
        <v>0.90786632704102799</v>
      </c>
      <c r="Z37" s="357">
        <v>0.90786632704102799</v>
      </c>
      <c r="AA37" s="359">
        <v>2.2045808747212278E-2</v>
      </c>
    </row>
    <row r="38" spans="1:27" s="354" customFormat="1" ht="12.5">
      <c r="A38" s="355" t="s">
        <v>708</v>
      </c>
      <c r="B38" s="356">
        <v>359</v>
      </c>
      <c r="C38" s="357">
        <v>9.0682851239669432E-2</v>
      </c>
      <c r="D38" s="357">
        <v>8.9905668708503556E-2</v>
      </c>
      <c r="E38" s="357">
        <v>0.21756356586507522</v>
      </c>
      <c r="F38" s="357">
        <v>0.17806765993893084</v>
      </c>
      <c r="G38" s="353">
        <v>1.1437511600266084</v>
      </c>
      <c r="H38" s="358">
        <v>1.1395130724062112</v>
      </c>
      <c r="I38" s="357">
        <v>7.5038387608566709E-2</v>
      </c>
      <c r="J38" s="357">
        <v>0.29080939116828763</v>
      </c>
      <c r="K38" s="357">
        <v>4.0400000000000005E-2</v>
      </c>
      <c r="L38" s="357">
        <v>0.15642372662573115</v>
      </c>
      <c r="M38" s="357">
        <v>6.8040242295608275E-2</v>
      </c>
      <c r="N38" s="358">
        <v>2.7324434819828336</v>
      </c>
      <c r="O38" s="358">
        <v>1.3898008184340895</v>
      </c>
      <c r="P38" s="358">
        <v>11.630750352376241</v>
      </c>
      <c r="Q38" s="358">
        <v>15.129473944656953</v>
      </c>
      <c r="R38" s="358">
        <v>3.2802755757506965</v>
      </c>
      <c r="S38" s="358">
        <v>27.380008907253085</v>
      </c>
      <c r="T38" s="357">
        <v>4.1233079861456516E-2</v>
      </c>
      <c r="U38" s="357">
        <v>3.3146871685441733E-2</v>
      </c>
      <c r="V38" s="357">
        <v>2.4921896152994241E-2</v>
      </c>
      <c r="W38" s="357">
        <v>0.50491064562710208</v>
      </c>
      <c r="X38" s="357">
        <v>0.20629354221873236</v>
      </c>
      <c r="Y38" s="357">
        <v>0.46212509143471969</v>
      </c>
      <c r="Z38" s="357">
        <v>0.46212509143471969</v>
      </c>
      <c r="AA38" s="359">
        <v>9.4045055410194603E-2</v>
      </c>
    </row>
    <row r="39" spans="1:27" s="354" customFormat="1" ht="12.5">
      <c r="A39" s="355" t="s">
        <v>709</v>
      </c>
      <c r="B39" s="356">
        <v>239</v>
      </c>
      <c r="C39" s="357">
        <v>0.16406504273504274</v>
      </c>
      <c r="D39" s="357">
        <v>0.33485860381153659</v>
      </c>
      <c r="E39" s="357">
        <v>8.0323422894788152E-2</v>
      </c>
      <c r="F39" s="357">
        <v>0.16741123851353215</v>
      </c>
      <c r="G39" s="353">
        <v>0.75635061306699269</v>
      </c>
      <c r="H39" s="358">
        <v>1.0068129993888768</v>
      </c>
      <c r="I39" s="357">
        <v>6.8058363767854915E-2</v>
      </c>
      <c r="J39" s="357">
        <v>0.32660373761800232</v>
      </c>
      <c r="K39" s="357">
        <v>4.0400000000000005E-2</v>
      </c>
      <c r="L39" s="357">
        <v>0.34120318264076577</v>
      </c>
      <c r="M39" s="357">
        <v>5.5175089878955037E-2</v>
      </c>
      <c r="N39" s="358">
        <v>0.26623388747483401</v>
      </c>
      <c r="O39" s="358">
        <v>8.809196180659864</v>
      </c>
      <c r="P39" s="358">
        <v>15.851426849329581</v>
      </c>
      <c r="Q39" s="358">
        <v>25.654561215721618</v>
      </c>
      <c r="R39" s="358">
        <v>2.3456024459244982</v>
      </c>
      <c r="S39" s="358">
        <v>91.992263825632378</v>
      </c>
      <c r="T39" s="357">
        <v>6.9564124617874604E-2</v>
      </c>
      <c r="U39" s="357">
        <v>0.36688342795756146</v>
      </c>
      <c r="V39" s="357">
        <v>0.25434296265623013</v>
      </c>
      <c r="W39" s="357">
        <v>1.0930763760367519</v>
      </c>
      <c r="X39" s="357">
        <v>0.10262739570706697</v>
      </c>
      <c r="Y39" s="357">
        <v>0.85600493602504069</v>
      </c>
      <c r="Z39" s="357">
        <v>0.85600493602504069</v>
      </c>
      <c r="AA39" s="359">
        <v>0.33431352752227683</v>
      </c>
    </row>
    <row r="40" spans="1:27" s="354" customFormat="1" ht="12.5">
      <c r="A40" s="355" t="s">
        <v>710</v>
      </c>
      <c r="B40" s="356">
        <v>852</v>
      </c>
      <c r="C40" s="357">
        <v>0.16028147505422979</v>
      </c>
      <c r="D40" s="357">
        <v>0.19025008974563362</v>
      </c>
      <c r="E40" s="357">
        <v>0.19210001653794134</v>
      </c>
      <c r="F40" s="357">
        <v>0.16428534078844037</v>
      </c>
      <c r="G40" s="353">
        <v>1.004266702633293</v>
      </c>
      <c r="H40" s="358">
        <v>1.0301404336488462</v>
      </c>
      <c r="I40" s="357">
        <v>6.9285386809929309E-2</v>
      </c>
      <c r="J40" s="357">
        <v>0.38064552223813131</v>
      </c>
      <c r="K40" s="357">
        <v>4.0400000000000005E-2</v>
      </c>
      <c r="L40" s="357">
        <v>8.1902119474818916E-2</v>
      </c>
      <c r="M40" s="357">
        <v>6.6092401001650453E-2</v>
      </c>
      <c r="N40" s="358">
        <v>1.045846161111043</v>
      </c>
      <c r="O40" s="358">
        <v>5.8873251336520092</v>
      </c>
      <c r="P40" s="358">
        <v>20.974162855630631</v>
      </c>
      <c r="Q40" s="358">
        <v>29.462330760705751</v>
      </c>
      <c r="R40" s="358">
        <v>5.3094279630193961</v>
      </c>
      <c r="S40" s="358">
        <v>83.312954395333051</v>
      </c>
      <c r="T40" s="357">
        <v>0.22638896276122888</v>
      </c>
      <c r="U40" s="357">
        <v>5.6650907968019706E-2</v>
      </c>
      <c r="V40" s="357">
        <v>9.7684912210769165E-2</v>
      </c>
      <c r="W40" s="357">
        <v>0.67700659651902129</v>
      </c>
      <c r="X40" s="357">
        <v>0.16348558040316163</v>
      </c>
      <c r="Y40" s="357">
        <v>0.30021478945389152</v>
      </c>
      <c r="Z40" s="357">
        <v>0.30021478945389157</v>
      </c>
      <c r="AA40" s="359">
        <v>0.19822071574785446</v>
      </c>
    </row>
    <row r="41" spans="1:27" s="354" customFormat="1" ht="12.5">
      <c r="A41" s="355" t="s">
        <v>711</v>
      </c>
      <c r="B41" s="356">
        <v>445</v>
      </c>
      <c r="C41" s="357">
        <v>0.16206891666666667</v>
      </c>
      <c r="D41" s="357">
        <v>4.4395081437957666E-2</v>
      </c>
      <c r="E41" s="357">
        <v>0.24919345921300695</v>
      </c>
      <c r="F41" s="357">
        <v>0.23040841393078956</v>
      </c>
      <c r="G41" s="353">
        <v>0.85123445071852089</v>
      </c>
      <c r="H41" s="358">
        <v>0.95979934346112317</v>
      </c>
      <c r="I41" s="357">
        <v>6.5585445466055076E-2</v>
      </c>
      <c r="J41" s="357">
        <v>0.34694683304355656</v>
      </c>
      <c r="K41" s="357">
        <v>4.0400000000000005E-2</v>
      </c>
      <c r="L41" s="357">
        <v>0.21566846091516509</v>
      </c>
      <c r="M41" s="357">
        <v>5.7975487749684987E-2</v>
      </c>
      <c r="N41" s="358">
        <v>6.6359755423643216</v>
      </c>
      <c r="O41" s="358">
        <v>0.78438687245522654</v>
      </c>
      <c r="P41" s="358">
        <v>12.683038881189368</v>
      </c>
      <c r="Q41" s="358">
        <v>17.286713411675677</v>
      </c>
      <c r="R41" s="358">
        <v>2.9963846665714424</v>
      </c>
      <c r="S41" s="358">
        <v>36.261575321312513</v>
      </c>
      <c r="T41" s="357">
        <v>-2.2411236119977019E-2</v>
      </c>
      <c r="U41" s="357">
        <v>9.6066960026611713E-3</v>
      </c>
      <c r="V41" s="357">
        <v>1.5410618551876044E-2</v>
      </c>
      <c r="W41" s="357">
        <v>0.55202368639829058</v>
      </c>
      <c r="X41" s="357">
        <v>0.13342208845949446</v>
      </c>
      <c r="Y41" s="357">
        <v>0.30618596123649655</v>
      </c>
      <c r="Z41" s="357">
        <v>0.30618596123649655</v>
      </c>
      <c r="AA41" s="359">
        <v>4.3754328185521087E-2</v>
      </c>
    </row>
    <row r="42" spans="1:27" s="354" customFormat="1" ht="12.5">
      <c r="A42" s="355" t="s">
        <v>712</v>
      </c>
      <c r="B42" s="356">
        <v>455</v>
      </c>
      <c r="C42" s="357">
        <v>0.1606727027027027</v>
      </c>
      <c r="D42" s="357">
        <v>0.17381307091319981</v>
      </c>
      <c r="E42" s="357">
        <v>0.20984981226427121</v>
      </c>
      <c r="F42" s="357">
        <v>0.1766586482025187</v>
      </c>
      <c r="G42" s="353">
        <v>1.029860916019532</v>
      </c>
      <c r="H42" s="358">
        <v>1.0555863294466588</v>
      </c>
      <c r="I42" s="357">
        <v>7.0623840928894246E-2</v>
      </c>
      <c r="J42" s="357">
        <v>0.39543370018699597</v>
      </c>
      <c r="K42" s="357">
        <v>4.0400000000000005E-2</v>
      </c>
      <c r="L42" s="357">
        <v>7.4148996004438195E-2</v>
      </c>
      <c r="M42" s="357">
        <v>6.7633868608974079E-2</v>
      </c>
      <c r="N42" s="358">
        <v>1.205045287274372</v>
      </c>
      <c r="O42" s="358">
        <v>8.3996160075102217</v>
      </c>
      <c r="P42" s="358">
        <v>29.037617408711874</v>
      </c>
      <c r="Q42" s="358">
        <v>44.273563654407788</v>
      </c>
      <c r="R42" s="358">
        <v>6.312636611473077</v>
      </c>
      <c r="S42" s="358">
        <v>83.593211510743629</v>
      </c>
      <c r="T42" s="357">
        <v>0.20638723073041182</v>
      </c>
      <c r="U42" s="357">
        <v>6.6078825855740167E-2</v>
      </c>
      <c r="V42" s="357">
        <v>0.18777212825730508</v>
      </c>
      <c r="W42" s="357">
        <v>1.5091689507753934</v>
      </c>
      <c r="X42" s="357">
        <v>0.17999214051230031</v>
      </c>
      <c r="Y42" s="357">
        <v>9.0694295153718699E-2</v>
      </c>
      <c r="Z42" s="357">
        <v>9.069429515371874E-2</v>
      </c>
      <c r="AA42" s="359">
        <v>0.18608751855927419</v>
      </c>
    </row>
    <row r="43" spans="1:27" s="354" customFormat="1" ht="12.5">
      <c r="A43" s="355" t="s">
        <v>713</v>
      </c>
      <c r="B43" s="356">
        <v>168</v>
      </c>
      <c r="C43" s="357">
        <v>0.11534844444444445</v>
      </c>
      <c r="D43" s="357">
        <v>0.13695530015327942</v>
      </c>
      <c r="E43" s="357">
        <v>0.14905985280337444</v>
      </c>
      <c r="F43" s="357">
        <v>0.23025574141812541</v>
      </c>
      <c r="G43" s="353">
        <v>1.3642077831260386</v>
      </c>
      <c r="H43" s="358">
        <v>1.476145403262775</v>
      </c>
      <c r="I43" s="357">
        <v>9.2745248211621972E-2</v>
      </c>
      <c r="J43" s="357">
        <v>0.29332300045496484</v>
      </c>
      <c r="K43" s="357">
        <v>4.0400000000000005E-2</v>
      </c>
      <c r="L43" s="357">
        <v>0.24711971203415931</v>
      </c>
      <c r="M43" s="357">
        <v>7.7313796455664344E-2</v>
      </c>
      <c r="N43" s="358">
        <v>1.460552948962565</v>
      </c>
      <c r="O43" s="358">
        <v>1.2258580817257214</v>
      </c>
      <c r="P43" s="358">
        <v>8.0277362039837303</v>
      </c>
      <c r="Q43" s="358">
        <v>9.4614721595697659</v>
      </c>
      <c r="R43" s="358">
        <v>1.7493101173379435</v>
      </c>
      <c r="S43" s="358">
        <v>17.031568743714882</v>
      </c>
      <c r="T43" s="357">
        <v>0.57091637826142583</v>
      </c>
      <c r="U43" s="357">
        <v>8.8386329782231265E-3</v>
      </c>
      <c r="V43" s="357">
        <v>5.5436818757800353E-3</v>
      </c>
      <c r="W43" s="357">
        <v>0.34344940757981385</v>
      </c>
      <c r="X43" s="357">
        <v>0.19815443637580782</v>
      </c>
      <c r="Y43" s="357">
        <v>0.19560066340798207</v>
      </c>
      <c r="Z43" s="357">
        <v>0.1956006634079821</v>
      </c>
      <c r="AA43" s="359">
        <v>0.12846761573327145</v>
      </c>
    </row>
    <row r="44" spans="1:27" s="354" customFormat="1" ht="12.5">
      <c r="A44" s="355" t="s">
        <v>714</v>
      </c>
      <c r="B44" s="356">
        <v>223</v>
      </c>
      <c r="C44" s="357">
        <v>8.7154090909090889E-2</v>
      </c>
      <c r="D44" s="357">
        <v>0.11343134381426492</v>
      </c>
      <c r="E44" s="357">
        <v>0.12182006499456502</v>
      </c>
      <c r="F44" s="357">
        <v>0.20553354676893074</v>
      </c>
      <c r="G44" s="353">
        <v>0.73386631620913956</v>
      </c>
      <c r="H44" s="358">
        <v>0.96212156591146858</v>
      </c>
      <c r="I44" s="357">
        <v>6.5707594366943248E-2</v>
      </c>
      <c r="J44" s="357">
        <v>0.29027230215713185</v>
      </c>
      <c r="K44" s="357">
        <v>4.0400000000000005E-2</v>
      </c>
      <c r="L44" s="357">
        <v>0.32765209380750854</v>
      </c>
      <c r="M44" s="357">
        <v>5.4106221935927352E-2</v>
      </c>
      <c r="N44" s="358">
        <v>1.3074735160759832</v>
      </c>
      <c r="O44" s="358">
        <v>2.43650061047884</v>
      </c>
      <c r="P44" s="358">
        <v>13.521539434541531</v>
      </c>
      <c r="Q44" s="358">
        <v>21.500034073890415</v>
      </c>
      <c r="R44" s="358">
        <v>3.8930699045382111</v>
      </c>
      <c r="S44" s="358">
        <v>96.230219276041964</v>
      </c>
      <c r="T44" s="357">
        <v>9.3346130447391776E-2</v>
      </c>
      <c r="U44" s="357">
        <v>6.4788471197078881E-2</v>
      </c>
      <c r="V44" s="357">
        <v>3.7465617423834127E-2</v>
      </c>
      <c r="W44" s="357">
        <v>0.579658672600458</v>
      </c>
      <c r="X44" s="357">
        <v>0.21110755217561589</v>
      </c>
      <c r="Y44" s="357">
        <v>0.24127923443314667</v>
      </c>
      <c r="Z44" s="357">
        <v>0.24127923443314669</v>
      </c>
      <c r="AA44" s="359">
        <v>0.11073854379407713</v>
      </c>
    </row>
    <row r="45" spans="1:27" s="354" customFormat="1" ht="12.5">
      <c r="A45" s="355" t="s">
        <v>715</v>
      </c>
      <c r="B45" s="356">
        <v>654</v>
      </c>
      <c r="C45" s="357">
        <v>-9.0182071129707067E-2</v>
      </c>
      <c r="D45" s="357">
        <v>-7.9822063960307013E-2</v>
      </c>
      <c r="E45" s="357">
        <v>-3.5040177148339138E-2</v>
      </c>
      <c r="F45" s="357">
        <v>0.27210723698663464</v>
      </c>
      <c r="G45" s="353">
        <v>0.94591136990682279</v>
      </c>
      <c r="H45" s="358">
        <v>1.1943470018727957</v>
      </c>
      <c r="I45" s="357">
        <v>7.792265229850906E-2</v>
      </c>
      <c r="J45" s="357">
        <v>0.32251873567478789</v>
      </c>
      <c r="K45" s="357">
        <v>4.0400000000000005E-2</v>
      </c>
      <c r="L45" s="357">
        <v>0.32894124607864822</v>
      </c>
      <c r="M45" s="357">
        <v>6.2257597709867288E-2</v>
      </c>
      <c r="N45" s="358">
        <v>0.3889305155506233</v>
      </c>
      <c r="O45" s="358">
        <v>6.5791040682098654</v>
      </c>
      <c r="P45" s="358">
        <v>24.713120821199254</v>
      </c>
      <c r="Q45" s="358" t="s">
        <v>99</v>
      </c>
      <c r="R45" s="358">
        <v>3.36267049568557</v>
      </c>
      <c r="S45" s="358">
        <v>160.44166198403192</v>
      </c>
      <c r="T45" s="357">
        <v>5.0054465886560286E-3</v>
      </c>
      <c r="U45" s="357">
        <v>0.1045201553250201</v>
      </c>
      <c r="V45" s="357">
        <v>8.1575691891312072E-3</v>
      </c>
      <c r="W45" s="357" t="s">
        <v>99</v>
      </c>
      <c r="X45" s="357">
        <v>-0.16374474417089072</v>
      </c>
      <c r="Y45" s="357">
        <v>5.8710508421209884E-3</v>
      </c>
      <c r="Z45" s="357">
        <v>5.8710508421210283E-3</v>
      </c>
      <c r="AA45" s="359">
        <v>-9.5988581967106038E-2</v>
      </c>
    </row>
    <row r="46" spans="1:27" s="354" customFormat="1" ht="12.5">
      <c r="A46" s="355" t="s">
        <v>716</v>
      </c>
      <c r="B46" s="356">
        <v>575</v>
      </c>
      <c r="C46" s="357">
        <v>4.7499704142011802E-2</v>
      </c>
      <c r="D46" s="357">
        <v>0.15724662490610716</v>
      </c>
      <c r="E46" s="357">
        <v>0.2508846226966272</v>
      </c>
      <c r="F46" s="357">
        <v>0.22462842282232912</v>
      </c>
      <c r="G46" s="353">
        <v>0.99643706116531017</v>
      </c>
      <c r="H46" s="358">
        <v>1.0408450273415879</v>
      </c>
      <c r="I46" s="357">
        <v>6.9848448438167524E-2</v>
      </c>
      <c r="J46" s="357">
        <v>0.35715395652297538</v>
      </c>
      <c r="K46" s="357">
        <v>4.0400000000000005E-2</v>
      </c>
      <c r="L46" s="357">
        <v>9.9509529044573511E-2</v>
      </c>
      <c r="M46" s="357">
        <v>6.5913000959641865E-2</v>
      </c>
      <c r="N46" s="358">
        <v>1.8031128111662535</v>
      </c>
      <c r="O46" s="358">
        <v>3.8212465840541205</v>
      </c>
      <c r="P46" s="358">
        <v>18.809151449521931</v>
      </c>
      <c r="Q46" s="358">
        <v>23.975516469319455</v>
      </c>
      <c r="R46" s="358">
        <v>6.379171582754295</v>
      </c>
      <c r="S46" s="358">
        <v>49.077378872401972</v>
      </c>
      <c r="T46" s="357">
        <v>5.7872513269314425E-2</v>
      </c>
      <c r="U46" s="357">
        <v>3.5736811720194404E-2</v>
      </c>
      <c r="V46" s="357">
        <v>2.1690463776742441E-2</v>
      </c>
      <c r="W46" s="357">
        <v>0.18817924644022216</v>
      </c>
      <c r="X46" s="357">
        <v>0.19055253540112985</v>
      </c>
      <c r="Y46" s="357">
        <v>0.74614160062357071</v>
      </c>
      <c r="Z46" s="357">
        <v>0.74614160062357071</v>
      </c>
      <c r="AA46" s="359">
        <v>0.15811030142076848</v>
      </c>
    </row>
    <row r="47" spans="1:27" s="354" customFormat="1" ht="12.5">
      <c r="A47" s="355" t="s">
        <v>717</v>
      </c>
      <c r="B47" s="356">
        <v>266</v>
      </c>
      <c r="C47" s="357">
        <v>0.11343000000000003</v>
      </c>
      <c r="D47" s="357">
        <v>0.20227117739607817</v>
      </c>
      <c r="E47" s="357">
        <v>0.26041659331316175</v>
      </c>
      <c r="F47" s="357">
        <v>0.19744640308993899</v>
      </c>
      <c r="G47" s="353">
        <v>1.2255707889077481</v>
      </c>
      <c r="H47" s="358">
        <v>1.2675474876977695</v>
      </c>
      <c r="I47" s="357">
        <v>8.1772997852902679E-2</v>
      </c>
      <c r="J47" s="357">
        <v>0.39747089362656346</v>
      </c>
      <c r="K47" s="357">
        <v>4.0400000000000005E-2</v>
      </c>
      <c r="L47" s="357">
        <v>9.7074352439888809E-2</v>
      </c>
      <c r="M47" s="357">
        <v>7.6776289918192367E-2</v>
      </c>
      <c r="N47" s="358">
        <v>1.4718132745855532</v>
      </c>
      <c r="O47" s="358">
        <v>7.9224235893376189</v>
      </c>
      <c r="P47" s="358">
        <v>26.303378473648436</v>
      </c>
      <c r="Q47" s="358">
        <v>36.67215216232848</v>
      </c>
      <c r="R47" s="358">
        <v>7.2424253866102637</v>
      </c>
      <c r="S47" s="358">
        <v>84.273662282186663</v>
      </c>
      <c r="T47" s="357">
        <v>2.9300214371262769E-2</v>
      </c>
      <c r="U47" s="357">
        <v>2.8072800633464363E-2</v>
      </c>
      <c r="V47" s="357">
        <v>4.094854330100154E-2</v>
      </c>
      <c r="W47" s="357">
        <v>0.38855400092192804</v>
      </c>
      <c r="X47" s="357">
        <v>0.15923208270441835</v>
      </c>
      <c r="Y47" s="357">
        <v>0.29262517863539789</v>
      </c>
      <c r="Z47" s="357">
        <v>0.29262517863539794</v>
      </c>
      <c r="AA47" s="359">
        <v>0.20606872234060128</v>
      </c>
    </row>
    <row r="48" spans="1:27" s="354" customFormat="1" ht="12.5">
      <c r="A48" s="355" t="s">
        <v>718</v>
      </c>
      <c r="B48" s="356">
        <v>215</v>
      </c>
      <c r="C48" s="357">
        <v>6.4144114285714315E-2</v>
      </c>
      <c r="D48" s="357">
        <v>0.10323909742110052</v>
      </c>
      <c r="E48" s="357">
        <v>0.14195024341640516</v>
      </c>
      <c r="F48" s="357">
        <v>0.22637872970427766</v>
      </c>
      <c r="G48" s="353">
        <v>0.71545779620009198</v>
      </c>
      <c r="H48" s="358">
        <v>0.78420994564249957</v>
      </c>
      <c r="I48" s="357">
        <v>5.6349443140795479E-2</v>
      </c>
      <c r="J48" s="357">
        <v>0.23025625937363273</v>
      </c>
      <c r="K48" s="357">
        <v>3.3800000000000004E-2</v>
      </c>
      <c r="L48" s="357">
        <v>0.28118959524670251</v>
      </c>
      <c r="M48" s="357">
        <v>4.7632722271162026E-2</v>
      </c>
      <c r="N48" s="358">
        <v>1.6084188204332122</v>
      </c>
      <c r="O48" s="358">
        <v>0.97644302795601812</v>
      </c>
      <c r="P48" s="358">
        <v>7.9863271228102919</v>
      </c>
      <c r="Q48" s="358">
        <v>9.3401193709072938</v>
      </c>
      <c r="R48" s="358">
        <v>1.2979612813074068</v>
      </c>
      <c r="S48" s="358">
        <v>23.965295106447833</v>
      </c>
      <c r="T48" s="357">
        <v>-5.498622431270411E-4</v>
      </c>
      <c r="U48" s="357">
        <v>5.9412775338714453E-3</v>
      </c>
      <c r="V48" s="357">
        <v>1.2234780105357555E-3</v>
      </c>
      <c r="W48" s="357">
        <v>-1.7377549196865977E-2</v>
      </c>
      <c r="X48" s="357">
        <v>0.121914624481884</v>
      </c>
      <c r="Y48" s="357">
        <v>0.40784743274681523</v>
      </c>
      <c r="Z48" s="357">
        <v>0.40784743274681523</v>
      </c>
      <c r="AA48" s="359">
        <v>0.10326526924493494</v>
      </c>
    </row>
    <row r="49" spans="1:27" s="354" customFormat="1" ht="12.5">
      <c r="A49" s="355" t="s">
        <v>719</v>
      </c>
      <c r="B49" s="356">
        <v>142</v>
      </c>
      <c r="C49" s="357">
        <v>0.10039365217391301</v>
      </c>
      <c r="D49" s="357">
        <v>0.10418822130214209</v>
      </c>
      <c r="E49" s="357">
        <v>0.10942627831240584</v>
      </c>
      <c r="F49" s="357">
        <v>0.16489536355183892</v>
      </c>
      <c r="G49" s="353">
        <v>0.99042615557145619</v>
      </c>
      <c r="H49" s="358">
        <v>1.0769915100844529</v>
      </c>
      <c r="I49" s="357">
        <v>7.1749753430442223E-2</v>
      </c>
      <c r="J49" s="357">
        <v>0.22915969631505403</v>
      </c>
      <c r="K49" s="357">
        <v>3.3800000000000004E-2</v>
      </c>
      <c r="L49" s="357">
        <v>0.51902905276253319</v>
      </c>
      <c r="M49" s="357">
        <v>4.76669333590247E-2</v>
      </c>
      <c r="N49" s="358">
        <v>1.2610123544542804</v>
      </c>
      <c r="O49" s="358">
        <v>0.82603571695879852</v>
      </c>
      <c r="P49" s="358">
        <v>7.2541251390193846</v>
      </c>
      <c r="Q49" s="358">
        <v>7.6380156163523889</v>
      </c>
      <c r="R49" s="358">
        <v>0.87329342919857555</v>
      </c>
      <c r="S49" s="358">
        <v>44.14541406796959</v>
      </c>
      <c r="T49" s="357">
        <v>-0.97199846819700952</v>
      </c>
      <c r="U49" s="357">
        <v>5.0811731053854378E-3</v>
      </c>
      <c r="V49" s="357">
        <v>6.0496076868057202E-3</v>
      </c>
      <c r="W49" s="357">
        <v>8.542668537774542E-2</v>
      </c>
      <c r="X49" s="357">
        <v>0.10046975837541092</v>
      </c>
      <c r="Y49" s="357">
        <v>0.29022699897688342</v>
      </c>
      <c r="Z49" s="357">
        <v>0.29022699897688342</v>
      </c>
      <c r="AA49" s="359">
        <v>0.10423158635631799</v>
      </c>
    </row>
    <row r="50" spans="1:27" s="354" customFormat="1" ht="12.5">
      <c r="A50" s="355" t="s">
        <v>720</v>
      </c>
      <c r="B50" s="356">
        <v>231</v>
      </c>
      <c r="C50" s="357">
        <v>5.419900523560213E-2</v>
      </c>
      <c r="D50" s="357">
        <v>0.11539429645108923</v>
      </c>
      <c r="E50" s="357">
        <v>0.13295927379004246</v>
      </c>
      <c r="F50" s="357">
        <v>0.19136468789833058</v>
      </c>
      <c r="G50" s="353">
        <v>0.8162995325713488</v>
      </c>
      <c r="H50" s="358">
        <v>0.88373759372019134</v>
      </c>
      <c r="I50" s="357">
        <v>6.1584597429682066E-2</v>
      </c>
      <c r="J50" s="357">
        <v>0.25946795248532478</v>
      </c>
      <c r="K50" s="357">
        <v>4.0400000000000005E-2</v>
      </c>
      <c r="L50" s="357">
        <v>0.21902306388736686</v>
      </c>
      <c r="M50" s="357">
        <v>5.473254904815026E-2</v>
      </c>
      <c r="N50" s="358">
        <v>1.3627114561854952</v>
      </c>
      <c r="O50" s="358">
        <v>1.0445804919988253</v>
      </c>
      <c r="P50" s="358">
        <v>7.6542766585944779</v>
      </c>
      <c r="Q50" s="358">
        <v>8.8721007114664996</v>
      </c>
      <c r="R50" s="358">
        <v>1.2322996853708403</v>
      </c>
      <c r="S50" s="358">
        <v>25.416627495369671</v>
      </c>
      <c r="T50" s="357">
        <v>-0.45338302589606833</v>
      </c>
      <c r="U50" s="357">
        <v>7.2335127135179471E-3</v>
      </c>
      <c r="V50" s="357">
        <v>1.293375445952712E-2</v>
      </c>
      <c r="W50" s="357">
        <v>0.25172975192205382</v>
      </c>
      <c r="X50" s="357">
        <v>0.12910710761410696</v>
      </c>
      <c r="Y50" s="357">
        <v>0.30526631824349082</v>
      </c>
      <c r="Z50" s="357">
        <v>0.30526631824349082</v>
      </c>
      <c r="AA50" s="359">
        <v>0.11549740428092074</v>
      </c>
    </row>
    <row r="51" spans="1:27" s="354" customFormat="1" ht="12.5">
      <c r="A51" s="355" t="s">
        <v>721</v>
      </c>
      <c r="B51" s="356">
        <v>1706</v>
      </c>
      <c r="C51" s="357">
        <v>0.28122437007873996</v>
      </c>
      <c r="D51" s="357">
        <v>0.20224212238931832</v>
      </c>
      <c r="E51" s="357">
        <v>0.10085941476456123</v>
      </c>
      <c r="F51" s="357">
        <v>0.14114444086495001</v>
      </c>
      <c r="G51" s="353">
        <v>0.71656364395880146</v>
      </c>
      <c r="H51" s="358">
        <v>0.86162621585031596</v>
      </c>
      <c r="I51" s="357">
        <v>6.0421538953726622E-2</v>
      </c>
      <c r="J51" s="357">
        <v>0.31471564398253271</v>
      </c>
      <c r="K51" s="357">
        <v>4.0400000000000005E-2</v>
      </c>
      <c r="L51" s="357">
        <v>0.31163526323852414</v>
      </c>
      <c r="M51" s="357">
        <v>5.1034605232732566E-2</v>
      </c>
      <c r="N51" s="358">
        <v>0.52387912099900935</v>
      </c>
      <c r="O51" s="358">
        <v>4.5694483887701951</v>
      </c>
      <c r="P51" s="358">
        <v>14.78255129352878</v>
      </c>
      <c r="Q51" s="358">
        <v>16.407675290618144</v>
      </c>
      <c r="R51" s="358">
        <v>2.0251907806553584</v>
      </c>
      <c r="S51" s="358">
        <v>55.344776171541014</v>
      </c>
      <c r="T51" s="357" t="s">
        <v>99</v>
      </c>
      <c r="U51" s="357">
        <v>1.2831237553147518E-2</v>
      </c>
      <c r="V51" s="357">
        <v>4.1675217813524415E-2</v>
      </c>
      <c r="W51" s="357">
        <v>0.23791955717262156</v>
      </c>
      <c r="X51" s="357">
        <v>0.19669362681068706</v>
      </c>
      <c r="Y51" s="357">
        <v>0.30443650417525275</v>
      </c>
      <c r="Z51" s="357">
        <v>0.30443650417525281</v>
      </c>
      <c r="AA51" s="359">
        <v>0.20200910145476453</v>
      </c>
    </row>
    <row r="52" spans="1:27" s="354" customFormat="1" ht="12.5">
      <c r="A52" s="355" t="s">
        <v>722</v>
      </c>
      <c r="B52" s="356">
        <v>1421</v>
      </c>
      <c r="C52" s="357">
        <v>6.8930230326295569E-2</v>
      </c>
      <c r="D52" s="357">
        <v>9.9495636886152691E-2</v>
      </c>
      <c r="E52" s="357">
        <v>0.13139988870645922</v>
      </c>
      <c r="F52" s="357">
        <v>0.21810601700699467</v>
      </c>
      <c r="G52" s="353">
        <v>1.1236025684258544</v>
      </c>
      <c r="H52" s="358">
        <v>1.1436622839472304</v>
      </c>
      <c r="I52" s="357">
        <v>7.5256636135624319E-2</v>
      </c>
      <c r="J52" s="357">
        <v>0.27713763873825858</v>
      </c>
      <c r="K52" s="357">
        <v>4.0400000000000005E-2</v>
      </c>
      <c r="L52" s="357">
        <v>0.11763369801992109</v>
      </c>
      <c r="M52" s="357">
        <v>6.9968220776454815E-2</v>
      </c>
      <c r="N52" s="358">
        <v>1.524790725080347</v>
      </c>
      <c r="O52" s="358">
        <v>2.3837692919637092</v>
      </c>
      <c r="P52" s="358">
        <v>16.303434856006685</v>
      </c>
      <c r="Q52" s="358">
        <v>22.952233598735038</v>
      </c>
      <c r="R52" s="358">
        <v>3.3394628858781648</v>
      </c>
      <c r="S52" s="358">
        <v>53.61670440952529</v>
      </c>
      <c r="T52" s="357">
        <v>0.25121665584680342</v>
      </c>
      <c r="U52" s="357">
        <v>3.8563837623402396E-2</v>
      </c>
      <c r="V52" s="357">
        <v>3.0665116726434054E-2</v>
      </c>
      <c r="W52" s="357">
        <v>0.5655173228209267</v>
      </c>
      <c r="X52" s="357">
        <v>0.12508112494594351</v>
      </c>
      <c r="Y52" s="357">
        <v>0.39592990663064265</v>
      </c>
      <c r="Z52" s="357">
        <v>0.39592990663064265</v>
      </c>
      <c r="AA52" s="359">
        <v>0.10194029069420935</v>
      </c>
    </row>
    <row r="53" spans="1:27" s="354" customFormat="1" ht="12.5">
      <c r="A53" s="355" t="s">
        <v>723</v>
      </c>
      <c r="B53" s="356">
        <v>1706</v>
      </c>
      <c r="C53" s="357">
        <v>0.18623434237995837</v>
      </c>
      <c r="D53" s="357">
        <v>0.15978212186952045</v>
      </c>
      <c r="E53" s="357">
        <v>0.21605383185364144</v>
      </c>
      <c r="F53" s="357">
        <v>0.29825945511369667</v>
      </c>
      <c r="G53" s="353">
        <v>1.0097078059741513</v>
      </c>
      <c r="H53" s="358">
        <v>1.0975394120110467</v>
      </c>
      <c r="I53" s="357">
        <v>7.2830573071781049E-2</v>
      </c>
      <c r="J53" s="357">
        <v>0.53066528746054042</v>
      </c>
      <c r="K53" s="357">
        <v>4.4580000000000009E-2</v>
      </c>
      <c r="L53" s="357">
        <v>0.20623066927888656</v>
      </c>
      <c r="M53" s="357">
        <v>6.4705997670562357E-2</v>
      </c>
      <c r="N53" s="358">
        <v>1.4040887692825965</v>
      </c>
      <c r="O53" s="358">
        <v>1.4901057696549609</v>
      </c>
      <c r="P53" s="358">
        <v>6.3750068490793925</v>
      </c>
      <c r="Q53" s="358">
        <v>8.7583771983557774</v>
      </c>
      <c r="R53" s="358">
        <v>2.0665519199084623</v>
      </c>
      <c r="S53" s="358">
        <v>309.05634173332112</v>
      </c>
      <c r="T53" s="357">
        <v>0.10743653015718156</v>
      </c>
      <c r="U53" s="357">
        <v>6.4228834131719953E-2</v>
      </c>
      <c r="V53" s="357">
        <v>3.024735011445874E-2</v>
      </c>
      <c r="W53" s="357">
        <v>0.47573817269040886</v>
      </c>
      <c r="X53" s="357">
        <v>0.18898914435652781</v>
      </c>
      <c r="Y53" s="357">
        <v>0.3950228602817954</v>
      </c>
      <c r="Z53" s="357">
        <v>0.39502286028179534</v>
      </c>
      <c r="AA53" s="359">
        <v>0.16091784154130681</v>
      </c>
    </row>
    <row r="54" spans="1:27" s="354" customFormat="1" ht="12.5">
      <c r="A54" s="355" t="s">
        <v>724</v>
      </c>
      <c r="B54" s="356">
        <v>145</v>
      </c>
      <c r="C54" s="357">
        <v>2.1415636363636352E-2</v>
      </c>
      <c r="D54" s="357">
        <v>7.1806614321386575E-2</v>
      </c>
      <c r="E54" s="357">
        <v>0.12321939325371746</v>
      </c>
      <c r="F54" s="357">
        <v>0.25491346802187637</v>
      </c>
      <c r="G54" s="353">
        <v>1.049136832857168</v>
      </c>
      <c r="H54" s="358">
        <v>1.1005990216004515</v>
      </c>
      <c r="I54" s="357">
        <v>7.2991508536183747E-2</v>
      </c>
      <c r="J54" s="357">
        <v>0.29772457067346564</v>
      </c>
      <c r="K54" s="357">
        <v>4.0400000000000005E-2</v>
      </c>
      <c r="L54" s="357">
        <v>0.21084330428256209</v>
      </c>
      <c r="M54" s="357">
        <v>6.3990289811607565E-2</v>
      </c>
      <c r="N54" s="358">
        <v>1.9370323805362779</v>
      </c>
      <c r="O54" s="358">
        <v>1.1736336348868559</v>
      </c>
      <c r="P54" s="358">
        <v>10.065599251074675</v>
      </c>
      <c r="Q54" s="358">
        <v>15.357158981839506</v>
      </c>
      <c r="R54" s="358">
        <v>2.0276109162969518</v>
      </c>
      <c r="S54" s="358">
        <v>64.407524055987622</v>
      </c>
      <c r="T54" s="357">
        <v>0.12135606420140103</v>
      </c>
      <c r="U54" s="357">
        <v>2.7746152386992771E-2</v>
      </c>
      <c r="V54" s="357">
        <v>4.9158187660709347E-2</v>
      </c>
      <c r="W54" s="357">
        <v>0.90161813087848386</v>
      </c>
      <c r="X54" s="357">
        <v>8.2903470480953631E-2</v>
      </c>
      <c r="Y54" s="357">
        <v>0.4429911308130256</v>
      </c>
      <c r="Z54" s="357">
        <v>0.44299113081302566</v>
      </c>
      <c r="AA54" s="359">
        <v>7.3259018960857888E-2</v>
      </c>
    </row>
    <row r="55" spans="1:27" s="354" customFormat="1" ht="12.5">
      <c r="A55" s="355" t="s">
        <v>725</v>
      </c>
      <c r="B55" s="356">
        <v>46</v>
      </c>
      <c r="C55" s="357">
        <v>7.3212051282051285E-2</v>
      </c>
      <c r="D55" s="357">
        <v>0.11904496800428231</v>
      </c>
      <c r="E55" s="357">
        <v>0.10474467434441784</v>
      </c>
      <c r="F55" s="357">
        <v>0.38641326407010551</v>
      </c>
      <c r="G55" s="353">
        <v>1.1462318866600425</v>
      </c>
      <c r="H55" s="358">
        <v>1.2788238428533345</v>
      </c>
      <c r="I55" s="357">
        <v>8.2366134134085403E-2</v>
      </c>
      <c r="J55" s="357">
        <v>0.24693832503207186</v>
      </c>
      <c r="K55" s="357">
        <v>3.3800000000000004E-2</v>
      </c>
      <c r="L55" s="357">
        <v>0.21141520243342549</v>
      </c>
      <c r="M55" s="357">
        <v>7.0312056594156389E-2</v>
      </c>
      <c r="N55" s="358">
        <v>1.1364481392207744</v>
      </c>
      <c r="O55" s="358">
        <v>1.471555491506628</v>
      </c>
      <c r="P55" s="358">
        <v>7.02903510956682</v>
      </c>
      <c r="Q55" s="358">
        <v>12.306310249847808</v>
      </c>
      <c r="R55" s="358">
        <v>1.7008813794024082</v>
      </c>
      <c r="S55" s="358">
        <v>19.949293015808284</v>
      </c>
      <c r="T55" s="357">
        <v>2.3342164039785833E-2</v>
      </c>
      <c r="U55" s="357">
        <v>8.2383581625027874E-2</v>
      </c>
      <c r="V55" s="357">
        <v>-9.8096557657455698E-3</v>
      </c>
      <c r="W55" s="357">
        <v>-5.1694619604550143E-2</v>
      </c>
      <c r="X55" s="357">
        <v>0.11643379661884692</v>
      </c>
      <c r="Y55" s="357">
        <v>0.69692922706317206</v>
      </c>
      <c r="Z55" s="357">
        <v>0.69692922706317206</v>
      </c>
      <c r="AA55" s="359">
        <v>0.11962018624504733</v>
      </c>
    </row>
    <row r="56" spans="1:27" s="354" customFormat="1" ht="12.5">
      <c r="A56" s="355" t="s">
        <v>726</v>
      </c>
      <c r="B56" s="356">
        <v>642</v>
      </c>
      <c r="C56" s="357">
        <v>0.21185864306784669</v>
      </c>
      <c r="D56" s="357">
        <v>0.12495519492682648</v>
      </c>
      <c r="E56" s="357">
        <v>6.3587879764470098E-2</v>
      </c>
      <c r="F56" s="357">
        <v>0.27840368307861235</v>
      </c>
      <c r="G56" s="353">
        <v>1.2049177928289057</v>
      </c>
      <c r="H56" s="358">
        <v>1.4593032274293294</v>
      </c>
      <c r="I56" s="357">
        <v>9.1859349762782733E-2</v>
      </c>
      <c r="J56" s="357">
        <v>0.50734420557172799</v>
      </c>
      <c r="K56" s="357">
        <v>4.4580000000000009E-2</v>
      </c>
      <c r="L56" s="357">
        <v>0.27934371191618795</v>
      </c>
      <c r="M56" s="357">
        <v>7.5538875033757349E-2</v>
      </c>
      <c r="N56" s="358">
        <v>0.53034482048687825</v>
      </c>
      <c r="O56" s="358">
        <v>2.8452382192852683</v>
      </c>
      <c r="P56" s="358">
        <v>6.2335744359078378</v>
      </c>
      <c r="Q56" s="358">
        <v>21.411936518608702</v>
      </c>
      <c r="R56" s="358">
        <v>1.5644507925461886</v>
      </c>
      <c r="S56" s="358">
        <v>38.595506530752807</v>
      </c>
      <c r="T56" s="357">
        <v>-3.567097690567865E-2</v>
      </c>
      <c r="U56" s="357">
        <v>0.22404785093157395</v>
      </c>
      <c r="V56" s="357">
        <v>4.4157296385609144E-3</v>
      </c>
      <c r="W56" s="357">
        <v>0.30345448846147866</v>
      </c>
      <c r="X56" s="357">
        <v>6.110660102629234E-2</v>
      </c>
      <c r="Y56" s="357">
        <v>0.70085734940279798</v>
      </c>
      <c r="Z56" s="357">
        <v>0.70085734940279798</v>
      </c>
      <c r="AA56" s="359">
        <v>0.12653157113774588</v>
      </c>
    </row>
    <row r="57" spans="1:27" s="354" customFormat="1" ht="12.5">
      <c r="A57" s="355" t="s">
        <v>727</v>
      </c>
      <c r="B57" s="356">
        <v>165</v>
      </c>
      <c r="C57" s="357">
        <v>0.15152177966101696</v>
      </c>
      <c r="D57" s="357">
        <v>0.12395966754057607</v>
      </c>
      <c r="E57" s="357">
        <v>6.2431651828758407E-2</v>
      </c>
      <c r="F57" s="357">
        <v>0.18640936151040075</v>
      </c>
      <c r="G57" s="353">
        <v>0.74124447946084149</v>
      </c>
      <c r="H57" s="358">
        <v>1.164684008834235</v>
      </c>
      <c r="I57" s="357">
        <v>7.6362378864680752E-2</v>
      </c>
      <c r="J57" s="357">
        <v>0.28328935985226933</v>
      </c>
      <c r="K57" s="357">
        <v>4.0400000000000005E-2</v>
      </c>
      <c r="L57" s="357">
        <v>0.45189137008229102</v>
      </c>
      <c r="M57" s="357">
        <v>5.5547187370270604E-2</v>
      </c>
      <c r="N57" s="358">
        <v>0.57370184591945661</v>
      </c>
      <c r="O57" s="358">
        <v>2.678957923600735</v>
      </c>
      <c r="P57" s="358">
        <v>12.948055874490091</v>
      </c>
      <c r="Q57" s="358">
        <v>21.415945721688107</v>
      </c>
      <c r="R57" s="358">
        <v>1.5720473094863099</v>
      </c>
      <c r="S57" s="358">
        <v>65.4748389104615</v>
      </c>
      <c r="T57" s="357">
        <v>4.3020299058263309E-2</v>
      </c>
      <c r="U57" s="357">
        <v>0.10696577717612994</v>
      </c>
      <c r="V57" s="357">
        <v>3.6244249060791482E-2</v>
      </c>
      <c r="W57" s="357">
        <v>0.37103529425471748</v>
      </c>
      <c r="X57" s="357">
        <v>6.9106612594938582E-2</v>
      </c>
      <c r="Y57" s="357">
        <v>1.4067639393776585</v>
      </c>
      <c r="Z57" s="357">
        <v>1.4067639393776585</v>
      </c>
      <c r="AA57" s="359">
        <v>0.12440859928793553</v>
      </c>
    </row>
    <row r="58" spans="1:27" s="354" customFormat="1" ht="12.5">
      <c r="A58" s="355" t="s">
        <v>728</v>
      </c>
      <c r="B58" s="356">
        <v>457</v>
      </c>
      <c r="C58" s="357">
        <v>5.6600436046511715E-2</v>
      </c>
      <c r="D58" s="357">
        <v>4.3772196109830977E-2</v>
      </c>
      <c r="E58" s="357">
        <v>7.3516780774635582E-2</v>
      </c>
      <c r="F58" s="357">
        <v>0.23054839499727575</v>
      </c>
      <c r="G58" s="353">
        <v>1.0554040980792589</v>
      </c>
      <c r="H58" s="358">
        <v>1.3590834026487482</v>
      </c>
      <c r="I58" s="357">
        <v>8.6587786979324163E-2</v>
      </c>
      <c r="J58" s="357">
        <v>0.36575331163448283</v>
      </c>
      <c r="K58" s="357">
        <v>4.0400000000000005E-2</v>
      </c>
      <c r="L58" s="357">
        <v>0.34863094715876269</v>
      </c>
      <c r="M58" s="357">
        <v>6.6964122491251707E-2</v>
      </c>
      <c r="N58" s="358">
        <v>1.8488813865813059</v>
      </c>
      <c r="O58" s="358">
        <v>0.80947905669358267</v>
      </c>
      <c r="P58" s="358">
        <v>9.6399721374245519</v>
      </c>
      <c r="Q58" s="358">
        <v>17.57949170298475</v>
      </c>
      <c r="R58" s="358">
        <v>1.4093537723056757</v>
      </c>
      <c r="S58" s="358">
        <v>49.798342246311186</v>
      </c>
      <c r="T58" s="357">
        <v>6.5363144339096985E-2</v>
      </c>
      <c r="U58" s="357">
        <v>3.8281770162028113E-2</v>
      </c>
      <c r="V58" s="357">
        <v>1.1806387985840473E-2</v>
      </c>
      <c r="W58" s="357">
        <v>0.7043821076605945</v>
      </c>
      <c r="X58" s="357">
        <v>8.8136677099855093E-2</v>
      </c>
      <c r="Y58" s="357">
        <v>0.39823515641359525</v>
      </c>
      <c r="Z58" s="357">
        <v>0.3982351564135953</v>
      </c>
      <c r="AA58" s="359">
        <v>4.4458429023027227E-2</v>
      </c>
    </row>
    <row r="59" spans="1:27" s="354" customFormat="1" ht="12.5">
      <c r="A59" s="355" t="s">
        <v>729</v>
      </c>
      <c r="B59" s="356">
        <v>414</v>
      </c>
      <c r="C59" s="357">
        <v>5.4368757763975165E-2</v>
      </c>
      <c r="D59" s="357">
        <v>9.1523057736209085E-2</v>
      </c>
      <c r="E59" s="357">
        <v>0.12151188323646014</v>
      </c>
      <c r="F59" s="357">
        <v>0.22168298567490585</v>
      </c>
      <c r="G59" s="353">
        <v>0.80076820448773467</v>
      </c>
      <c r="H59" s="358">
        <v>0.96137733867948505</v>
      </c>
      <c r="I59" s="357">
        <v>6.5668448014540914E-2</v>
      </c>
      <c r="J59" s="357">
        <v>0.28107576688049773</v>
      </c>
      <c r="K59" s="357">
        <v>4.0400000000000005E-2</v>
      </c>
      <c r="L59" s="357">
        <v>0.26610220298790277</v>
      </c>
      <c r="M59" s="357">
        <v>5.6256826081608459E-2</v>
      </c>
      <c r="N59" s="358">
        <v>1.5870351531847779</v>
      </c>
      <c r="O59" s="358">
        <v>1.6483105289966804</v>
      </c>
      <c r="P59" s="358">
        <v>11.005143848289672</v>
      </c>
      <c r="Q59" s="358">
        <v>17.745497930040521</v>
      </c>
      <c r="R59" s="358">
        <v>2.6171872019253235</v>
      </c>
      <c r="S59" s="358">
        <v>34.640762736686341</v>
      </c>
      <c r="T59" s="357">
        <v>0.13931550194289194</v>
      </c>
      <c r="U59" s="357">
        <v>6.4246096782973675E-2</v>
      </c>
      <c r="V59" s="357">
        <v>4.1475264956616818E-2</v>
      </c>
      <c r="W59" s="357">
        <v>0.74036584123672289</v>
      </c>
      <c r="X59" s="357">
        <v>0.1442633020178167</v>
      </c>
      <c r="Y59" s="357">
        <v>0.3639300485856623</v>
      </c>
      <c r="Z59" s="357">
        <v>0.36393004858566225</v>
      </c>
      <c r="AA59" s="359">
        <v>9.2893647000563989E-2</v>
      </c>
    </row>
    <row r="60" spans="1:27" s="354" customFormat="1" ht="12.5">
      <c r="A60" s="355" t="s">
        <v>730</v>
      </c>
      <c r="B60" s="356">
        <v>272</v>
      </c>
      <c r="C60" s="357">
        <v>5.4721549295774691E-2</v>
      </c>
      <c r="D60" s="357">
        <v>0.14159804731050596</v>
      </c>
      <c r="E60" s="357">
        <v>0.12463485927880023</v>
      </c>
      <c r="F60" s="357">
        <v>0.21424718292394199</v>
      </c>
      <c r="G60" s="353">
        <v>0.89116023825836765</v>
      </c>
      <c r="H60" s="358">
        <v>1.1206472813656296</v>
      </c>
      <c r="I60" s="357">
        <v>7.4046046999832124E-2</v>
      </c>
      <c r="J60" s="357">
        <v>0.28535354069030661</v>
      </c>
      <c r="K60" s="357">
        <v>4.0400000000000005E-2</v>
      </c>
      <c r="L60" s="357">
        <v>0.33667454003593794</v>
      </c>
      <c r="M60" s="357">
        <v>5.9317866747773125E-2</v>
      </c>
      <c r="N60" s="358">
        <v>1.0149034896974758</v>
      </c>
      <c r="O60" s="358">
        <v>1.4104890383162025</v>
      </c>
      <c r="P60" s="358">
        <v>6.9865804986322253</v>
      </c>
      <c r="Q60" s="358">
        <v>9.8090538702473147</v>
      </c>
      <c r="R60" s="358">
        <v>1.3577081807721498</v>
      </c>
      <c r="S60" s="358">
        <v>24.794068924986615</v>
      </c>
      <c r="T60" s="357">
        <v>0.18543258905377633</v>
      </c>
      <c r="U60" s="357">
        <v>7.4804003045838716E-2</v>
      </c>
      <c r="V60" s="357">
        <v>3.6077619245513594E-2</v>
      </c>
      <c r="W60" s="357">
        <v>0.36016441240057667</v>
      </c>
      <c r="X60" s="357">
        <v>0.16841966723729962</v>
      </c>
      <c r="Y60" s="357">
        <v>0.23768514175138236</v>
      </c>
      <c r="Z60" s="357">
        <v>0.23768514175138233</v>
      </c>
      <c r="AA60" s="359">
        <v>0.14279756694803722</v>
      </c>
    </row>
    <row r="61" spans="1:27" s="354" customFormat="1" ht="12.5">
      <c r="A61" s="355" t="s">
        <v>731</v>
      </c>
      <c r="B61" s="356">
        <v>541</v>
      </c>
      <c r="C61" s="357">
        <v>7.4076877828054402E-2</v>
      </c>
      <c r="D61" s="357">
        <v>0.11273090662228229</v>
      </c>
      <c r="E61" s="357">
        <v>5.7560900536381437E-2</v>
      </c>
      <c r="F61" s="357">
        <v>0.21061184872791486</v>
      </c>
      <c r="G61" s="353">
        <v>0.53618826927061325</v>
      </c>
      <c r="H61" s="358">
        <v>0.85057057788650969</v>
      </c>
      <c r="I61" s="357">
        <v>5.9840012396830414E-2</v>
      </c>
      <c r="J61" s="357">
        <v>0.21939735279878639</v>
      </c>
      <c r="K61" s="357">
        <v>3.3800000000000004E-2</v>
      </c>
      <c r="L61" s="357">
        <v>0.47125737580749977</v>
      </c>
      <c r="M61" s="357">
        <v>4.3586339663131982E-2</v>
      </c>
      <c r="N61" s="358">
        <v>0.60976190171467592</v>
      </c>
      <c r="O61" s="358">
        <v>2.2634376631937623</v>
      </c>
      <c r="P61" s="358">
        <v>10.386520327076765</v>
      </c>
      <c r="Q61" s="358">
        <v>19.750508483198377</v>
      </c>
      <c r="R61" s="358">
        <v>1.3591870438240774</v>
      </c>
      <c r="S61" s="358">
        <v>50.313815674327508</v>
      </c>
      <c r="T61" s="357">
        <v>4.2268944512268425E-3</v>
      </c>
      <c r="U61" s="357">
        <v>0.16473923320166431</v>
      </c>
      <c r="V61" s="357">
        <v>8.65556336773117E-2</v>
      </c>
      <c r="W61" s="357">
        <v>1.0669555623198914</v>
      </c>
      <c r="X61" s="357">
        <v>7.8603598106160993E-2</v>
      </c>
      <c r="Y61" s="357">
        <v>0.8213074291657263</v>
      </c>
      <c r="Z61" s="357">
        <v>0.8213074291657263</v>
      </c>
      <c r="AA61" s="359">
        <v>0.11274540440208251</v>
      </c>
    </row>
    <row r="62" spans="1:27" s="354" customFormat="1" ht="12.5">
      <c r="A62" s="355" t="s">
        <v>732</v>
      </c>
      <c r="B62" s="356">
        <v>947</v>
      </c>
      <c r="C62" s="357">
        <v>0.2520170334928229</v>
      </c>
      <c r="D62" s="357">
        <v>0.24978183492650152</v>
      </c>
      <c r="E62" s="357">
        <v>0.22835718773495844</v>
      </c>
      <c r="F62" s="357">
        <v>0.26676370994632626</v>
      </c>
      <c r="G62" s="353">
        <v>0.98678777106910021</v>
      </c>
      <c r="H62" s="358">
        <v>0.9980982211172692</v>
      </c>
      <c r="I62" s="357">
        <v>6.7599966430768363E-2</v>
      </c>
      <c r="J62" s="357">
        <v>0.51152642318556052</v>
      </c>
      <c r="K62" s="357">
        <v>4.4580000000000009E-2</v>
      </c>
      <c r="L62" s="357">
        <v>0.12800822175373266</v>
      </c>
      <c r="M62" s="357">
        <v>6.3226569831689741E-2</v>
      </c>
      <c r="N62" s="358">
        <v>0.95262202852854316</v>
      </c>
      <c r="O62" s="358">
        <v>2.5021023080853402</v>
      </c>
      <c r="P62" s="358">
        <v>6.2521293526131698</v>
      </c>
      <c r="Q62" s="358">
        <v>9.1312773733666219</v>
      </c>
      <c r="R62" s="358">
        <v>1.9752486826228053</v>
      </c>
      <c r="S62" s="358">
        <v>73.345984378275134</v>
      </c>
      <c r="T62" s="357">
        <v>0.11643691868281297</v>
      </c>
      <c r="U62" s="357">
        <v>0.15522177245302937</v>
      </c>
      <c r="V62" s="357">
        <v>0.1009003571940405</v>
      </c>
      <c r="W62" s="357">
        <v>0.66069086913255393</v>
      </c>
      <c r="X62" s="357">
        <v>0.17037403464684808</v>
      </c>
      <c r="Y62" s="357">
        <v>0.36612808841204303</v>
      </c>
      <c r="Z62" s="357">
        <v>0.36612808841204303</v>
      </c>
      <c r="AA62" s="359">
        <v>0.250230783282198</v>
      </c>
    </row>
    <row r="63" spans="1:27" s="354" customFormat="1" ht="12.5">
      <c r="A63" s="355" t="s">
        <v>733</v>
      </c>
      <c r="B63" s="356">
        <v>337</v>
      </c>
      <c r="C63" s="357">
        <v>-1.9352941176470611E-4</v>
      </c>
      <c r="D63" s="357">
        <v>6.5754492926377819E-2</v>
      </c>
      <c r="E63" s="357">
        <v>8.3477775726052417E-2</v>
      </c>
      <c r="F63" s="357">
        <v>0.20637652404883514</v>
      </c>
      <c r="G63" s="353">
        <v>0.93812610515137029</v>
      </c>
      <c r="H63" s="358">
        <v>0.93265741787579681</v>
      </c>
      <c r="I63" s="357">
        <v>6.415778018026691E-2</v>
      </c>
      <c r="J63" s="357">
        <v>0.27407123703856845</v>
      </c>
      <c r="K63" s="357">
        <v>4.0400000000000005E-2</v>
      </c>
      <c r="L63" s="357">
        <v>0.20641169071155921</v>
      </c>
      <c r="M63" s="357">
        <v>5.7169138529517702E-2</v>
      </c>
      <c r="N63" s="358">
        <v>1.4490359302598788</v>
      </c>
      <c r="O63" s="358">
        <v>1.343212641785148</v>
      </c>
      <c r="P63" s="358">
        <v>11.379010335944335</v>
      </c>
      <c r="Q63" s="358">
        <v>19.537787626586795</v>
      </c>
      <c r="R63" s="358">
        <v>1.434391101563089</v>
      </c>
      <c r="S63" s="358">
        <v>40.221088735025418</v>
      </c>
      <c r="T63" s="357">
        <v>0.10698360809996231</v>
      </c>
      <c r="U63" s="357">
        <v>3.0724811606501541E-2</v>
      </c>
      <c r="V63" s="357">
        <v>2.9516992667007955E-2</v>
      </c>
      <c r="W63" s="357">
        <v>0.38898874099598818</v>
      </c>
      <c r="X63" s="357">
        <v>0.16256326716511255</v>
      </c>
      <c r="Y63" s="357">
        <v>0.18780256734148806</v>
      </c>
      <c r="Z63" s="357">
        <v>0.18780256734148804</v>
      </c>
      <c r="AA63" s="359">
        <v>6.6488224748633973E-2</v>
      </c>
    </row>
    <row r="64" spans="1:27" s="354" customFormat="1" ht="12.5">
      <c r="A64" s="355" t="s">
        <v>734</v>
      </c>
      <c r="B64" s="356">
        <v>812</v>
      </c>
      <c r="C64" s="357">
        <v>8.091073476702508E-2</v>
      </c>
      <c r="D64" s="357">
        <v>0.3125148541838112</v>
      </c>
      <c r="E64" s="357">
        <v>3.4260616410805349E-2</v>
      </c>
      <c r="F64" s="357">
        <v>5.7960027572714894E-2</v>
      </c>
      <c r="G64" s="353">
        <v>0.76350817788629188</v>
      </c>
      <c r="H64" s="358">
        <v>1.0655405607637354</v>
      </c>
      <c r="I64" s="357">
        <v>7.1147433496172474E-2</v>
      </c>
      <c r="J64" s="357">
        <v>0.23920701412951273</v>
      </c>
      <c r="K64" s="357">
        <v>3.3800000000000004E-2</v>
      </c>
      <c r="L64" s="357">
        <v>0.36355830313820703</v>
      </c>
      <c r="M64" s="357">
        <v>5.4497396286219128E-2</v>
      </c>
      <c r="N64" s="358">
        <v>0.12173637222858757</v>
      </c>
      <c r="O64" s="358">
        <v>13.480597375988856</v>
      </c>
      <c r="P64" s="358">
        <v>26.146513104680299</v>
      </c>
      <c r="Q64" s="358">
        <v>40.963816517321291</v>
      </c>
      <c r="R64" s="358">
        <v>1.9370200483408939</v>
      </c>
      <c r="S64" s="358">
        <v>126.29069908292132</v>
      </c>
      <c r="T64" s="357">
        <v>0.74615533449941518</v>
      </c>
      <c r="U64" s="357">
        <v>8.7043868668513075E-2</v>
      </c>
      <c r="V64" s="357">
        <v>0.10141562264381192</v>
      </c>
      <c r="W64" s="357">
        <v>0.3720951575429155</v>
      </c>
      <c r="X64" s="357">
        <v>6.8193071154629525E-2</v>
      </c>
      <c r="Y64" s="357">
        <v>0.94918744565646374</v>
      </c>
      <c r="Z64" s="357">
        <v>0.94918744565646374</v>
      </c>
      <c r="AA64" s="359">
        <v>0.28922564081811658</v>
      </c>
    </row>
    <row r="65" spans="1:27" s="354" customFormat="1" ht="12.5">
      <c r="A65" s="355" t="s">
        <v>735</v>
      </c>
      <c r="B65" s="356">
        <v>893</v>
      </c>
      <c r="C65" s="357">
        <v>8.4795518341307816E-2</v>
      </c>
      <c r="D65" s="357">
        <v>0.1402163824447808</v>
      </c>
      <c r="E65" s="357">
        <v>7.7787095652650518E-2</v>
      </c>
      <c r="F65" s="357">
        <v>0.32923067263862732</v>
      </c>
      <c r="G65" s="353">
        <v>0.51177611051765171</v>
      </c>
      <c r="H65" s="358">
        <v>0.99962799907070832</v>
      </c>
      <c r="I65" s="357">
        <v>6.7680432751119263E-2</v>
      </c>
      <c r="J65" s="357">
        <v>0.27273025739397344</v>
      </c>
      <c r="K65" s="357">
        <v>4.0400000000000005E-2</v>
      </c>
      <c r="L65" s="357">
        <v>0.67231315173264061</v>
      </c>
      <c r="M65" s="357">
        <v>4.2549076195084252E-2</v>
      </c>
      <c r="N65" s="358">
        <v>0.6675600575005235</v>
      </c>
      <c r="O65" s="358">
        <v>1.441888536380342</v>
      </c>
      <c r="P65" s="358">
        <v>8.9434357950478471</v>
      </c>
      <c r="Q65" s="358">
        <v>9.6976211350502126</v>
      </c>
      <c r="R65" s="358">
        <v>0.51747341298253002</v>
      </c>
      <c r="S65" s="358">
        <v>68.130522633238598</v>
      </c>
      <c r="T65" s="357">
        <v>1.805549796470475</v>
      </c>
      <c r="U65" s="357">
        <v>2.6775049730339999E-2</v>
      </c>
      <c r="V65" s="357">
        <v>2.4398704395905024E-2</v>
      </c>
      <c r="W65" s="357">
        <v>0.64794952486967616</v>
      </c>
      <c r="X65" s="357">
        <v>0.11851272667617617</v>
      </c>
      <c r="Y65" s="357">
        <v>0.59686960153778446</v>
      </c>
      <c r="Z65" s="357">
        <v>0.59686960153778446</v>
      </c>
      <c r="AA65" s="359">
        <v>0.1405098286196306</v>
      </c>
    </row>
    <row r="66" spans="1:27" s="354" customFormat="1" ht="12.5">
      <c r="A66" s="355" t="s">
        <v>736</v>
      </c>
      <c r="B66" s="356">
        <v>344</v>
      </c>
      <c r="C66" s="357">
        <v>7.2854982817869465E-2</v>
      </c>
      <c r="D66" s="357">
        <v>0.15291818839805732</v>
      </c>
      <c r="E66" s="357">
        <v>3.7749188201657506E-2</v>
      </c>
      <c r="F66" s="357">
        <v>0.30270040782164959</v>
      </c>
      <c r="G66" s="353">
        <v>0.61011959395156923</v>
      </c>
      <c r="H66" s="358">
        <v>1.030256203698114</v>
      </c>
      <c r="I66" s="357">
        <v>6.9291476314520789E-2</v>
      </c>
      <c r="J66" s="357">
        <v>0.24606295988272234</v>
      </c>
      <c r="K66" s="357">
        <v>3.3800000000000004E-2</v>
      </c>
      <c r="L66" s="357">
        <v>0.53276499850842007</v>
      </c>
      <c r="M66" s="357">
        <v>4.5880995751357345E-2</v>
      </c>
      <c r="N66" s="358">
        <v>0.28909840491012018</v>
      </c>
      <c r="O66" s="358">
        <v>3.2394595778384421</v>
      </c>
      <c r="P66" s="358">
        <v>12.650855591494576</v>
      </c>
      <c r="Q66" s="358">
        <v>18.877286550531263</v>
      </c>
      <c r="R66" s="358">
        <v>0.71022240968473349</v>
      </c>
      <c r="S66" s="358">
        <v>69.440151424643645</v>
      </c>
      <c r="T66" s="357">
        <v>1.0397745638673204</v>
      </c>
      <c r="U66" s="357">
        <v>7.5405845668792132E-2</v>
      </c>
      <c r="V66" s="357">
        <v>6.8333546742019136E-2</v>
      </c>
      <c r="W66" s="357">
        <v>1.0431119612005659</v>
      </c>
      <c r="X66" s="357">
        <v>3.829819330350042E-2</v>
      </c>
      <c r="Y66" s="357">
        <v>0.76577486034031972</v>
      </c>
      <c r="Z66" s="357">
        <v>0.76577486034031972</v>
      </c>
      <c r="AA66" s="359">
        <v>0.15171945865492331</v>
      </c>
    </row>
    <row r="67" spans="1:27" s="354" customFormat="1" ht="12.5">
      <c r="A67" s="355" t="s">
        <v>737</v>
      </c>
      <c r="B67" s="356">
        <v>739</v>
      </c>
      <c r="C67" s="357">
        <v>7.1725042372881354E-2</v>
      </c>
      <c r="D67" s="357">
        <v>0.18256624628656898</v>
      </c>
      <c r="E67" s="357">
        <v>3.6684425527639959E-2</v>
      </c>
      <c r="F67" s="357">
        <v>0.2361623348209142</v>
      </c>
      <c r="G67" s="353">
        <v>0.62237363806882118</v>
      </c>
      <c r="H67" s="358">
        <v>0.89802623507809409</v>
      </c>
      <c r="I67" s="357">
        <v>6.2336179965107749E-2</v>
      </c>
      <c r="J67" s="357">
        <v>0.26335774156083375</v>
      </c>
      <c r="K67" s="357">
        <v>4.0400000000000005E-2</v>
      </c>
      <c r="L67" s="357">
        <v>0.42204572533912404</v>
      </c>
      <c r="M67" s="357">
        <v>4.8815447154639133E-2</v>
      </c>
      <c r="N67" s="358">
        <v>0.23668772237183774</v>
      </c>
      <c r="O67" s="358">
        <v>5.6722183225076925</v>
      </c>
      <c r="P67" s="358">
        <v>21.607820902824379</v>
      </c>
      <c r="Q67" s="358">
        <v>30.083822379563546</v>
      </c>
      <c r="R67" s="358">
        <v>1.1745889283669027</v>
      </c>
      <c r="S67" s="358">
        <v>33.156962642911878</v>
      </c>
      <c r="T67" s="357">
        <v>0.26767622159097937</v>
      </c>
      <c r="U67" s="357">
        <v>3.2973785267571214E-2</v>
      </c>
      <c r="V67" s="357">
        <v>7.1596634293824346E-2</v>
      </c>
      <c r="W67" s="357">
        <v>1.0969013662812643</v>
      </c>
      <c r="X67" s="357">
        <v>7.3275206837733878E-2</v>
      </c>
      <c r="Y67" s="357">
        <v>0.32099479844976109</v>
      </c>
      <c r="Z67" s="357">
        <v>0.32099479844976109</v>
      </c>
      <c r="AA67" s="359">
        <v>0.17995982747573858</v>
      </c>
    </row>
    <row r="68" spans="1:27" s="354" customFormat="1" ht="12.5">
      <c r="A68" s="355" t="s">
        <v>738</v>
      </c>
      <c r="B68" s="356">
        <v>324</v>
      </c>
      <c r="C68" s="357">
        <v>1.2982410714285712E-2</v>
      </c>
      <c r="D68" s="357">
        <v>0.10479327381702526</v>
      </c>
      <c r="E68" s="357">
        <v>0.10101601549174961</v>
      </c>
      <c r="F68" s="357">
        <v>0.22618357775240699</v>
      </c>
      <c r="G68" s="353">
        <v>1.0214339255400591</v>
      </c>
      <c r="H68" s="358">
        <v>1.1026570575415011</v>
      </c>
      <c r="I68" s="357">
        <v>7.3099761226682963E-2</v>
      </c>
      <c r="J68" s="357">
        <v>0.31771923679635966</v>
      </c>
      <c r="K68" s="357">
        <v>4.0400000000000005E-2</v>
      </c>
      <c r="L68" s="357">
        <v>0.19785653987639573</v>
      </c>
      <c r="M68" s="357">
        <v>6.4631548562835553E-2</v>
      </c>
      <c r="N68" s="358">
        <v>1.110859067737719</v>
      </c>
      <c r="O68" s="358">
        <v>2.8762504888967988</v>
      </c>
      <c r="P68" s="358">
        <v>15.378595333766986</v>
      </c>
      <c r="Q68" s="358">
        <v>25.735881414017935</v>
      </c>
      <c r="R68" s="358">
        <v>3.3723824889706808</v>
      </c>
      <c r="S68" s="358">
        <v>56.28034623710419</v>
      </c>
      <c r="T68" s="357">
        <v>0.32800088347109252</v>
      </c>
      <c r="U68" s="357">
        <v>5.6784323565288938E-2</v>
      </c>
      <c r="V68" s="357">
        <v>3.2231860470796538E-3</v>
      </c>
      <c r="W68" s="357">
        <v>0.2584438190598799</v>
      </c>
      <c r="X68" s="357">
        <v>9.6111659540272759E-2</v>
      </c>
      <c r="Y68" s="357">
        <v>0.59893620917777546</v>
      </c>
      <c r="Z68" s="357">
        <v>0.59893620917777546</v>
      </c>
      <c r="AA68" s="359">
        <v>0.10243076250142691</v>
      </c>
    </row>
    <row r="69" spans="1:27" s="354" customFormat="1" ht="12.5">
      <c r="A69" s="355" t="s">
        <v>739</v>
      </c>
      <c r="B69" s="356">
        <v>38</v>
      </c>
      <c r="C69" s="357">
        <v>6.4758709677419354E-2</v>
      </c>
      <c r="D69" s="357">
        <v>6.0318336139349948E-2</v>
      </c>
      <c r="E69" s="357">
        <v>8.8926528335698168E-2</v>
      </c>
      <c r="F69" s="357">
        <v>0.17918783286549533</v>
      </c>
      <c r="G69" s="353">
        <v>1.4368680224255481</v>
      </c>
      <c r="H69" s="358">
        <v>1.4801313849019009</v>
      </c>
      <c r="I69" s="357">
        <v>9.2954910845839997E-2</v>
      </c>
      <c r="J69" s="357">
        <v>0.24501934609942183</v>
      </c>
      <c r="K69" s="357">
        <v>3.3800000000000004E-2</v>
      </c>
      <c r="L69" s="357">
        <v>0.24410252987292733</v>
      </c>
      <c r="M69" s="357">
        <v>7.6452381076536749E-2</v>
      </c>
      <c r="N69" s="358">
        <v>1.6664825605594367</v>
      </c>
      <c r="O69" s="358">
        <v>0.65055472061610997</v>
      </c>
      <c r="P69" s="358">
        <v>10.015726253656963</v>
      </c>
      <c r="Q69" s="358">
        <v>10.192714921860617</v>
      </c>
      <c r="R69" s="358">
        <v>0.93577875412673783</v>
      </c>
      <c r="S69" s="358">
        <v>108.66421704462154</v>
      </c>
      <c r="T69" s="357">
        <v>-0.43367502275187547</v>
      </c>
      <c r="U69" s="357">
        <v>1.3934921282063148E-3</v>
      </c>
      <c r="V69" s="357">
        <v>8.3789699118327569E-3</v>
      </c>
      <c r="W69" s="357">
        <v>0.40269804302958923</v>
      </c>
      <c r="X69" s="357">
        <v>7.3200548690673856E-2</v>
      </c>
      <c r="Y69" s="357">
        <v>0.47509234315152815</v>
      </c>
      <c r="Z69" s="357">
        <v>0.47509234315152815</v>
      </c>
      <c r="AA69" s="359">
        <v>6.0162626464628E-2</v>
      </c>
    </row>
    <row r="70" spans="1:27" s="354" customFormat="1" ht="12.5">
      <c r="A70" s="355" t="s">
        <v>740</v>
      </c>
      <c r="B70" s="356">
        <v>385</v>
      </c>
      <c r="C70" s="357">
        <v>-2.1277744360902254E-2</v>
      </c>
      <c r="D70" s="357">
        <v>9.6960069642850991E-2</v>
      </c>
      <c r="E70" s="357">
        <v>9.8154599437172918E-2</v>
      </c>
      <c r="F70" s="357">
        <v>0.18004090559025193</v>
      </c>
      <c r="G70" s="353">
        <v>1.0076130008646189</v>
      </c>
      <c r="H70" s="358">
        <v>1.1922172742947497</v>
      </c>
      <c r="I70" s="357">
        <v>7.7810628627903833E-2</v>
      </c>
      <c r="J70" s="357">
        <v>0.2914595263396178</v>
      </c>
      <c r="K70" s="357">
        <v>4.0400000000000005E-2</v>
      </c>
      <c r="L70" s="357">
        <v>0.24117773192847775</v>
      </c>
      <c r="M70" s="357">
        <v>6.6352122972929778E-2</v>
      </c>
      <c r="N70" s="358">
        <v>1.4104478023262235</v>
      </c>
      <c r="O70" s="358">
        <v>3.4369536951030795</v>
      </c>
      <c r="P70" s="358">
        <v>18.496590240760042</v>
      </c>
      <c r="Q70" s="358">
        <v>41.982392740787354</v>
      </c>
      <c r="R70" s="358">
        <v>13.501455974614231</v>
      </c>
      <c r="S70" s="358">
        <v>99.526362844917855</v>
      </c>
      <c r="T70" s="357">
        <v>-1.1141502017233879E-2</v>
      </c>
      <c r="U70" s="357">
        <v>4.4140529596335673E-2</v>
      </c>
      <c r="V70" s="357">
        <v>1.7103545883623797E-3</v>
      </c>
      <c r="W70" s="357">
        <v>1.7124557018564301E-2</v>
      </c>
      <c r="X70" s="357">
        <v>0.45895223265992258</v>
      </c>
      <c r="Y70" s="357">
        <v>0.61279307780549308</v>
      </c>
      <c r="Z70" s="357">
        <v>0.61279307780549308</v>
      </c>
      <c r="AA70" s="359">
        <v>7.7867024027282267E-2</v>
      </c>
    </row>
    <row r="71" spans="1:27" s="354" customFormat="1" ht="12.5">
      <c r="A71" s="355" t="s">
        <v>741</v>
      </c>
      <c r="B71" s="356">
        <v>196</v>
      </c>
      <c r="C71" s="357">
        <v>6.1299259259259255E-2</v>
      </c>
      <c r="D71" s="357">
        <v>5.3566930474810662E-2</v>
      </c>
      <c r="E71" s="357">
        <v>0.12551530683819154</v>
      </c>
      <c r="F71" s="357">
        <v>0.23331464319277093</v>
      </c>
      <c r="G71" s="353">
        <v>0.88368957365117962</v>
      </c>
      <c r="H71" s="358">
        <v>1.0960129143055957</v>
      </c>
      <c r="I71" s="357">
        <v>7.2750279292474337E-2</v>
      </c>
      <c r="J71" s="357">
        <v>0.29703781136560709</v>
      </c>
      <c r="K71" s="357">
        <v>4.0400000000000005E-2</v>
      </c>
      <c r="L71" s="357">
        <v>0.29472215166337895</v>
      </c>
      <c r="M71" s="357">
        <v>6.0239241640684928E-2</v>
      </c>
      <c r="N71" s="358">
        <v>3.0992071740252993</v>
      </c>
      <c r="O71" s="358">
        <v>0.862709328691871</v>
      </c>
      <c r="P71" s="358">
        <v>11.044012178076592</v>
      </c>
      <c r="Q71" s="358">
        <v>16.630568407817812</v>
      </c>
      <c r="R71" s="358">
        <v>3.6352105208831316</v>
      </c>
      <c r="S71" s="358">
        <v>30.863812400411156</v>
      </c>
      <c r="T71" s="357">
        <v>9.2424792371049308E-2</v>
      </c>
      <c r="U71" s="357">
        <v>1.9008305142296889E-2</v>
      </c>
      <c r="V71" s="357">
        <v>2.1151850997237289E-2</v>
      </c>
      <c r="W71" s="357">
        <v>0.61004459964309332</v>
      </c>
      <c r="X71" s="357">
        <v>0.24494728006344124</v>
      </c>
      <c r="Y71" s="357">
        <v>0.25739307550109952</v>
      </c>
      <c r="Z71" s="357">
        <v>0.25739307550109958</v>
      </c>
      <c r="AA71" s="359">
        <v>5.0168253715826124E-2</v>
      </c>
    </row>
    <row r="72" spans="1:27" s="354" customFormat="1" ht="12.5">
      <c r="A72" s="355" t="s">
        <v>742</v>
      </c>
      <c r="B72" s="356">
        <v>98</v>
      </c>
      <c r="C72" s="357">
        <v>5.1924179104477622E-2</v>
      </c>
      <c r="D72" s="357">
        <v>0.12869917670798264</v>
      </c>
      <c r="E72" s="357">
        <v>0.33969075732122461</v>
      </c>
      <c r="F72" s="357">
        <v>0.24108018192409669</v>
      </c>
      <c r="G72" s="353">
        <v>1.1037730401385943</v>
      </c>
      <c r="H72" s="358">
        <v>1.1996449547792511</v>
      </c>
      <c r="I72" s="357">
        <v>7.820132462138861E-2</v>
      </c>
      <c r="J72" s="357">
        <v>0.28844314128208381</v>
      </c>
      <c r="K72" s="357">
        <v>4.0400000000000005E-2</v>
      </c>
      <c r="L72" s="357">
        <v>0.13867834864294046</v>
      </c>
      <c r="M72" s="357">
        <v>7.1558448025085014E-2</v>
      </c>
      <c r="N72" s="358">
        <v>3.3519985827505754</v>
      </c>
      <c r="O72" s="358">
        <v>2.2340381402244831</v>
      </c>
      <c r="P72" s="358">
        <v>14.037315934668023</v>
      </c>
      <c r="Q72" s="358">
        <v>17.651647619898807</v>
      </c>
      <c r="R72" s="358">
        <v>15.548797460699921</v>
      </c>
      <c r="S72" s="358">
        <v>26.990942614366411</v>
      </c>
      <c r="T72" s="357">
        <v>7.1808409062686832E-2</v>
      </c>
      <c r="U72" s="357">
        <v>2.1465926760283006E-2</v>
      </c>
      <c r="V72" s="357">
        <v>2.4358239196111704E-2</v>
      </c>
      <c r="W72" s="357">
        <v>0.49559855333708941</v>
      </c>
      <c r="X72" s="357">
        <v>0.64974135808072853</v>
      </c>
      <c r="Y72" s="357">
        <v>0.3258790441526907</v>
      </c>
      <c r="Z72" s="357">
        <v>0.32587904415269064</v>
      </c>
      <c r="AA72" s="359">
        <v>0.12658002312245675</v>
      </c>
    </row>
    <row r="73" spans="1:27" s="354" customFormat="1" ht="12.5">
      <c r="A73" s="355" t="s">
        <v>743</v>
      </c>
      <c r="B73" s="356">
        <v>1002</v>
      </c>
      <c r="C73" s="357">
        <v>8.1909833333333418E-2</v>
      </c>
      <c r="D73" s="357">
        <v>4.2944738669705905E-2</v>
      </c>
      <c r="E73" s="357">
        <v>7.3493102616759037E-2</v>
      </c>
      <c r="F73" s="357">
        <v>0.23787637709889731</v>
      </c>
      <c r="G73" s="353">
        <v>0.64350981154019615</v>
      </c>
      <c r="H73" s="358">
        <v>0.87060033611657495</v>
      </c>
      <c r="I73" s="357">
        <v>6.0893577679731845E-2</v>
      </c>
      <c r="J73" s="357">
        <v>0.2967655843359035</v>
      </c>
      <c r="K73" s="357">
        <v>4.0400000000000005E-2</v>
      </c>
      <c r="L73" s="357">
        <v>0.39198495581480319</v>
      </c>
      <c r="M73" s="357">
        <v>4.8901355484725413E-2</v>
      </c>
      <c r="N73" s="358">
        <v>2.031812284146679</v>
      </c>
      <c r="O73" s="358">
        <v>0.81025514565081813</v>
      </c>
      <c r="P73" s="358">
        <v>13.149138617876014</v>
      </c>
      <c r="Q73" s="358">
        <v>18.366157507363798</v>
      </c>
      <c r="R73" s="358">
        <v>1.7168213877198601</v>
      </c>
      <c r="S73" s="358">
        <v>137.26423980293447</v>
      </c>
      <c r="T73" s="357">
        <v>0.15657276340722556</v>
      </c>
      <c r="U73" s="357">
        <v>2.8562048295478558E-2</v>
      </c>
      <c r="V73" s="357">
        <v>2.3832681878767144E-2</v>
      </c>
      <c r="W73" s="357">
        <v>1.0950181950750613</v>
      </c>
      <c r="X73" s="357">
        <v>0.12644830240753238</v>
      </c>
      <c r="Y73" s="357">
        <v>0.37294360587113945</v>
      </c>
      <c r="Z73" s="357">
        <v>0.37294360587113951</v>
      </c>
      <c r="AA73" s="359">
        <v>4.3242731983525774E-2</v>
      </c>
    </row>
    <row r="74" spans="1:27" s="367" customFormat="1" ht="12.5">
      <c r="A74" s="362" t="s">
        <v>744</v>
      </c>
      <c r="B74" s="363">
        <v>204</v>
      </c>
      <c r="C74" s="364">
        <v>-2.4461977401129934E-2</v>
      </c>
      <c r="D74" s="364">
        <v>5.3628754509030915E-2</v>
      </c>
      <c r="E74" s="364">
        <v>0.12009403587138043</v>
      </c>
      <c r="F74" s="364">
        <v>0.28050508954276943</v>
      </c>
      <c r="G74" s="348">
        <v>0.86566173990819117</v>
      </c>
      <c r="H74" s="365">
        <v>1.0186306423304552</v>
      </c>
      <c r="I74" s="364">
        <v>6.8679971786581945E-2</v>
      </c>
      <c r="J74" s="364">
        <v>0.24699731612176148</v>
      </c>
      <c r="K74" s="364">
        <v>3.3800000000000004E-2</v>
      </c>
      <c r="L74" s="364">
        <v>0.25060880033563432</v>
      </c>
      <c r="M74" s="364">
        <v>5.7821099538569759E-2</v>
      </c>
      <c r="N74" s="365">
        <v>2.9540157175171817</v>
      </c>
      <c r="O74" s="365">
        <v>0.98109573609362766</v>
      </c>
      <c r="P74" s="365">
        <v>11.642114254864975</v>
      </c>
      <c r="Q74" s="365">
        <v>19.377789222198967</v>
      </c>
      <c r="R74" s="365">
        <v>3.4884042791490781</v>
      </c>
      <c r="S74" s="365">
        <v>52.206672229204003</v>
      </c>
      <c r="T74" s="364">
        <v>-1.2389119107692029E-2</v>
      </c>
      <c r="U74" s="364">
        <v>2.610868471618679E-2</v>
      </c>
      <c r="V74" s="364">
        <v>3.8148259971067088E-3</v>
      </c>
      <c r="W74" s="364">
        <v>0.20783084392898835</v>
      </c>
      <c r="X74" s="364">
        <v>0.12899801857561807</v>
      </c>
      <c r="Y74" s="364">
        <v>0.41566751468435842</v>
      </c>
      <c r="Z74" s="364">
        <v>0.41566751468435847</v>
      </c>
      <c r="AA74" s="366">
        <v>5.025303590715819E-2</v>
      </c>
    </row>
    <row r="75" spans="1:27" s="354" customFormat="1" ht="12.5">
      <c r="A75" s="355" t="s">
        <v>745</v>
      </c>
      <c r="B75" s="356">
        <v>184</v>
      </c>
      <c r="C75" s="357">
        <v>3.5968741258741235E-2</v>
      </c>
      <c r="D75" s="357">
        <v>4.3134456086045748E-2</v>
      </c>
      <c r="E75" s="357">
        <v>0.10855706711325305</v>
      </c>
      <c r="F75" s="357">
        <v>0.23918278952055685</v>
      </c>
      <c r="G75" s="353">
        <v>0.53249971062857038</v>
      </c>
      <c r="H75" s="358">
        <v>0.68885348820722192</v>
      </c>
      <c r="I75" s="357">
        <v>5.1333693479699877E-2</v>
      </c>
      <c r="J75" s="357">
        <v>0.22686440685305706</v>
      </c>
      <c r="K75" s="357">
        <v>3.3800000000000004E-2</v>
      </c>
      <c r="L75" s="357">
        <v>0.34859286084122793</v>
      </c>
      <c r="M75" s="357">
        <v>4.2275963434389746E-2</v>
      </c>
      <c r="N75" s="358">
        <v>3.2757020803860475</v>
      </c>
      <c r="O75" s="358">
        <v>0.72499312776739855</v>
      </c>
      <c r="P75" s="358">
        <v>10.513249932062731</v>
      </c>
      <c r="Q75" s="358">
        <v>17.386192027509942</v>
      </c>
      <c r="R75" s="358">
        <v>2.5986200126703913</v>
      </c>
      <c r="S75" s="358">
        <v>33.369494528286303</v>
      </c>
      <c r="T75" s="357">
        <v>-3.9995356730696603E-2</v>
      </c>
      <c r="U75" s="357">
        <v>2.7462925418268658E-2</v>
      </c>
      <c r="V75" s="357">
        <v>2.5860874767432901E-2</v>
      </c>
      <c r="W75" s="357">
        <v>0.87831947312853242</v>
      </c>
      <c r="X75" s="357">
        <v>0.16067738837881854</v>
      </c>
      <c r="Y75" s="357">
        <v>0.36045746802246409</v>
      </c>
      <c r="Z75" s="357">
        <v>0.36045746802246414</v>
      </c>
      <c r="AA75" s="359">
        <v>4.1546403627178367E-2</v>
      </c>
    </row>
    <row r="76" spans="1:27" s="354" customFormat="1" ht="12.5">
      <c r="A76" s="355" t="s">
        <v>746</v>
      </c>
      <c r="B76" s="356">
        <v>353</v>
      </c>
      <c r="C76" s="357">
        <v>0.14058596273291921</v>
      </c>
      <c r="D76" s="357">
        <v>3.1345578305595673E-2</v>
      </c>
      <c r="E76" s="357">
        <v>6.5894194709945314E-2</v>
      </c>
      <c r="F76" s="357">
        <v>8.9684844000353606E-2</v>
      </c>
      <c r="G76" s="353">
        <v>1.4035859524307455</v>
      </c>
      <c r="H76" s="358">
        <v>1.4316167197186636</v>
      </c>
      <c r="I76" s="357">
        <v>9.0403039457201712E-2</v>
      </c>
      <c r="J76" s="357">
        <v>0.43898595970442778</v>
      </c>
      <c r="K76" s="357">
        <v>4.4580000000000009E-2</v>
      </c>
      <c r="L76" s="357">
        <v>8.5126389408453337E-2</v>
      </c>
      <c r="M76" s="357">
        <v>8.5553555946531828E-2</v>
      </c>
      <c r="N76" s="358">
        <v>1.7082627677067752</v>
      </c>
      <c r="O76" s="358">
        <v>3.9603122718170067</v>
      </c>
      <c r="P76" s="358">
        <v>26.55054315667746</v>
      </c>
      <c r="Q76" s="358">
        <v>106.24426828922546</v>
      </c>
      <c r="R76" s="358">
        <v>7.6873665036695789</v>
      </c>
      <c r="S76" s="358">
        <v>84.92073950216168</v>
      </c>
      <c r="T76" s="357">
        <v>-5.8468336063625094E-2</v>
      </c>
      <c r="U76" s="357">
        <v>8.9748973705093105E-2</v>
      </c>
      <c r="V76" s="357">
        <v>7.9897119747193407E-2</v>
      </c>
      <c r="W76" s="357">
        <v>5.4319421096697535</v>
      </c>
      <c r="X76" s="357">
        <v>0.26676580054911231</v>
      </c>
      <c r="Y76" s="357">
        <v>3.2522516000533179E-2</v>
      </c>
      <c r="Z76" s="357">
        <v>3.252251600053313E-2</v>
      </c>
      <c r="AA76" s="359">
        <v>4.1542221580677191E-2</v>
      </c>
    </row>
    <row r="77" spans="1:27" s="354" customFormat="1" ht="12.5">
      <c r="A77" s="355" t="s">
        <v>747</v>
      </c>
      <c r="B77" s="356">
        <v>479</v>
      </c>
      <c r="C77" s="357">
        <v>1.2613285302593657E-2</v>
      </c>
      <c r="D77" s="357">
        <v>6.1269092560628673E-2</v>
      </c>
      <c r="E77" s="357">
        <v>0.13279299614966453</v>
      </c>
      <c r="F77" s="357">
        <v>0.24871849830270823</v>
      </c>
      <c r="G77" s="353">
        <v>1.0834314563165584</v>
      </c>
      <c r="H77" s="358">
        <v>1.2079379977370139</v>
      </c>
      <c r="I77" s="357">
        <v>7.8637538680966942E-2</v>
      </c>
      <c r="J77" s="357">
        <v>0.31635057143527651</v>
      </c>
      <c r="K77" s="357">
        <v>4.0400000000000005E-2</v>
      </c>
      <c r="L77" s="357">
        <v>0.22794139189461252</v>
      </c>
      <c r="M77" s="357">
        <v>6.7619412833267667E-2</v>
      </c>
      <c r="N77" s="358">
        <v>2.599077759078094</v>
      </c>
      <c r="O77" s="358">
        <v>1.2014034485022349</v>
      </c>
      <c r="P77" s="358">
        <v>10.529991306257031</v>
      </c>
      <c r="Q77" s="358">
        <v>18.573194900869328</v>
      </c>
      <c r="R77" s="358">
        <v>3.7450681339315119</v>
      </c>
      <c r="S77" s="358">
        <v>36.53075772679172</v>
      </c>
      <c r="T77" s="357">
        <v>6.2520644459389166E-2</v>
      </c>
      <c r="U77" s="357">
        <v>1.7355707759161731E-2</v>
      </c>
      <c r="V77" s="357">
        <v>5.4898945547292711E-4</v>
      </c>
      <c r="W77" s="357">
        <v>0.20919559946357136</v>
      </c>
      <c r="X77" s="357">
        <v>0.15794563940814463</v>
      </c>
      <c r="Y77" s="357">
        <v>0.32442417082421332</v>
      </c>
      <c r="Z77" s="357">
        <v>0.32442417082421326</v>
      </c>
      <c r="AA77" s="359">
        <v>6.139574904661501E-2</v>
      </c>
    </row>
    <row r="78" spans="1:27" s="354" customFormat="1" ht="12.5">
      <c r="A78" s="355" t="s">
        <v>748</v>
      </c>
      <c r="B78" s="356">
        <v>90</v>
      </c>
      <c r="C78" s="357">
        <v>4.1099275362318846E-2</v>
      </c>
      <c r="D78" s="357">
        <v>0.10238272234404534</v>
      </c>
      <c r="E78" s="357">
        <v>0.10123362293340271</v>
      </c>
      <c r="F78" s="357">
        <v>0.22345902519286492</v>
      </c>
      <c r="G78" s="353">
        <v>1.0942432510912552</v>
      </c>
      <c r="H78" s="358">
        <v>1.2588029541998951</v>
      </c>
      <c r="I78" s="357">
        <v>8.1313035390914487E-2</v>
      </c>
      <c r="J78" s="357">
        <v>0.2558277620529969</v>
      </c>
      <c r="K78" s="357">
        <v>4.0400000000000005E-2</v>
      </c>
      <c r="L78" s="357">
        <v>0.28118528694520339</v>
      </c>
      <c r="M78" s="357">
        <v>6.6968920396574386E-2</v>
      </c>
      <c r="N78" s="358">
        <v>1.1577591039831234</v>
      </c>
      <c r="O78" s="358">
        <v>1.2161160448186801</v>
      </c>
      <c r="P78" s="358">
        <v>7.087004352675625</v>
      </c>
      <c r="Q78" s="358">
        <v>11.704603683580871</v>
      </c>
      <c r="R78" s="358">
        <v>1.4562908346277255</v>
      </c>
      <c r="S78" s="358">
        <v>63.248894981939678</v>
      </c>
      <c r="T78" s="357">
        <v>0.2081095541822757</v>
      </c>
      <c r="U78" s="357">
        <v>5.7511137121447307E-2</v>
      </c>
      <c r="V78" s="357">
        <v>2.9239237779639861E-2</v>
      </c>
      <c r="W78" s="357">
        <v>0.60510239145194167</v>
      </c>
      <c r="X78" s="357">
        <v>0.13245205972686916</v>
      </c>
      <c r="Y78" s="357">
        <v>0.3154235870296408</v>
      </c>
      <c r="Z78" s="357">
        <v>0.3154235870296408</v>
      </c>
      <c r="AA78" s="359">
        <v>0.1043088757472794</v>
      </c>
    </row>
    <row r="79" spans="1:27" s="354" customFormat="1" ht="12.5">
      <c r="A79" s="355" t="s">
        <v>749</v>
      </c>
      <c r="B79" s="356">
        <v>581</v>
      </c>
      <c r="C79" s="357">
        <v>8.146102505694755E-2</v>
      </c>
      <c r="D79" s="357">
        <v>0.22016122643247338</v>
      </c>
      <c r="E79" s="357">
        <v>0.18661866214241898</v>
      </c>
      <c r="F79" s="357">
        <v>0.11596051089324021</v>
      </c>
      <c r="G79" s="353">
        <v>1.5519787001801451</v>
      </c>
      <c r="H79" s="358">
        <v>1.5666378029133892</v>
      </c>
      <c r="I79" s="357">
        <v>9.7505148433244274E-2</v>
      </c>
      <c r="J79" s="357">
        <v>0.34356638448587645</v>
      </c>
      <c r="K79" s="357">
        <v>4.0400000000000005E-2</v>
      </c>
      <c r="L79" s="357">
        <v>6.6598638330346419E-2</v>
      </c>
      <c r="M79" s="357">
        <v>9.3029377058801391E-2</v>
      </c>
      <c r="N79" s="358">
        <v>0.87954200985772624</v>
      </c>
      <c r="O79" s="358">
        <v>6.5834538002097833</v>
      </c>
      <c r="P79" s="358">
        <v>18.65533232269221</v>
      </c>
      <c r="Q79" s="358">
        <v>29.399261754390164</v>
      </c>
      <c r="R79" s="358">
        <v>5.9893659380762454</v>
      </c>
      <c r="S79" s="358">
        <v>139.05269043014923</v>
      </c>
      <c r="T79" s="357">
        <v>0.15313389629863478</v>
      </c>
      <c r="U79" s="357">
        <v>0.16275659751404498</v>
      </c>
      <c r="V79" s="357">
        <v>9.4756741586764795E-2</v>
      </c>
      <c r="W79" s="357">
        <v>0.62747999772547103</v>
      </c>
      <c r="X79" s="357">
        <v>0.24746319903471461</v>
      </c>
      <c r="Y79" s="357">
        <v>0.31311330359466727</v>
      </c>
      <c r="Z79" s="357">
        <v>0.31311330359466727</v>
      </c>
      <c r="AA79" s="359">
        <v>0.23441240751038647</v>
      </c>
    </row>
    <row r="80" spans="1:27" s="354" customFormat="1" ht="12.5">
      <c r="A80" s="355" t="s">
        <v>750</v>
      </c>
      <c r="B80" s="356">
        <v>324</v>
      </c>
      <c r="C80" s="357">
        <v>0.11823534482758624</v>
      </c>
      <c r="D80" s="357">
        <v>0.23266942567906598</v>
      </c>
      <c r="E80" s="357">
        <v>0.25117185589578167</v>
      </c>
      <c r="F80" s="357">
        <v>0.14496038712002726</v>
      </c>
      <c r="G80" s="353">
        <v>1.9329057517490515</v>
      </c>
      <c r="H80" s="358">
        <v>1.913872580558768</v>
      </c>
      <c r="I80" s="357">
        <v>0.11576969773739119</v>
      </c>
      <c r="J80" s="357">
        <v>0.33073648727489308</v>
      </c>
      <c r="K80" s="357">
        <v>4.0400000000000005E-2</v>
      </c>
      <c r="L80" s="357">
        <v>3.9271042827220777E-2</v>
      </c>
      <c r="M80" s="357">
        <v>0.11241321357711649</v>
      </c>
      <c r="N80" s="358">
        <v>1.1965887929674528</v>
      </c>
      <c r="O80" s="358">
        <v>6.8106348713918736</v>
      </c>
      <c r="P80" s="358">
        <v>24.386264360030772</v>
      </c>
      <c r="Q80" s="358">
        <v>28.973189212724058</v>
      </c>
      <c r="R80" s="358">
        <v>8.5780420366749812</v>
      </c>
      <c r="S80" s="358">
        <v>46.503667671646575</v>
      </c>
      <c r="T80" s="357">
        <v>0.2704854599552205</v>
      </c>
      <c r="U80" s="357">
        <v>6.4554687037555278E-2</v>
      </c>
      <c r="V80" s="357">
        <v>5.0545201595371E-2</v>
      </c>
      <c r="W80" s="357">
        <v>0.49118195042156093</v>
      </c>
      <c r="X80" s="357">
        <v>0.30344710979365302</v>
      </c>
      <c r="Y80" s="357">
        <v>0.21743547220113429</v>
      </c>
      <c r="Z80" s="357">
        <v>0.21743547220113424</v>
      </c>
      <c r="AA80" s="359">
        <v>0.24059626019681066</v>
      </c>
    </row>
    <row r="81" spans="1:27" s="354" customFormat="1" ht="12.5">
      <c r="A81" s="355" t="s">
        <v>751</v>
      </c>
      <c r="B81" s="356">
        <v>348</v>
      </c>
      <c r="C81" s="357">
        <v>6.4884424460431661E-2</v>
      </c>
      <c r="D81" s="357">
        <v>0.23518480959238755</v>
      </c>
      <c r="E81" s="357">
        <v>0.19976962183355079</v>
      </c>
      <c r="F81" s="357">
        <v>0.10227815816137052</v>
      </c>
      <c r="G81" s="353">
        <v>0.98273414907910728</v>
      </c>
      <c r="H81" s="358">
        <v>1.1235447323872723</v>
      </c>
      <c r="I81" s="357">
        <v>7.4198452923570524E-2</v>
      </c>
      <c r="J81" s="357">
        <v>0.28900935389708543</v>
      </c>
      <c r="K81" s="357">
        <v>4.0400000000000005E-2</v>
      </c>
      <c r="L81" s="357">
        <v>0.29122993438649519</v>
      </c>
      <c r="M81" s="357">
        <v>6.1413909358970432E-2</v>
      </c>
      <c r="N81" s="358">
        <v>0.95161003718361947</v>
      </c>
      <c r="O81" s="358">
        <v>1.8533086823228544</v>
      </c>
      <c r="P81" s="358">
        <v>6.1373457751383098</v>
      </c>
      <c r="Q81" s="358">
        <v>7.6688972751579714</v>
      </c>
      <c r="R81" s="358">
        <v>1.5324302701338244</v>
      </c>
      <c r="S81" s="358">
        <v>23.685713545059457</v>
      </c>
      <c r="T81" s="357">
        <v>1.0200342914794207E-2</v>
      </c>
      <c r="U81" s="357">
        <v>8.2039658720536271E-2</v>
      </c>
      <c r="V81" s="357">
        <v>3.9902396104123709E-2</v>
      </c>
      <c r="W81" s="357">
        <v>0.22479397392482642</v>
      </c>
      <c r="X81" s="357">
        <v>0.35377869526900318</v>
      </c>
      <c r="Y81" s="357">
        <v>0.14030288293761758</v>
      </c>
      <c r="Z81" s="357">
        <v>0.14030288293761761</v>
      </c>
      <c r="AA81" s="359">
        <v>0.23728988082114069</v>
      </c>
    </row>
    <row r="82" spans="1:27" s="354" customFormat="1" ht="12.5">
      <c r="A82" s="355" t="s">
        <v>752</v>
      </c>
      <c r="B82" s="356">
        <v>84</v>
      </c>
      <c r="C82" s="357">
        <v>-3.1613387096774186E-2</v>
      </c>
      <c r="D82" s="357">
        <v>0.11852920398125474</v>
      </c>
      <c r="E82" s="357">
        <v>0.20049274906102899</v>
      </c>
      <c r="F82" s="357">
        <v>0.17306329733118475</v>
      </c>
      <c r="G82" s="353">
        <v>1.1285452584053763</v>
      </c>
      <c r="H82" s="358">
        <v>1.1373530584187677</v>
      </c>
      <c r="I82" s="357">
        <v>7.4924770872827173E-2</v>
      </c>
      <c r="J82" s="357">
        <v>0.30489662620660396</v>
      </c>
      <c r="K82" s="357">
        <v>4.0400000000000005E-2</v>
      </c>
      <c r="L82" s="357">
        <v>7.6069436057585413E-2</v>
      </c>
      <c r="M82" s="357">
        <v>7.1530189718332249E-2</v>
      </c>
      <c r="N82" s="358">
        <v>1.9767105151872286</v>
      </c>
      <c r="O82" s="358">
        <v>3.7714709042566041</v>
      </c>
      <c r="P82" s="358">
        <v>24.523763498020735</v>
      </c>
      <c r="Q82" s="358">
        <v>31.557472062302292</v>
      </c>
      <c r="R82" s="358">
        <v>7.5750799023245907</v>
      </c>
      <c r="S82" s="358">
        <v>65.089622169726439</v>
      </c>
      <c r="T82" s="357">
        <v>0.18056994199780721</v>
      </c>
      <c r="U82" s="357">
        <v>1.5748787242825232E-2</v>
      </c>
      <c r="V82" s="357">
        <v>-1.4156320428161111E-3</v>
      </c>
      <c r="W82" s="357">
        <v>7.954861416889189E-2</v>
      </c>
      <c r="X82" s="357">
        <v>0.24505029663138542</v>
      </c>
      <c r="Y82" s="357">
        <v>0.28473849776799265</v>
      </c>
      <c r="Z82" s="357">
        <v>0.28473849776799265</v>
      </c>
      <c r="AA82" s="359">
        <v>0.11767630837606761</v>
      </c>
    </row>
    <row r="83" spans="1:27" s="354" customFormat="1" ht="12.5">
      <c r="A83" s="355" t="s">
        <v>753</v>
      </c>
      <c r="B83" s="356">
        <v>317</v>
      </c>
      <c r="C83" s="357">
        <v>0.12198917910447764</v>
      </c>
      <c r="D83" s="357">
        <v>0.26896366478542111</v>
      </c>
      <c r="E83" s="357">
        <v>0.21189984453676428</v>
      </c>
      <c r="F83" s="357">
        <v>0.15561733491563254</v>
      </c>
      <c r="G83" s="353">
        <v>1.2792978433731432</v>
      </c>
      <c r="H83" s="358">
        <v>1.2783239533700639</v>
      </c>
      <c r="I83" s="357">
        <v>8.2339839947265361E-2</v>
      </c>
      <c r="J83" s="357">
        <v>0.41354487083788249</v>
      </c>
      <c r="K83" s="357">
        <v>4.4580000000000009E-2</v>
      </c>
      <c r="L83" s="357">
        <v>3.517976424472375E-2</v>
      </c>
      <c r="M83" s="357">
        <v>8.061937920749461E-2</v>
      </c>
      <c r="N83" s="358">
        <v>0.81428082736565555</v>
      </c>
      <c r="O83" s="358">
        <v>7.6656077610643329</v>
      </c>
      <c r="P83" s="358">
        <v>21.00053848018316</v>
      </c>
      <c r="Q83" s="358">
        <v>27.767485431592817</v>
      </c>
      <c r="R83" s="358">
        <v>6.0330230764818804</v>
      </c>
      <c r="S83" s="358">
        <v>57.371539053505501</v>
      </c>
      <c r="T83" s="357">
        <v>2.066338149634591E-2</v>
      </c>
      <c r="U83" s="357">
        <v>9.7483157278038746E-2</v>
      </c>
      <c r="V83" s="357">
        <v>7.6924430416947298E-2</v>
      </c>
      <c r="W83" s="357">
        <v>0.44292636822112397</v>
      </c>
      <c r="X83" s="357">
        <v>0.31973169493381992</v>
      </c>
      <c r="Y83" s="357">
        <v>2.5829951723873982E-2</v>
      </c>
      <c r="Z83" s="357">
        <v>2.5829951723874034E-2</v>
      </c>
      <c r="AA83" s="359">
        <v>0.28552625417379313</v>
      </c>
    </row>
    <row r="84" spans="1:27" s="354" customFormat="1" ht="12.5">
      <c r="A84" s="355" t="s">
        <v>754</v>
      </c>
      <c r="B84" s="356">
        <v>151</v>
      </c>
      <c r="C84" s="357">
        <v>0.20920138888888901</v>
      </c>
      <c r="D84" s="357">
        <v>1.2061583975656978E-2</v>
      </c>
      <c r="E84" s="357">
        <v>3.7949935361648916E-2</v>
      </c>
      <c r="F84" s="357">
        <v>0.13610793409171904</v>
      </c>
      <c r="G84" s="353">
        <v>1.1076887777414264</v>
      </c>
      <c r="H84" s="358">
        <v>1.1294721270398735</v>
      </c>
      <c r="I84" s="357">
        <v>7.4510233882297341E-2</v>
      </c>
      <c r="J84" s="357">
        <v>0.36629598047922113</v>
      </c>
      <c r="K84" s="357">
        <v>4.0400000000000005E-2</v>
      </c>
      <c r="L84" s="357">
        <v>6.3411030290334278E-2</v>
      </c>
      <c r="M84" s="357">
        <v>7.1706817402444223E-2</v>
      </c>
      <c r="N84" s="358">
        <v>1.1704491266049009</v>
      </c>
      <c r="O84" s="358">
        <v>10.6474673612193</v>
      </c>
      <c r="P84" s="358">
        <v>44.886584782884078</v>
      </c>
      <c r="Q84" s="358" t="s">
        <v>99</v>
      </c>
      <c r="R84" s="358">
        <v>9.9851692646015202</v>
      </c>
      <c r="S84" s="358">
        <v>303.7112895756934</v>
      </c>
      <c r="T84" s="357">
        <v>2.7312077990971958E-2</v>
      </c>
      <c r="U84" s="357">
        <v>6.7568402662837271E-2</v>
      </c>
      <c r="V84" s="357">
        <v>9.6402675767557552E-2</v>
      </c>
      <c r="W84" s="357">
        <v>40.04631641994748</v>
      </c>
      <c r="X84" s="357">
        <v>4.2542409840140287E-2</v>
      </c>
      <c r="Y84" s="357">
        <v>0.29678036980519584</v>
      </c>
      <c r="Z84" s="357">
        <v>0.29678036980519584</v>
      </c>
      <c r="AA84" s="359">
        <v>3.3538335732862225E-2</v>
      </c>
    </row>
    <row r="85" spans="1:27" s="354" customFormat="1" ht="12.5">
      <c r="A85" s="355" t="s">
        <v>755</v>
      </c>
      <c r="B85" s="356">
        <v>1603</v>
      </c>
      <c r="C85" s="357">
        <v>0.145828258642766</v>
      </c>
      <c r="D85" s="357">
        <v>0.20319437339736357</v>
      </c>
      <c r="E85" s="357">
        <v>0.21376743005087168</v>
      </c>
      <c r="F85" s="357">
        <v>0.12545400764908832</v>
      </c>
      <c r="G85" s="353">
        <v>1.2001382873733581</v>
      </c>
      <c r="H85" s="358">
        <v>1.2143044372125289</v>
      </c>
      <c r="I85" s="357">
        <v>7.8972413397379024E-2</v>
      </c>
      <c r="J85" s="357">
        <v>0.39592214923174668</v>
      </c>
      <c r="K85" s="357">
        <v>4.0400000000000005E-2</v>
      </c>
      <c r="L85" s="357">
        <v>5.4353741967815263E-2</v>
      </c>
      <c r="M85" s="357">
        <v>7.6326885598627048E-2</v>
      </c>
      <c r="N85" s="358">
        <v>1.0378903576603373</v>
      </c>
      <c r="O85" s="358">
        <v>11.095304668870677</v>
      </c>
      <c r="P85" s="358">
        <v>33.066827786255402</v>
      </c>
      <c r="Q85" s="358">
        <v>47.325875947777988</v>
      </c>
      <c r="R85" s="358">
        <v>11.532075841757656</v>
      </c>
      <c r="S85" s="358">
        <v>167.00057762431732</v>
      </c>
      <c r="T85" s="357">
        <v>0.1408258346455214</v>
      </c>
      <c r="U85" s="357">
        <v>6.0715054124616939E-2</v>
      </c>
      <c r="V85" s="357">
        <v>0.15468778387373933</v>
      </c>
      <c r="W85" s="357">
        <v>0.93669942798490824</v>
      </c>
      <c r="X85" s="357">
        <v>0.20467745730681164</v>
      </c>
      <c r="Y85" s="357">
        <v>0.35855950564067901</v>
      </c>
      <c r="Z85" s="357">
        <v>0.35855950564067895</v>
      </c>
      <c r="AA85" s="359">
        <v>0.22274876142798222</v>
      </c>
    </row>
    <row r="86" spans="1:27" s="354" customFormat="1" ht="12.5">
      <c r="A86" s="355" t="s">
        <v>756</v>
      </c>
      <c r="B86" s="356">
        <v>709</v>
      </c>
      <c r="C86" s="357">
        <v>0.12988216730038021</v>
      </c>
      <c r="D86" s="357">
        <v>0.14980531567636302</v>
      </c>
      <c r="E86" s="357">
        <v>0.20855025892651846</v>
      </c>
      <c r="F86" s="357">
        <v>0.204530262031031</v>
      </c>
      <c r="G86" s="353">
        <v>1.063800498303906</v>
      </c>
      <c r="H86" s="358">
        <v>1.2533331552197386</v>
      </c>
      <c r="I86" s="357">
        <v>8.1025323964558263E-2</v>
      </c>
      <c r="J86" s="357">
        <v>0.3186563954166941</v>
      </c>
      <c r="K86" s="357">
        <v>4.0400000000000005E-2</v>
      </c>
      <c r="L86" s="357">
        <v>0.30823016607963638</v>
      </c>
      <c r="M86" s="357">
        <v>6.5390248934519113E-2</v>
      </c>
      <c r="N86" s="358">
        <v>1.622404331728357</v>
      </c>
      <c r="O86" s="358">
        <v>0.79718726476402479</v>
      </c>
      <c r="P86" s="358">
        <v>4.1232803106199407</v>
      </c>
      <c r="Q86" s="358">
        <v>5.2268644425022064</v>
      </c>
      <c r="R86" s="358">
        <v>1.1891191250734865</v>
      </c>
      <c r="S86" s="358">
        <v>48.917604493435867</v>
      </c>
      <c r="T86" s="357">
        <v>0.13671752017113178</v>
      </c>
      <c r="U86" s="357">
        <v>4.9431469182001406E-2</v>
      </c>
      <c r="V86" s="357">
        <v>3.1576044068549095E-2</v>
      </c>
      <c r="W86" s="357">
        <v>0.49650615174719803</v>
      </c>
      <c r="X86" s="357">
        <v>0.25574593205064644</v>
      </c>
      <c r="Y86" s="357">
        <v>0.30290003687577099</v>
      </c>
      <c r="Z86" s="357">
        <v>0.30290003687577105</v>
      </c>
      <c r="AA86" s="359">
        <v>0.15171074208747792</v>
      </c>
    </row>
    <row r="87" spans="1:27" s="354" customFormat="1" ht="12.5">
      <c r="A87" s="355" t="s">
        <v>757</v>
      </c>
      <c r="B87" s="356">
        <v>101</v>
      </c>
      <c r="C87" s="357">
        <v>2.730985915492961E-3</v>
      </c>
      <c r="D87" s="357">
        <v>0.14046320740854051</v>
      </c>
      <c r="E87" s="357">
        <v>8.8251996263097918E-2</v>
      </c>
      <c r="F87" s="357">
        <v>0.29577894117737341</v>
      </c>
      <c r="G87" s="353">
        <v>0.71396457461904139</v>
      </c>
      <c r="H87" s="358">
        <v>1.0024897354072293</v>
      </c>
      <c r="I87" s="357">
        <v>6.7830960082420261E-2</v>
      </c>
      <c r="J87" s="357">
        <v>0.25121862207428292</v>
      </c>
      <c r="K87" s="357">
        <v>4.0400000000000005E-2</v>
      </c>
      <c r="L87" s="357">
        <v>0.42624417123529412</v>
      </c>
      <c r="M87" s="357">
        <v>5.1833607106424137E-2</v>
      </c>
      <c r="N87" s="358">
        <v>0.7348459816646089</v>
      </c>
      <c r="O87" s="358">
        <v>2.1073536955859327</v>
      </c>
      <c r="P87" s="358">
        <v>6.6010854860061876</v>
      </c>
      <c r="Q87" s="358">
        <v>15.173588140864258</v>
      </c>
      <c r="R87" s="358">
        <v>1.3490522292549347</v>
      </c>
      <c r="S87" s="358">
        <v>27.220667553932977</v>
      </c>
      <c r="T87" s="357">
        <v>-0.12441445621259659</v>
      </c>
      <c r="U87" s="357">
        <v>0.16150854671787143</v>
      </c>
      <c r="V87" s="357">
        <v>-4.8848706537620171E-3</v>
      </c>
      <c r="W87" s="357">
        <v>-5.7445368848971202E-2</v>
      </c>
      <c r="X87" s="357">
        <v>0.13991216312529939</v>
      </c>
      <c r="Y87" s="357">
        <v>0.39808806446161527</v>
      </c>
      <c r="Z87" s="357">
        <v>0.39808806446161527</v>
      </c>
      <c r="AA87" s="359">
        <v>0.14109159238099231</v>
      </c>
    </row>
    <row r="88" spans="1:27" s="354" customFormat="1" ht="12.5">
      <c r="A88" s="355" t="s">
        <v>510</v>
      </c>
      <c r="B88" s="356">
        <v>465</v>
      </c>
      <c r="C88" s="357">
        <v>3.4432005649717531E-2</v>
      </c>
      <c r="D88" s="357">
        <v>0.11209882645611607</v>
      </c>
      <c r="E88" s="357">
        <v>0.14255996042978189</v>
      </c>
      <c r="F88" s="357">
        <v>0.29824004011053867</v>
      </c>
      <c r="G88" s="353">
        <v>1.1661075007619341</v>
      </c>
      <c r="H88" s="358">
        <v>1.1712700535217679</v>
      </c>
      <c r="I88" s="357">
        <v>7.6708804815244988E-2</v>
      </c>
      <c r="J88" s="357">
        <v>0.32549748497016417</v>
      </c>
      <c r="K88" s="357">
        <v>4.0400000000000005E-2</v>
      </c>
      <c r="L88" s="357">
        <v>9.5674298758699525E-2</v>
      </c>
      <c r="M88" s="357">
        <v>7.226867495831707E-2</v>
      </c>
      <c r="N88" s="358">
        <v>1.2798897510527911</v>
      </c>
      <c r="O88" s="358">
        <v>2.9214981664594153</v>
      </c>
      <c r="P88" s="358">
        <v>17.372103677741311</v>
      </c>
      <c r="Q88" s="358">
        <v>24.556338163192208</v>
      </c>
      <c r="R88" s="358">
        <v>4.228647115743378</v>
      </c>
      <c r="S88" s="358">
        <v>87.028616248210383</v>
      </c>
      <c r="T88" s="357">
        <v>0.22811243812642415</v>
      </c>
      <c r="U88" s="357">
        <v>3.3236242775729251E-2</v>
      </c>
      <c r="V88" s="357">
        <v>5.5885499621082552E-2</v>
      </c>
      <c r="W88" s="357">
        <v>0.85861006465105749</v>
      </c>
      <c r="X88" s="357">
        <v>0.1137364459095792</v>
      </c>
      <c r="Y88" s="357">
        <v>0.59371650369716222</v>
      </c>
      <c r="Z88" s="357">
        <v>0.59371650369716222</v>
      </c>
      <c r="AA88" s="359">
        <v>0.12103257928818929</v>
      </c>
    </row>
    <row r="89" spans="1:27" s="354" customFormat="1" ht="12.5">
      <c r="A89" s="355" t="s">
        <v>758</v>
      </c>
      <c r="B89" s="356">
        <v>296</v>
      </c>
      <c r="C89" s="357">
        <v>8.0950975609756032E-2</v>
      </c>
      <c r="D89" s="357">
        <v>0.15782952506853631</v>
      </c>
      <c r="E89" s="357">
        <v>0.10601975915362225</v>
      </c>
      <c r="F89" s="357">
        <v>0.2072867644818156</v>
      </c>
      <c r="G89" s="353">
        <v>0.57344956051720142</v>
      </c>
      <c r="H89" s="358">
        <v>0.8558553061197619</v>
      </c>
      <c r="I89" s="357">
        <v>6.0117989101899479E-2</v>
      </c>
      <c r="J89" s="357">
        <v>0.28128980563356337</v>
      </c>
      <c r="K89" s="357">
        <v>4.0400000000000005E-2</v>
      </c>
      <c r="L89" s="357">
        <v>0.43580939640883859</v>
      </c>
      <c r="M89" s="357">
        <v>4.7123029269275349E-2</v>
      </c>
      <c r="N89" s="358">
        <v>0.78395632169669449</v>
      </c>
      <c r="O89" s="358">
        <v>2.1780542540197216</v>
      </c>
      <c r="P89" s="358">
        <v>6.8686212731549574</v>
      </c>
      <c r="Q89" s="358">
        <v>13.797463726024754</v>
      </c>
      <c r="R89" s="358">
        <v>1.4754172364123215</v>
      </c>
      <c r="S89" s="358">
        <v>90.490769365039128</v>
      </c>
      <c r="T89" s="357">
        <v>-3.8524505423840377E-3</v>
      </c>
      <c r="U89" s="357">
        <v>0.14744952256958729</v>
      </c>
      <c r="V89" s="357">
        <v>-6.0283538442271873E-4</v>
      </c>
      <c r="W89" s="357">
        <v>-4.6359689423483043E-2</v>
      </c>
      <c r="X89" s="357">
        <v>0.12857456387641686</v>
      </c>
      <c r="Y89" s="357">
        <v>0.57234395372017866</v>
      </c>
      <c r="Z89" s="357">
        <v>0.57234395372017866</v>
      </c>
      <c r="AA89" s="359">
        <v>0.1571343011807079</v>
      </c>
    </row>
    <row r="90" spans="1:27" s="354" customFormat="1" ht="12.5">
      <c r="A90" s="355" t="s">
        <v>759</v>
      </c>
      <c r="B90" s="356">
        <v>55</v>
      </c>
      <c r="C90" s="357">
        <v>3.0407058823529409E-2</v>
      </c>
      <c r="D90" s="357">
        <v>0.34452987704033594</v>
      </c>
      <c r="E90" s="357">
        <v>0.22495511975045038</v>
      </c>
      <c r="F90" s="357">
        <v>0.23568473666927278</v>
      </c>
      <c r="G90" s="353">
        <v>0.72703653735980767</v>
      </c>
      <c r="H90" s="358">
        <v>0.85479331897830202</v>
      </c>
      <c r="I90" s="357">
        <v>6.006212857825869E-2</v>
      </c>
      <c r="J90" s="357">
        <v>0.27244667748724533</v>
      </c>
      <c r="K90" s="357">
        <v>4.0400000000000005E-2</v>
      </c>
      <c r="L90" s="357">
        <v>0.23076224490538635</v>
      </c>
      <c r="M90" s="357">
        <v>5.3194152974376963E-2</v>
      </c>
      <c r="N90" s="358">
        <v>0.7771146190511381</v>
      </c>
      <c r="O90" s="358">
        <v>3.6709891119330016</v>
      </c>
      <c r="P90" s="358">
        <v>8.4805062604484931</v>
      </c>
      <c r="Q90" s="358">
        <v>10.623141750356048</v>
      </c>
      <c r="R90" s="358">
        <v>3.5276289208039842</v>
      </c>
      <c r="S90" s="358">
        <v>21.306175395352881</v>
      </c>
      <c r="T90" s="357">
        <v>0.16848525456718003</v>
      </c>
      <c r="U90" s="357">
        <v>2.3246562724591788E-2</v>
      </c>
      <c r="V90" s="357">
        <v>-3.9573561387867613E-2</v>
      </c>
      <c r="W90" s="357">
        <v>-0.13177433879295558</v>
      </c>
      <c r="X90" s="357">
        <v>0.26171041088121882</v>
      </c>
      <c r="Y90" s="357">
        <v>0.86301971684579082</v>
      </c>
      <c r="Z90" s="357">
        <v>0.86301971684579082</v>
      </c>
      <c r="AA90" s="359">
        <v>0.34477494537820197</v>
      </c>
    </row>
    <row r="91" spans="1:27" s="354" customFormat="1" ht="12.5">
      <c r="A91" s="355" t="s">
        <v>760</v>
      </c>
      <c r="B91" s="356">
        <v>295</v>
      </c>
      <c r="C91" s="357">
        <v>8.5174356435643639E-2</v>
      </c>
      <c r="D91" s="357">
        <v>7.2457923131433941E-2</v>
      </c>
      <c r="E91" s="357">
        <v>0.11290607748214306</v>
      </c>
      <c r="F91" s="357">
        <v>0.23633444058717226</v>
      </c>
      <c r="G91" s="353">
        <v>0.85015683574683387</v>
      </c>
      <c r="H91" s="358">
        <v>1.0144295016900287</v>
      </c>
      <c r="I91" s="357">
        <v>6.8458991788895501E-2</v>
      </c>
      <c r="J91" s="357">
        <v>0.28153691037221817</v>
      </c>
      <c r="K91" s="357">
        <v>4.0400000000000005E-2</v>
      </c>
      <c r="L91" s="357">
        <v>0.28564055207233141</v>
      </c>
      <c r="M91" s="357">
        <v>5.7559236307791826E-2</v>
      </c>
      <c r="N91" s="358">
        <v>1.8543244903854654</v>
      </c>
      <c r="O91" s="358">
        <v>1.3400874152530109</v>
      </c>
      <c r="P91" s="358">
        <v>11.123294375161963</v>
      </c>
      <c r="Q91" s="358">
        <v>17.785997805766645</v>
      </c>
      <c r="R91" s="358">
        <v>2.5126332818998796</v>
      </c>
      <c r="S91" s="358">
        <v>54.754180658454288</v>
      </c>
      <c r="T91" s="357">
        <v>4.4481685340909301E-2</v>
      </c>
      <c r="U91" s="357">
        <v>4.5641737736397854E-2</v>
      </c>
      <c r="V91" s="357">
        <v>1.2482659556912757E-2</v>
      </c>
      <c r="W91" s="357">
        <v>0.56549207509158195</v>
      </c>
      <c r="X91" s="357">
        <v>0.17899732437239302</v>
      </c>
      <c r="Y91" s="357">
        <v>0.37026126547486032</v>
      </c>
      <c r="Z91" s="357">
        <v>0.37026126547486027</v>
      </c>
      <c r="AA91" s="359">
        <v>7.3498973610067825E-2</v>
      </c>
    </row>
    <row r="92" spans="1:27" s="354" customFormat="1" ht="12.5">
      <c r="A92" s="355" t="s">
        <v>761</v>
      </c>
      <c r="B92" s="356">
        <v>51</v>
      </c>
      <c r="C92" s="357">
        <v>-5.9933333333333811E-4</v>
      </c>
      <c r="D92" s="357">
        <v>0.15403635576839833</v>
      </c>
      <c r="E92" s="357">
        <v>4.5254494138982151E-2</v>
      </c>
      <c r="F92" s="357">
        <v>0.23994419910171449</v>
      </c>
      <c r="G92" s="353">
        <v>0.66537345334680054</v>
      </c>
      <c r="H92" s="358">
        <v>0.82573690152955981</v>
      </c>
      <c r="I92" s="357">
        <v>5.853376102045485E-2</v>
      </c>
      <c r="J92" s="357">
        <v>0.17870620242728813</v>
      </c>
      <c r="K92" s="357">
        <v>3.3800000000000004E-2</v>
      </c>
      <c r="L92" s="357">
        <v>0.28103472382481087</v>
      </c>
      <c r="M92" s="357">
        <v>4.9207971906602803E-2</v>
      </c>
      <c r="N92" s="358">
        <v>0.36118073689358499</v>
      </c>
      <c r="O92" s="358">
        <v>5.2608437096845719</v>
      </c>
      <c r="P92" s="358">
        <v>17.865935315820881</v>
      </c>
      <c r="Q92" s="358">
        <v>32.801254501364184</v>
      </c>
      <c r="R92" s="358">
        <v>2.6532599002352972</v>
      </c>
      <c r="S92" s="358">
        <v>42.915857928204794</v>
      </c>
      <c r="T92" s="357">
        <v>6.4249580962183264E-2</v>
      </c>
      <c r="U92" s="357">
        <v>0.17324003750331632</v>
      </c>
      <c r="V92" s="357">
        <v>0.1203793615216346</v>
      </c>
      <c r="W92" s="357">
        <v>1.1155053451745633</v>
      </c>
      <c r="X92" s="357">
        <v>6.2059002699599582E-2</v>
      </c>
      <c r="Y92" s="357">
        <v>0.69453417954896512</v>
      </c>
      <c r="Z92" s="357">
        <v>0.69453417954896512</v>
      </c>
      <c r="AA92" s="359">
        <v>0.15623857802445984</v>
      </c>
    </row>
    <row r="93" spans="1:27" s="354" customFormat="1" ht="12.5">
      <c r="A93" s="355" t="s">
        <v>762</v>
      </c>
      <c r="B93" s="356">
        <v>232</v>
      </c>
      <c r="C93" s="357">
        <v>3.7452530120481942E-2</v>
      </c>
      <c r="D93" s="357">
        <v>5.5792389472469388E-2</v>
      </c>
      <c r="E93" s="357">
        <v>5.7699753318258405E-2</v>
      </c>
      <c r="F93" s="357">
        <v>0.24962927846964394</v>
      </c>
      <c r="G93" s="353">
        <v>0.91760919197152047</v>
      </c>
      <c r="H93" s="358">
        <v>1.1301992175741524</v>
      </c>
      <c r="I93" s="357">
        <v>7.4548478844400412E-2</v>
      </c>
      <c r="J93" s="357">
        <v>0.28263701614696507</v>
      </c>
      <c r="K93" s="357">
        <v>4.0400000000000005E-2</v>
      </c>
      <c r="L93" s="357">
        <v>0.30300807087509513</v>
      </c>
      <c r="M93" s="357">
        <v>6.1140832630601188E-2</v>
      </c>
      <c r="N93" s="358">
        <v>1.1962485881187215</v>
      </c>
      <c r="O93" s="358">
        <v>1.8469307413824128</v>
      </c>
      <c r="P93" s="358">
        <v>9.766344776465516</v>
      </c>
      <c r="Q93" s="358">
        <v>24.277437948599516</v>
      </c>
      <c r="R93" s="358">
        <v>2.9089686411176556</v>
      </c>
      <c r="S93" s="358">
        <v>71.563994356665063</v>
      </c>
      <c r="T93" s="357">
        <v>7.0322082647387485E-2</v>
      </c>
      <c r="U93" s="357">
        <v>7.9256142417247211E-2</v>
      </c>
      <c r="V93" s="357">
        <v>4.1274743550647898E-2</v>
      </c>
      <c r="W93" s="357">
        <v>1.596243911763118</v>
      </c>
      <c r="X93" s="357">
        <v>8.2152365739250041E-2</v>
      </c>
      <c r="Y93" s="357">
        <v>0.22542757183194814</v>
      </c>
      <c r="Z93" s="357">
        <v>0.22542757183194817</v>
      </c>
      <c r="AA93" s="359">
        <v>5.7787513873131906E-2</v>
      </c>
    </row>
    <row r="94" spans="1:27" s="354" customFormat="1" ht="12.5">
      <c r="A94" s="355" t="s">
        <v>763</v>
      </c>
      <c r="B94" s="356">
        <v>54</v>
      </c>
      <c r="C94" s="357">
        <v>3.3780980392156865E-2</v>
      </c>
      <c r="D94" s="357">
        <v>0.12368349207955212</v>
      </c>
      <c r="E94" s="357">
        <v>7.0305215243155875E-2</v>
      </c>
      <c r="F94" s="357">
        <v>0.20862329334813268</v>
      </c>
      <c r="G94" s="353">
        <v>0.51882333346427223</v>
      </c>
      <c r="H94" s="358">
        <v>0.80364818176933617</v>
      </c>
      <c r="I94" s="357">
        <v>5.7371894361067086E-2</v>
      </c>
      <c r="J94" s="357">
        <v>0.18542881310222778</v>
      </c>
      <c r="K94" s="357">
        <v>3.3800000000000004E-2</v>
      </c>
      <c r="L94" s="357">
        <v>0.45339836098770919</v>
      </c>
      <c r="M94" s="357">
        <v>4.2853219942037703E-2</v>
      </c>
      <c r="N94" s="358">
        <v>0.68444706503076624</v>
      </c>
      <c r="O94" s="358">
        <v>2.431597993549945</v>
      </c>
      <c r="P94" s="358">
        <v>11.051706687887853</v>
      </c>
      <c r="Q94" s="358">
        <v>19.645123742089805</v>
      </c>
      <c r="R94" s="358">
        <v>1.7081363306667394</v>
      </c>
      <c r="S94" s="358">
        <v>19.608636771090506</v>
      </c>
      <c r="T94" s="357">
        <v>-0.19589473774851959</v>
      </c>
      <c r="U94" s="357">
        <v>0.15870795467633098</v>
      </c>
      <c r="V94" s="357">
        <v>9.3012239371143265E-2</v>
      </c>
      <c r="W94" s="357">
        <v>1.0318766377180137</v>
      </c>
      <c r="X94" s="357">
        <v>9.5275107751281632E-2</v>
      </c>
      <c r="Y94" s="357">
        <v>0.67109303037221346</v>
      </c>
      <c r="Z94" s="357">
        <v>0.67109303037221346</v>
      </c>
      <c r="AA94" s="359">
        <v>0.12327537594694567</v>
      </c>
    </row>
    <row r="95" spans="1:27" s="354" customFormat="1" ht="12.5">
      <c r="A95" s="355" t="s">
        <v>764</v>
      </c>
      <c r="B95" s="356">
        <v>104</v>
      </c>
      <c r="C95" s="357">
        <v>0.1109788</v>
      </c>
      <c r="D95" s="357">
        <v>0.25066832972493358</v>
      </c>
      <c r="E95" s="357">
        <v>7.291197613687557E-2</v>
      </c>
      <c r="F95" s="357">
        <v>0.29835605757624084</v>
      </c>
      <c r="G95" s="353">
        <v>0.51200501274275911</v>
      </c>
      <c r="H95" s="358">
        <v>0.72895941806314868</v>
      </c>
      <c r="I95" s="357">
        <v>5.3443265390121626E-2</v>
      </c>
      <c r="J95" s="357">
        <v>0.26178165004236142</v>
      </c>
      <c r="K95" s="357">
        <v>4.0400000000000005E-2</v>
      </c>
      <c r="L95" s="357">
        <v>0.40535398995697081</v>
      </c>
      <c r="M95" s="357">
        <v>4.4062050423602755E-2</v>
      </c>
      <c r="N95" s="358">
        <v>0.34422174025219388</v>
      </c>
      <c r="O95" s="358">
        <v>4.940939664901034</v>
      </c>
      <c r="P95" s="358">
        <v>13.181748254475071</v>
      </c>
      <c r="Q95" s="358">
        <v>19.548638410045896</v>
      </c>
      <c r="R95" s="358">
        <v>1.7495884442596421</v>
      </c>
      <c r="S95" s="358">
        <v>72.550585826748843</v>
      </c>
      <c r="T95" s="357">
        <v>2.0002963148320219E-2</v>
      </c>
      <c r="U95" s="357">
        <v>0.23466442848800448</v>
      </c>
      <c r="V95" s="357">
        <v>0.14186564829322693</v>
      </c>
      <c r="W95" s="357">
        <v>1.2542006583095577</v>
      </c>
      <c r="X95" s="357">
        <v>0.13217374847617697</v>
      </c>
      <c r="Y95" s="357">
        <v>0.83928095175014172</v>
      </c>
      <c r="Z95" s="357">
        <v>0.38600541619293649</v>
      </c>
      <c r="AA95" s="359">
        <v>0.25034971223611541</v>
      </c>
    </row>
    <row r="96" spans="1:27" ht="12.5">
      <c r="A96" s="355" t="s">
        <v>765</v>
      </c>
      <c r="B96" s="356">
        <v>47606</v>
      </c>
      <c r="C96" s="357">
        <v>8.697034065277949E-2</v>
      </c>
      <c r="D96" s="357">
        <v>0.10215360553497528</v>
      </c>
      <c r="E96" s="357">
        <v>7.1297327645548525E-2</v>
      </c>
      <c r="F96" s="357">
        <v>0.21170526649838109</v>
      </c>
      <c r="G96" s="353">
        <v>0.88854282522739447</v>
      </c>
      <c r="H96" s="358">
        <v>1.0937390921800889</v>
      </c>
      <c r="I96" s="357">
        <v>7.2630676248672671E-2</v>
      </c>
      <c r="J96" s="357">
        <v>0.32546769015797089</v>
      </c>
      <c r="K96" s="357">
        <v>4.0400000000000005E-2</v>
      </c>
      <c r="L96" s="357">
        <v>0.35831879348733864</v>
      </c>
      <c r="M96" s="357">
        <v>5.7462799407745138E-2</v>
      </c>
      <c r="N96" s="358">
        <v>0.77823587379278003</v>
      </c>
      <c r="O96" s="358">
        <v>2.5751356825300076</v>
      </c>
      <c r="P96" s="358">
        <v>13.723424409135289</v>
      </c>
      <c r="Q96" s="358">
        <v>21.013674535997666</v>
      </c>
      <c r="R96" s="358">
        <v>2.3077005032306031</v>
      </c>
      <c r="S96" s="358">
        <v>71.780504175987758</v>
      </c>
      <c r="T96" s="357">
        <v>-1.3123077676053256</v>
      </c>
      <c r="U96" s="357">
        <v>5.5345144790002909E-2</v>
      </c>
      <c r="V96" s="357">
        <v>3.3283674922712267E-2</v>
      </c>
      <c r="W96" s="357">
        <v>0.54628288930823343</v>
      </c>
      <c r="X96" s="357">
        <v>0.13217374847617697</v>
      </c>
      <c r="Y96" s="357">
        <v>0.38600541619293643</v>
      </c>
      <c r="Z96" s="357">
        <v>0.38600541619293649</v>
      </c>
      <c r="AA96" s="359">
        <v>0.10416217208462208</v>
      </c>
    </row>
    <row r="97" spans="1:27" ht="12.5">
      <c r="A97" s="355" t="s">
        <v>766</v>
      </c>
      <c r="B97" s="356">
        <v>42185</v>
      </c>
      <c r="C97" s="357">
        <v>7.8236914191657875E-2</v>
      </c>
      <c r="D97" s="357">
        <v>0.10694368216651198</v>
      </c>
      <c r="E97" s="357">
        <v>0.11206616545612316</v>
      </c>
      <c r="F97" s="357">
        <v>0.21939385665350458</v>
      </c>
      <c r="G97" s="353">
        <v>0.99034567435331822</v>
      </c>
      <c r="H97" s="358">
        <v>1.1216022003226602</v>
      </c>
      <c r="I97" s="357">
        <v>7.4096275736971931E-2</v>
      </c>
      <c r="J97" s="357">
        <v>0.33238862547458892</v>
      </c>
      <c r="K97" s="357">
        <v>4.0400000000000005E-2</v>
      </c>
      <c r="L97" s="357">
        <v>0.2209363240986357</v>
      </c>
      <c r="M97" s="357">
        <v>6.4420087566435094E-2</v>
      </c>
      <c r="N97" s="358">
        <v>1.1646953706721956</v>
      </c>
      <c r="O97" s="358">
        <v>2.2728424111782806</v>
      </c>
      <c r="P97" s="358">
        <v>12.777841411746467</v>
      </c>
      <c r="Q97" s="358">
        <v>20.024099439379512</v>
      </c>
      <c r="R97" s="358">
        <v>2.824448204176941</v>
      </c>
      <c r="S97" s="358">
        <v>75.861734989996819</v>
      </c>
      <c r="T97" s="357">
        <v>0.11764566843165314</v>
      </c>
      <c r="U97" s="357">
        <v>6.0221251078352321E-2</v>
      </c>
      <c r="V97" s="357">
        <v>3.4609314571467244E-2</v>
      </c>
      <c r="W97" s="357">
        <v>0.57172981817132296</v>
      </c>
      <c r="X97" s="357">
        <v>0.1346619489388699</v>
      </c>
      <c r="Y97" s="357">
        <v>0.42946014250900988</v>
      </c>
      <c r="Z97" s="357">
        <v>0.42946014250900988</v>
      </c>
      <c r="AA97" s="359">
        <v>0.10922778138928586</v>
      </c>
    </row>
  </sheetData>
  <pageMargins left="0.75" right="0.75" top="1" bottom="1" header="0.5" footer="0.5"/>
  <pageSetup orientation="portrait" horizontalDpi="4294967292" verticalDpi="429496729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workbookViewId="0">
      <selection activeCell="B36" sqref="B36:E40"/>
    </sheetView>
  </sheetViews>
  <sheetFormatPr defaultColWidth="11.19921875" defaultRowHeight="11.5"/>
  <cols>
    <col min="1" max="1" width="34" bestFit="1" customWidth="1"/>
    <col min="2" max="2" width="16" style="158" customWidth="1"/>
    <col min="3" max="3" width="19.796875" style="158" bestFit="1" customWidth="1"/>
    <col min="4" max="4" width="22.19921875" style="158" bestFit="1" customWidth="1"/>
    <col min="5" max="5" width="14.19921875" bestFit="1" customWidth="1"/>
  </cols>
  <sheetData>
    <row r="1" spans="1:5">
      <c r="B1" s="141" t="s">
        <v>392</v>
      </c>
      <c r="C1" s="141" t="s">
        <v>424</v>
      </c>
      <c r="D1" s="141" t="s">
        <v>425</v>
      </c>
      <c r="E1" s="141" t="s">
        <v>393</v>
      </c>
    </row>
    <row r="2" spans="1:5" ht="13">
      <c r="A2" s="55" t="s">
        <v>11</v>
      </c>
      <c r="B2" s="177"/>
      <c r="C2" s="177"/>
      <c r="D2" s="177"/>
      <c r="E2" s="178"/>
    </row>
    <row r="3" spans="1:5" ht="13">
      <c r="A3" s="55" t="s">
        <v>643</v>
      </c>
      <c r="B3" s="177"/>
      <c r="C3" s="177"/>
      <c r="D3" s="177"/>
      <c r="E3" s="178"/>
    </row>
    <row r="4" spans="1:5" ht="13">
      <c r="A4" s="55" t="s">
        <v>29</v>
      </c>
      <c r="B4" s="177"/>
      <c r="C4" s="177"/>
      <c r="D4" s="177"/>
      <c r="E4" s="178"/>
    </row>
    <row r="5" spans="1:5" ht="13">
      <c r="A5" s="55" t="s">
        <v>436</v>
      </c>
      <c r="B5" s="177"/>
      <c r="C5" s="177"/>
      <c r="D5" s="177"/>
      <c r="E5" s="178"/>
    </row>
    <row r="6" spans="1:5" ht="13">
      <c r="A6" s="55" t="s">
        <v>30</v>
      </c>
      <c r="B6" s="177"/>
      <c r="C6" s="177"/>
      <c r="D6" s="177"/>
      <c r="E6" s="178"/>
    </row>
    <row r="7" spans="1:5" ht="13">
      <c r="A7" s="55" t="s">
        <v>31</v>
      </c>
      <c r="B7" s="177"/>
      <c r="C7" s="177"/>
      <c r="D7" s="177"/>
      <c r="E7" s="178"/>
    </row>
    <row r="8" spans="1:5" ht="13">
      <c r="A8" s="55" t="s">
        <v>243</v>
      </c>
      <c r="B8" s="177"/>
      <c r="C8" s="177"/>
      <c r="D8" s="177"/>
      <c r="E8" s="178"/>
    </row>
    <row r="9" spans="1:5" ht="13">
      <c r="A9" s="55" t="s">
        <v>244</v>
      </c>
      <c r="B9" s="177"/>
      <c r="C9" s="177"/>
      <c r="D9" s="177"/>
      <c r="E9" s="178"/>
    </row>
    <row r="10" spans="1:5" ht="13">
      <c r="A10" s="55" t="s">
        <v>384</v>
      </c>
      <c r="B10" s="177"/>
      <c r="C10" s="177"/>
      <c r="D10" s="177"/>
      <c r="E10" s="178"/>
    </row>
    <row r="11" spans="1:5" ht="13">
      <c r="A11" s="55" t="s">
        <v>388</v>
      </c>
      <c r="B11" s="177"/>
      <c r="C11" s="177"/>
      <c r="D11" s="177"/>
      <c r="E11" s="178"/>
    </row>
    <row r="12" spans="1:5" ht="13">
      <c r="A12" s="55" t="s">
        <v>32</v>
      </c>
      <c r="B12" s="177"/>
      <c r="C12" s="177"/>
      <c r="D12" s="177"/>
      <c r="E12" s="178"/>
    </row>
    <row r="13" spans="1:5" ht="13">
      <c r="A13" s="55" t="s">
        <v>33</v>
      </c>
      <c r="B13" s="179"/>
      <c r="C13" s="177"/>
      <c r="D13" s="177"/>
      <c r="E13" s="178"/>
    </row>
    <row r="14" spans="1:5" ht="13">
      <c r="A14" s="55" t="s">
        <v>104</v>
      </c>
      <c r="B14" s="159"/>
      <c r="C14" s="159"/>
      <c r="D14" s="159"/>
      <c r="E14" s="1"/>
    </row>
    <row r="15" spans="1:5" ht="13">
      <c r="A15" s="55" t="s">
        <v>105</v>
      </c>
      <c r="B15" s="141"/>
      <c r="C15" s="141"/>
      <c r="D15" s="141"/>
      <c r="E15" s="1"/>
    </row>
    <row r="16" spans="1:5" s="2" customFormat="1" ht="13">
      <c r="A16" s="65" t="s">
        <v>394</v>
      </c>
      <c r="B16" s="201"/>
      <c r="C16" s="201"/>
      <c r="D16" s="201"/>
      <c r="E16" s="202"/>
    </row>
    <row r="17" spans="1:5" ht="13">
      <c r="A17" s="52" t="s">
        <v>395</v>
      </c>
      <c r="B17" s="288"/>
      <c r="C17" s="180"/>
      <c r="D17" s="180" t="s">
        <v>99</v>
      </c>
      <c r="E17" s="181"/>
    </row>
    <row r="18" spans="1:5" ht="13">
      <c r="A18" s="52" t="s">
        <v>396</v>
      </c>
      <c r="B18" s="288"/>
      <c r="C18" s="440" t="s">
        <v>564</v>
      </c>
      <c r="D18" s="180" t="s">
        <v>99</v>
      </c>
      <c r="E18" s="181"/>
    </row>
    <row r="19" spans="1:5" ht="13">
      <c r="A19" s="52" t="s">
        <v>397</v>
      </c>
      <c r="B19" s="288"/>
      <c r="C19" s="440"/>
      <c r="D19" s="180" t="s">
        <v>99</v>
      </c>
      <c r="E19" s="181"/>
    </row>
    <row r="20" spans="1:5" ht="13">
      <c r="A20" s="52" t="s">
        <v>398</v>
      </c>
      <c r="B20" s="288"/>
      <c r="C20" s="440"/>
      <c r="D20" s="180" t="s">
        <v>99</v>
      </c>
      <c r="E20" s="181"/>
    </row>
    <row r="21" spans="1:5" ht="13">
      <c r="A21" s="52" t="s">
        <v>399</v>
      </c>
      <c r="B21" s="288"/>
      <c r="C21" s="440"/>
      <c r="D21" s="180" t="s">
        <v>99</v>
      </c>
      <c r="E21" s="181"/>
    </row>
    <row r="22" spans="1:5" ht="13">
      <c r="A22" s="52" t="s">
        <v>400</v>
      </c>
      <c r="B22" s="287"/>
      <c r="C22" s="440"/>
      <c r="D22" s="180" t="s">
        <v>99</v>
      </c>
      <c r="E22" s="181"/>
    </row>
    <row r="23" spans="1:5">
      <c r="B23" s="160"/>
      <c r="C23" s="440"/>
    </row>
    <row r="25" spans="1:5" ht="13">
      <c r="A25" s="52" t="s">
        <v>563</v>
      </c>
      <c r="B25" s="286"/>
    </row>
    <row r="29" spans="1:5">
      <c r="D29" s="177"/>
    </row>
    <row r="30" spans="1:5">
      <c r="D30" s="177"/>
    </row>
    <row r="31" spans="1:5">
      <c r="D31" s="177"/>
    </row>
    <row r="32" spans="1:5">
      <c r="D32" s="177"/>
    </row>
    <row r="36" spans="1:1">
      <c r="A36" t="s">
        <v>644</v>
      </c>
    </row>
    <row r="37" spans="1:1">
      <c r="A37" t="s">
        <v>645</v>
      </c>
    </row>
    <row r="38" spans="1:1">
      <c r="A38" t="s">
        <v>646</v>
      </c>
    </row>
    <row r="40" spans="1:1">
      <c r="A40" t="s">
        <v>647</v>
      </c>
    </row>
  </sheetData>
  <mergeCells count="1">
    <mergeCell ref="C18:C23"/>
  </mergeCells>
  <pageMargins left="0.75" right="0.75" top="1" bottom="1" header="0.5" footer="0.5"/>
  <pageSetup orientation="landscape" horizontalDpi="4294967292" verticalDpi="429496729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6"/>
  <sheetViews>
    <sheetView workbookViewId="0">
      <selection activeCell="G1" sqref="G1:G16"/>
    </sheetView>
  </sheetViews>
  <sheetFormatPr defaultColWidth="11.19921875" defaultRowHeight="11.5"/>
  <cols>
    <col min="1" max="1" width="6.296875" bestFit="1" customWidth="1"/>
    <col min="2" max="2" width="16.5" bestFit="1" customWidth="1"/>
    <col min="3" max="3" width="18.296875" bestFit="1" customWidth="1"/>
    <col min="4" max="5" width="12.296875" bestFit="1" customWidth="1"/>
    <col min="6" max="6" width="17.69921875" bestFit="1" customWidth="1"/>
  </cols>
  <sheetData>
    <row r="1" spans="1:7" s="303" customFormat="1">
      <c r="A1" s="303" t="s">
        <v>239</v>
      </c>
      <c r="B1" s="303" t="s">
        <v>241</v>
      </c>
      <c r="C1" s="303" t="s">
        <v>438</v>
      </c>
      <c r="D1" s="303" t="s">
        <v>446</v>
      </c>
      <c r="E1" s="303" t="s">
        <v>448</v>
      </c>
      <c r="F1" s="303" t="s">
        <v>472</v>
      </c>
      <c r="G1" t="s">
        <v>229</v>
      </c>
    </row>
    <row r="2" spans="1:7">
      <c r="A2" t="s">
        <v>58</v>
      </c>
      <c r="B2" t="s">
        <v>102</v>
      </c>
      <c r="C2" t="s">
        <v>439</v>
      </c>
      <c r="D2" t="s">
        <v>447</v>
      </c>
      <c r="E2">
        <v>1</v>
      </c>
      <c r="F2" t="s">
        <v>447</v>
      </c>
      <c r="G2" t="s">
        <v>467</v>
      </c>
    </row>
    <row r="3" spans="1:7">
      <c r="A3" t="s">
        <v>52</v>
      </c>
      <c r="B3" t="s">
        <v>235</v>
      </c>
      <c r="C3" t="s">
        <v>442</v>
      </c>
      <c r="D3" t="s">
        <v>448</v>
      </c>
      <c r="E3">
        <v>2</v>
      </c>
      <c r="F3" t="s">
        <v>477</v>
      </c>
      <c r="G3" t="s">
        <v>466</v>
      </c>
    </row>
    <row r="4" spans="1:7">
      <c r="C4" t="s">
        <v>440</v>
      </c>
      <c r="D4" t="s">
        <v>449</v>
      </c>
      <c r="F4" t="s">
        <v>478</v>
      </c>
      <c r="G4" t="s">
        <v>465</v>
      </c>
    </row>
    <row r="5" spans="1:7">
      <c r="C5" t="s">
        <v>441</v>
      </c>
      <c r="F5" t="s">
        <v>479</v>
      </c>
      <c r="G5" t="s">
        <v>464</v>
      </c>
    </row>
    <row r="6" spans="1:7">
      <c r="F6" t="s">
        <v>476</v>
      </c>
      <c r="G6" t="s">
        <v>463</v>
      </c>
    </row>
    <row r="7" spans="1:7">
      <c r="G7" t="s">
        <v>462</v>
      </c>
    </row>
    <row r="8" spans="1:7">
      <c r="G8" t="s">
        <v>461</v>
      </c>
    </row>
    <row r="9" spans="1:7">
      <c r="G9" t="s">
        <v>460</v>
      </c>
    </row>
    <row r="10" spans="1:7">
      <c r="G10" t="s">
        <v>459</v>
      </c>
    </row>
    <row r="11" spans="1:7">
      <c r="G11" t="s">
        <v>458</v>
      </c>
    </row>
    <row r="12" spans="1:7">
      <c r="G12" t="s">
        <v>457</v>
      </c>
    </row>
    <row r="13" spans="1:7">
      <c r="G13" t="s">
        <v>456</v>
      </c>
    </row>
    <row r="14" spans="1:7">
      <c r="G14" t="s">
        <v>455</v>
      </c>
    </row>
    <row r="15" spans="1:7">
      <c r="G15" t="s">
        <v>454</v>
      </c>
    </row>
    <row r="16" spans="1:7">
      <c r="G16" t="s">
        <v>453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vt:lpstr>
      <vt:lpstr>Input sheet</vt:lpstr>
      <vt:lpstr>Valuation output</vt:lpstr>
      <vt:lpstr>Stories to Numbers</vt:lpstr>
      <vt:lpstr>Diagnostics</vt:lpstr>
      <vt:lpstr>Summary Sheet</vt:lpstr>
      <vt:lpstr>Option value</vt:lpstr>
      <vt:lpstr>Cost of capital worksheet</vt:lpstr>
      <vt:lpstr>R&amp; D converter</vt:lpstr>
      <vt:lpstr>Operating lease converter</vt:lpstr>
      <vt:lpstr>Country equity risk premiums</vt:lpstr>
      <vt:lpstr>Synthetic rating</vt:lpstr>
      <vt:lpstr>Industry Average Beta (US)</vt:lpstr>
      <vt:lpstr>Industry Average Beta (Global)</vt:lpstr>
      <vt:lpstr>Trailing 12 month</vt:lpstr>
      <vt:lpstr>Answer keys</vt:lpstr>
    </vt:vector>
  </TitlesOfParts>
  <Company>Stern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Aswath Damodaran</dc:creator>
  <cp:lastModifiedBy>Hamzah alhalabi</cp:lastModifiedBy>
  <cp:lastPrinted>2011-01-17T15:04:26Z</cp:lastPrinted>
  <dcterms:created xsi:type="dcterms:W3CDTF">2000-02-22T13:53:50Z</dcterms:created>
  <dcterms:modified xsi:type="dcterms:W3CDTF">2024-03-04T14:14:46Z</dcterms:modified>
</cp:coreProperties>
</file>